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f98139d4bac41f/文件/DL/dragalia-data-track/"/>
    </mc:Choice>
  </mc:AlternateContent>
  <xr:revisionPtr revIDLastSave="48" documentId="8_{E209365D-5669-4541-BA1B-EBB718C718BD}" xr6:coauthVersionLast="43" xr6:coauthVersionMax="43" xr10:uidLastSave="{B250268E-D039-4CAC-8408-E746F3F7983D}"/>
  <bookViews>
    <workbookView xWindow="1335" yWindow="375" windowWidth="18960" windowHeight="13485" firstSheet="2" activeTab="5" xr2:uid="{D0E79A60-AC9E-4AFD-A74C-CCE50AE0356B}"/>
  </bookViews>
  <sheets>
    <sheet name="Raid" sheetId="16" r:id="rId1"/>
    <sheet name="迎擊" sheetId="18" r:id="rId2"/>
    <sheet name="D迎擊" sheetId="7" r:id="rId3"/>
    <sheet name="龍煉" sheetId="19" r:id="rId4"/>
    <sheet name="D龍煉" sheetId="4" r:id="rId5"/>
    <sheet name="虛空" sheetId="21" r:id="rId6"/>
    <sheet name="D虛空" sheetId="15" r:id="rId7"/>
    <sheet name="爪草" sheetId="22" r:id="rId8"/>
    <sheet name="D爪草" sheetId="23" r:id="rId9"/>
    <sheet name="真龍" sheetId="20" r:id="rId10"/>
    <sheet name="D真龍" sheetId="9" state="hidden" r:id="rId11"/>
    <sheet name="D真火" sheetId="10" state="hidden" r:id="rId12"/>
    <sheet name="D真水" sheetId="11" r:id="rId13"/>
    <sheet name="D真風" sheetId="14" state="hidden" r:id="rId14"/>
    <sheet name="D真光" sheetId="13" state="hidden" r:id="rId15"/>
    <sheet name="D真暗" sheetId="12" state="hidden" r:id="rId16"/>
  </sheets>
  <definedNames>
    <definedName name="BOOST_PRICE" comment="Price to boost the building. Unit is Diams/Time.">BOOST_UNIT_DIAMS/BOOST_UNIT_TIME</definedName>
    <definedName name="BOOST_UNIT_DIAMS" comment="The count of diamantiums of a unit which is used for calculating the cost of boosting the building speed.">1</definedName>
    <definedName name="BOOST_UNIT_TIME" comment="The time period of a unit which is used for calculating the cost of boosting the building speed.">0.00833333333333333</definedName>
    <definedName name="CLOVER_EXP_GAMES">SUM(D爪草!$B$4:$B$1048576)</definedName>
    <definedName name="CLOVER_EXP_SUM">SUM(D爪草!$A$4:$A$1048576)</definedName>
    <definedName name="CLOVER_RUBY_GAMES">SUM(D爪草!$D$4:$D$1048576)</definedName>
    <definedName name="CLOVER_RUBY_SUM">SUM(D爪草!$C$4:$C$1048576)</definedName>
    <definedName name="CLOVER_RUIN_GAMES">SUM(D爪草!$F$4:$F$1048576)</definedName>
    <definedName name="CLOVER_RUIN_SUM">SUM(D爪草!$E$4:$E$1048576)</definedName>
    <definedName name="DATA_DRAG_ACCU_EXP">D龍煉!$G$2:$G$101</definedName>
    <definedName name="DATA_DRAG_LV_EXP">D龍煉!$F$2:$F$101</definedName>
    <definedName name="DATA_DRAGON_EXP">D龍煉!$A:$A</definedName>
    <definedName name="DATA_DRAGON_PLAYS">D龍煉!$B:$B</definedName>
    <definedName name="DATA_HDRAG_HBRUN" comment="Raw drop data of High Brunhilda">D真火!$1:$1048576</definedName>
    <definedName name="DATA_HDRAG_HJUP" comment="Raw drop data of High Jupiter">D真光!$1:$1048576</definedName>
    <definedName name="DATA_HDRAG_HMERC" comment="Raw drop data of High Mercury">D真水!$1:$1048576</definedName>
    <definedName name="DATA_HDRAG_HMID" comment="Raw drop data of High Midgarsormr">D真風!$1:$1048576</definedName>
    <definedName name="DATA_HDRAG_HZOD" comment="Raw drop data of High Zodiac">D真暗!$1:$1048576</definedName>
    <definedName name="DATA_HDRAGS_BUILDING" comment="Table of orbs required for upgrading the building of high dragons.">D真龍!$A$2:$A$32</definedName>
    <definedName name="DATA_HDRAGS_DRAGON" comment="Table of orbs required for limit breaking the high dragons.">D真龍!$C$2:$C$7</definedName>
    <definedName name="DATA_HDRAGS_TALON">D真龍!$B$2:$B$31</definedName>
    <definedName name="DATA_IO" comment="Raw data for building Imperial Onslaught related facilities.">D迎擊!$AM$3:$AU$32</definedName>
    <definedName name="DATA_IO_EXTRA_EXCHANGED_BIG">(迎擊!$K$3,迎擊!$K$5,迎擊!$K$7,迎擊!$K$9,迎擊!$K$11)</definedName>
    <definedName name="DATA_IO_EXTRA_EXCHANGED_SMALL">(迎擊!$K$2,迎擊!$K$4,迎擊!$K$6,迎擊!$K$8,迎擊!$K$10)</definedName>
    <definedName name="DATA_IO_OWNED_BIG">(迎擊!$C$3,迎擊!$C$5,迎擊!$C$7,迎擊!$C$9,迎擊!$C$11)</definedName>
    <definedName name="DATA_IO_OWNED_SMALL">(迎擊!$C$2,迎擊!$C$4,迎擊!$C$6,迎擊!$C$8,迎擊!$C$10)</definedName>
    <definedName name="DRACOLITH_TALON">D爪草!$O$3:$O$22</definedName>
    <definedName name="DRACOLITH_TALON_MAX">MAX(DRACOLITH_TALON)</definedName>
    <definedName name="DRAGEXP_L" comment="Experience points of a large dragon fruit.">3500</definedName>
    <definedName name="DRAGEXP_M" comment="Experience points of a medium dragon fruit.">1000</definedName>
    <definedName name="DRAGEXP_S" comment="Experience points of a small dragon fruit.">150</definedName>
    <definedName name="DRAGON_EXP_100">D龍煉!$G$101</definedName>
    <definedName name="DRAGON_EXP_60">D龍煉!$G$61</definedName>
    <definedName name="DRAGON_EXP_80">D龍煉!$G$81</definedName>
    <definedName name="HDRAG_HAS_REC_HBRUN" comment="Has the record of High Brunhilda or not.">COUNTA(DATA_HDRAG_HBRUN) &gt; 0</definedName>
    <definedName name="HDRAG_HAS_REC_HJUP" comment="Has the record of High Jupiter or not.">COUNTA(DATA_HDRAG_HJUP) &gt; 0</definedName>
    <definedName name="HDRAG_HAS_REC_HMERC" comment="Has the record of High Mercury or not.">COUNTA(DATA_HDRAG_HMERC) &gt; 0</definedName>
    <definedName name="HDRAG_HAS_REC_HMID" comment="Has the record of High Midgarsormr or not.">COUNTA(DATA_HDRAG_HMID) &gt; 0</definedName>
    <definedName name="HDRAG_HAS_REC_HZOD" comment="Has the record of High Zodiac or not.">COUNTA(DATA_HDRAG_HZOD) &gt; 0</definedName>
    <definedName name="HDRAG_MAX_ALL" comment="Value of required orbs for maxing all high dragons related objects.">HDRAG_MAX_BUILDING + HDRAG_MAX_DRAGON</definedName>
    <definedName name="HDRAG_MAX_BUILDING" comment="Value of orbs required for maxing the building of the high dragons.">MAX(DATA_HDRAGS_BUILDING)</definedName>
    <definedName name="HDRAG_MAX_DRAGON" comment="Value of orbs required for maxing the limit break of the high dragons.">MAX(DATA_HDRAGS_DRAGON)</definedName>
    <definedName name="HDRAG_MAX_DRAGON_BLD_16" comment="Value of required orbs for max limit break the dragon and upgrade the building to Lv.16.">MAX(DATA_HDRAGS_DRAGON)+INDEX(DATA_HDRAGS_BUILDING,16)</definedName>
    <definedName name="HDRAG_MAX_TALON">MAX(DATA_HDRAGS_TALON)</definedName>
    <definedName name="IO_EXCHANGE_BIG_TO_SMALL" comment="Exchange rate of big elemental emblem to small elemental emblem. (Small/1 Big)">3</definedName>
    <definedName name="IO_EXCHANGE_SMALL_TO_BIG" comment="Exchange rate of small elemental emblem to big elemental emblem. (Big/1 Small)">1/6</definedName>
    <definedName name="IO_WEAPON_434">250</definedName>
    <definedName name="IO_WEAPON_530">200</definedName>
    <definedName name="RAID_GOAL_BLAZON">Raid!$E$6</definedName>
    <definedName name="RAID_GOAL_EMBLEM">Raid!$E$5</definedName>
    <definedName name="RAID_TIME_DURATION">Raid!$E$2</definedName>
    <definedName name="RAID_TIME_END">Raid!$B$2</definedName>
    <definedName name="RAID_TIME_START">Raid!$B$1</definedName>
    <definedName name="TALON_R3_CLOVER">SUM(D爪草!$G$4:$G$1048576)</definedName>
    <definedName name="TALON_R3_TALON">SUM(D爪草!$H$4:$H$1048576)</definedName>
    <definedName name="TALON_R4_CLOVER">SUM(D爪草!$I$4:$I$1048576)</definedName>
    <definedName name="TALON_R4_TALON">SUM(D爪草!$J$4:$J$1048576)</definedName>
    <definedName name="TALON_R5_CLOVER">SUM(D爪草!$K$4:$K$1048576)</definedName>
    <definedName name="TALON_R5_TALON">SUM(D爪草!$G$4:$L$1048576)</definedName>
    <definedName name="VOID_DARK_GOLEM_GAMES">SUM(D虛空!$AJ:$AJ)</definedName>
    <definedName name="VOID_DARK_GOLEM_GOLD">SUM(D虛空!$AK:$AK)</definedName>
    <definedName name="VOID_DARK_GOLEM_SILVER">SUM(D虛空!$AL:$AL)</definedName>
    <definedName name="VOID_DARK_GOLEM_SILVER2">SUM(D虛空!$AM:$AM)</definedName>
    <definedName name="VOID_DARK_GOLEM_SPEC">SUM(D虛空!$AN:$AN)</definedName>
    <definedName name="VOID_DARK_MTCORE_GAMES">SUM(D虛空!$AE:$AE)</definedName>
    <definedName name="VOID_DARK_MTCORE_GOLD">SUM(D虛空!$AF:$AF)</definedName>
    <definedName name="VOID_DARK_MTCORE_SILVER">SUM(D虛空!$AG:$AG)</definedName>
    <definedName name="VOID_DARK_MTCORE_SILVER2">SUM(D虛空!$AH:$AH)</definedName>
    <definedName name="VOID_DARK_MTCORE_SPEC">SUM(D虛空!$AI:$AI)</definedName>
    <definedName name="VOID_FIRE_AGNI_GAMES">SUM(D虛空!$K:$K)</definedName>
    <definedName name="VOID_FIRE_AGNI_GOLD">SUM(D虛空!$L:$L)</definedName>
    <definedName name="VOID_FIRE_AGNI_SILVER">SUM(D虛空!$M:$M)</definedName>
    <definedName name="VOID_FIRE_AGNI_SILVER2">SUM(D虛空!$N:$N)</definedName>
    <definedName name="VOID_FIRE_AGNI_SPEC">SUM(D虛空!$O:$O)</definedName>
    <definedName name="VOID_FIRE_GHOST_GAMES">SUM(D虛空!$F:$F)</definedName>
    <definedName name="VOID_FIRE_GHOST_GOLD">SUM(D虛空!$G:$G)</definedName>
    <definedName name="VOID_FIRE_GHOST_SILVER">SUM(D虛空!$H:$H)</definedName>
    <definedName name="VOID_FIRE_GHOST_SILVER2">SUM(D虛空!$I:$I)</definedName>
    <definedName name="VOID_FIRE_GHOST_SPEC">SUM(D虛空!$J:$J)</definedName>
    <definedName name="VOID_FIRE_GOLEM_GAMES">SUM(D虛空!$A:$A)</definedName>
    <definedName name="VOID_FIRE_GOLEM_GOLD">SUM(D虛空!$B:$B)</definedName>
    <definedName name="VOID_FIRE_GOLEM_SILVER">SUM(D虛空!$C:$C)</definedName>
    <definedName name="VOID_FIRE_GOLEM_SILVER2">SUM(D虛空!$D:$D)</definedName>
    <definedName name="VOID_FIRE_GOLEM_SPEC">SUM(D虛空!$E:$E)</definedName>
    <definedName name="VOID_LIGHT_MUSH_GAMES">SUM(D虛空!$Z:$Z)</definedName>
    <definedName name="VOID_LIGHT_MUSH_GOLD">SUM(D虛空!$AA:$AA)</definedName>
    <definedName name="VOID_LIGHT_MUSH_SILVER">SUM(D虛空!$AB:$AB)</definedName>
    <definedName name="VOID_LIGHT_MUSH_SILVER2">SUM(D虛空!$AC:$AC)</definedName>
    <definedName name="VOID_LIGHT_MUSH_SPEC">SUM(D虛空!$AD:$AD)</definedName>
    <definedName name="VOID_WATER_HERMIT_GAMES">SUM(D虛空!$P:$P)</definedName>
    <definedName name="VOID_WATER_HERMIT_GOLD">SUM(D虛空!$Q:$Q)</definedName>
    <definedName name="VOID_WATER_HERMIT_SILVER">SUM(D虛空!$R:$R)</definedName>
    <definedName name="VOID_WATER_HERMIT_SILVER2">SUM(D虛空!$S:$S)</definedName>
    <definedName name="VOID_WATER_HERMIT_SPEC">SUM(D虛空!$T:$T)</definedName>
    <definedName name="VOID_WIND_WYVERN_GAMES">SUM(D虛空!$U:$U)</definedName>
    <definedName name="VOID_WIND_WYVERN_GOLD">SUM(D虛空!$V:$V)</definedName>
    <definedName name="VOID_WIND_WYVERN_SILVER">SUM(D虛空!$W:$W)</definedName>
    <definedName name="VOID_WIND_WYVERN_SILVER2">SUM(D虛空!$X:$X)</definedName>
    <definedName name="VOID_WIND_WYVERN_SPEC">SUM(D虛空!$Y:$Y)</definedName>
    <definedName name="WINGS_CONSUME_DRAGON" comment="Count of wings needed for a Dragon's Trial (Master).">2</definedName>
    <definedName name="WINGS_CONSUME_IO" comment="Count of wings needed for an Imperial Onslaught (Master).">2</definedName>
    <definedName name="WINGS_CONSUME_VOID" comment="Count of wings needed for a Void.">2</definedName>
    <definedName name="WINGS_RECOVER_DIAMS" comment="Diamantiums needed for recovering the wings.">50</definedName>
    <definedName name="WINGS_RECOVER_NUM" comment="Count of wings can be recovered at once.">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7" l="1"/>
  <c r="AE9" i="7"/>
  <c r="AG9" i="7"/>
  <c r="AI9" i="7"/>
  <c r="M9" i="7"/>
  <c r="E3" i="22"/>
  <c r="H3" i="22"/>
  <c r="E4" i="22"/>
  <c r="H4" i="22"/>
  <c r="I8" i="22"/>
  <c r="I9" i="22"/>
  <c r="I10" i="22"/>
  <c r="I11" i="22"/>
  <c r="I12" i="22"/>
  <c r="I13" i="22"/>
  <c r="H16" i="22"/>
  <c r="I16" i="22"/>
  <c r="H17" i="22"/>
  <c r="I17" i="22"/>
  <c r="H18" i="22"/>
  <c r="I18" i="22"/>
  <c r="I19" i="22"/>
  <c r="I20" i="22"/>
  <c r="I21" i="22"/>
  <c r="I23" i="22"/>
  <c r="I4" i="22"/>
  <c r="E5" i="22"/>
  <c r="H5" i="22"/>
  <c r="J5" i="22"/>
  <c r="J20" i="22"/>
  <c r="J19" i="22"/>
  <c r="J12" i="22"/>
  <c r="J11" i="22"/>
  <c r="J10" i="22"/>
  <c r="J9" i="22"/>
  <c r="J8" i="22"/>
  <c r="J18" i="22"/>
  <c r="B5" i="22"/>
  <c r="B4" i="22"/>
  <c r="B3" i="22"/>
  <c r="H20" i="22"/>
  <c r="H19" i="22"/>
  <c r="J16" i="22"/>
  <c r="B8" i="19"/>
  <c r="B6" i="19"/>
  <c r="B7" i="19"/>
  <c r="AI8" i="7"/>
  <c r="AG8" i="7"/>
  <c r="AE8" i="7"/>
  <c r="P3" i="7"/>
  <c r="M8" i="7"/>
  <c r="G40" i="20"/>
  <c r="O40" i="20"/>
  <c r="P40" i="20"/>
  <c r="G39" i="20"/>
  <c r="O39" i="20"/>
  <c r="P39" i="20"/>
  <c r="C4" i="9"/>
  <c r="C5" i="9"/>
  <c r="G6" i="20"/>
  <c r="C6" i="20"/>
  <c r="B6" i="20"/>
  <c r="C7" i="20"/>
  <c r="D6" i="20"/>
  <c r="D7" i="20"/>
  <c r="L5" i="20"/>
  <c r="L24" i="20"/>
  <c r="E6" i="20"/>
  <c r="E7" i="20"/>
  <c r="F6" i="20"/>
  <c r="F7" i="20"/>
  <c r="G4" i="20"/>
  <c r="C4" i="20"/>
  <c r="B4" i="20"/>
  <c r="D4" i="20"/>
  <c r="E4" i="20"/>
  <c r="F4" i="20"/>
  <c r="F5" i="20"/>
  <c r="L4" i="20"/>
  <c r="N4" i="20"/>
  <c r="G2" i="20"/>
  <c r="C2" i="20"/>
  <c r="B2" i="20"/>
  <c r="C3" i="20"/>
  <c r="D2" i="20"/>
  <c r="D3" i="20"/>
  <c r="E2" i="20"/>
  <c r="E3" i="20"/>
  <c r="F2" i="20"/>
  <c r="F3" i="20"/>
  <c r="F22" i="20"/>
  <c r="L3" i="20"/>
  <c r="G33" i="20"/>
  <c r="O33" i="20"/>
  <c r="P33" i="20"/>
  <c r="G32" i="20"/>
  <c r="O32" i="20"/>
  <c r="P32" i="20"/>
  <c r="G26" i="20"/>
  <c r="O26" i="20"/>
  <c r="P26" i="20"/>
  <c r="G25" i="20"/>
  <c r="O25" i="20"/>
  <c r="P25" i="20"/>
  <c r="G19" i="20"/>
  <c r="O19" i="20"/>
  <c r="P19" i="20"/>
  <c r="G18" i="20"/>
  <c r="O18" i="20"/>
  <c r="P18" i="20"/>
  <c r="K39" i="20"/>
  <c r="L39" i="20"/>
  <c r="M39" i="20"/>
  <c r="N39" i="20"/>
  <c r="K40" i="20"/>
  <c r="L40" i="20"/>
  <c r="M40" i="20"/>
  <c r="N40" i="20"/>
  <c r="K18" i="20"/>
  <c r="L18" i="20"/>
  <c r="M18" i="20"/>
  <c r="N18" i="20"/>
  <c r="K19" i="20"/>
  <c r="L19" i="20"/>
  <c r="M19" i="20"/>
  <c r="N19" i="20"/>
  <c r="K33" i="20"/>
  <c r="K32" i="20"/>
  <c r="N26" i="20"/>
  <c r="N25" i="20"/>
  <c r="M26" i="20"/>
  <c r="M25" i="20"/>
  <c r="L26" i="20"/>
  <c r="L25" i="20"/>
  <c r="K26" i="20"/>
  <c r="K25" i="20"/>
  <c r="P7" i="20"/>
  <c r="P6" i="20"/>
  <c r="O7" i="20"/>
  <c r="M33" i="20"/>
  <c r="O6" i="20"/>
  <c r="M32" i="20"/>
  <c r="N32" i="20"/>
  <c r="N33" i="20"/>
  <c r="L32" i="20"/>
  <c r="L6" i="20"/>
  <c r="S6" i="20"/>
  <c r="N6" i="20"/>
  <c r="Q6" i="20"/>
  <c r="F3" i="21"/>
  <c r="C3" i="21"/>
  <c r="F10" i="21"/>
  <c r="D10" i="21"/>
  <c r="F9" i="21"/>
  <c r="B9" i="21"/>
  <c r="F8" i="21"/>
  <c r="F7" i="21"/>
  <c r="E7" i="21"/>
  <c r="F6" i="21"/>
  <c r="F5" i="21"/>
  <c r="F4" i="21"/>
  <c r="C8" i="21"/>
  <c r="E8" i="21"/>
  <c r="D8" i="21"/>
  <c r="B8" i="21"/>
  <c r="E6" i="21"/>
  <c r="D6" i="21"/>
  <c r="C6" i="21"/>
  <c r="B6" i="21"/>
  <c r="E5" i="21"/>
  <c r="D5" i="21"/>
  <c r="C5" i="21"/>
  <c r="B5" i="21"/>
  <c r="E4" i="21"/>
  <c r="D4" i="21"/>
  <c r="C4" i="21"/>
  <c r="B4" i="21"/>
  <c r="D3" i="21"/>
  <c r="E3" i="21"/>
  <c r="B3" i="21"/>
  <c r="B10" i="21"/>
  <c r="C10" i="21"/>
  <c r="V4" i="7"/>
  <c r="S10" i="7"/>
  <c r="AE7" i="7"/>
  <c r="AG7" i="7"/>
  <c r="AI7" i="7"/>
  <c r="D11" i="18"/>
  <c r="D10" i="18"/>
  <c r="D9" i="18"/>
  <c r="D8" i="18"/>
  <c r="D7" i="18"/>
  <c r="D6" i="18"/>
  <c r="D5" i="18"/>
  <c r="D4" i="18"/>
  <c r="D3" i="18"/>
  <c r="D2" i="18"/>
  <c r="E11" i="18"/>
  <c r="E10" i="18"/>
  <c r="E9" i="18"/>
  <c r="E8" i="18"/>
  <c r="E7" i="18"/>
  <c r="E6" i="18"/>
  <c r="E5" i="18"/>
  <c r="E4" i="18"/>
  <c r="E3" i="18"/>
  <c r="E2" i="18"/>
  <c r="T9" i="18"/>
  <c r="AI6" i="7"/>
  <c r="AG6" i="7"/>
  <c r="AE6" i="7"/>
  <c r="V3" i="7"/>
  <c r="S9" i="18"/>
  <c r="AB5" i="7"/>
  <c r="AB4" i="7"/>
  <c r="AB3" i="7"/>
  <c r="S9" i="7"/>
  <c r="Y10" i="7"/>
  <c r="AI5" i="7"/>
  <c r="AG5" i="7"/>
  <c r="AG3" i="7"/>
  <c r="AG4" i="7"/>
  <c r="T14" i="18"/>
  <c r="S15" i="18"/>
  <c r="F15" i="18"/>
  <c r="AE5" i="7"/>
  <c r="Y3" i="7"/>
  <c r="Y4" i="7"/>
  <c r="Y5" i="7"/>
  <c r="Y6" i="7"/>
  <c r="Y7" i="7"/>
  <c r="Y8" i="7"/>
  <c r="Y9" i="7"/>
  <c r="T10" i="18"/>
  <c r="F3" i="18"/>
  <c r="I3" i="18" s="1"/>
  <c r="F5" i="18"/>
  <c r="F13" i="18" s="1"/>
  <c r="F7" i="18"/>
  <c r="I7" i="18" s="1"/>
  <c r="F9" i="18"/>
  <c r="I9" i="18" s="1"/>
  <c r="F11" i="18"/>
  <c r="I11" i="18" s="1"/>
  <c r="T3" i="18"/>
  <c r="T5" i="18"/>
  <c r="T7" i="18"/>
  <c r="T11" i="18"/>
  <c r="T13" i="18"/>
  <c r="S3" i="18"/>
  <c r="F2" i="18"/>
  <c r="I2" i="18" s="1"/>
  <c r="F4" i="18"/>
  <c r="I4" i="18" s="1"/>
  <c r="F6" i="18"/>
  <c r="N6" i="18" s="1"/>
  <c r="F8" i="18"/>
  <c r="N8" i="18" s="1"/>
  <c r="F10" i="18"/>
  <c r="N10" i="18" s="1"/>
  <c r="S3" i="7"/>
  <c r="S4" i="7"/>
  <c r="S5" i="7"/>
  <c r="S6" i="7"/>
  <c r="S7" i="7"/>
  <c r="S8" i="7"/>
  <c r="T8" i="18"/>
  <c r="S8" i="18"/>
  <c r="AE4" i="7"/>
  <c r="AI4" i="7"/>
  <c r="S7" i="18"/>
  <c r="S5" i="18"/>
  <c r="S11" i="18"/>
  <c r="M3" i="7"/>
  <c r="M4" i="7"/>
  <c r="M5" i="7"/>
  <c r="M6" i="7"/>
  <c r="M7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A3" i="7"/>
  <c r="A4" i="7"/>
  <c r="A5" i="7"/>
  <c r="H9" i="18"/>
  <c r="H8" i="18"/>
  <c r="H2" i="18"/>
  <c r="H4" i="18"/>
  <c r="H6" i="18"/>
  <c r="H10" i="18"/>
  <c r="H12" i="18"/>
  <c r="H7" i="18"/>
  <c r="H5" i="18"/>
  <c r="H3" i="18"/>
  <c r="H11" i="18"/>
  <c r="H13" i="18"/>
  <c r="AI3" i="7"/>
  <c r="F16" i="18"/>
  <c r="AE3" i="7"/>
  <c r="S14" i="18"/>
  <c r="F14" i="18"/>
  <c r="N14" i="18"/>
  <c r="T2" i="18"/>
  <c r="T4" i="18"/>
  <c r="T6" i="18"/>
  <c r="R16" i="18"/>
  <c r="H15" i="18"/>
  <c r="H16" i="18"/>
  <c r="H14" i="18"/>
  <c r="G14" i="18"/>
  <c r="O14" i="18"/>
  <c r="AC5" i="18"/>
  <c r="V6" i="18"/>
  <c r="AB5" i="18"/>
  <c r="AB6" i="18"/>
  <c r="AA5" i="18"/>
  <c r="AA6" i="18"/>
  <c r="Y5" i="18"/>
  <c r="Z5" i="18"/>
  <c r="K6" i="19"/>
  <c r="P3" i="19"/>
  <c r="P2" i="19"/>
  <c r="K5" i="19"/>
  <c r="N5" i="19"/>
  <c r="N6" i="21"/>
  <c r="H6" i="21"/>
  <c r="M6" i="21"/>
  <c r="M7" i="21"/>
  <c r="L6" i="21"/>
  <c r="L7" i="21"/>
  <c r="K6" i="21"/>
  <c r="E2" i="16"/>
  <c r="F26" i="16"/>
  <c r="H26" i="16"/>
  <c r="F44" i="16"/>
  <c r="H44" i="16"/>
  <c r="F43" i="16"/>
  <c r="H43" i="16"/>
  <c r="F40" i="16"/>
  <c r="H40" i="16"/>
  <c r="F38" i="16"/>
  <c r="H38" i="16"/>
  <c r="F37" i="16"/>
  <c r="H37" i="16"/>
  <c r="F35" i="16"/>
  <c r="H35" i="16"/>
  <c r="F30" i="16"/>
  <c r="H30" i="16"/>
  <c r="F29" i="16"/>
  <c r="H29" i="16"/>
  <c r="F28" i="16"/>
  <c r="H28" i="16"/>
  <c r="G26" i="16"/>
  <c r="I26" i="16"/>
  <c r="F25" i="16"/>
  <c r="H25" i="16"/>
  <c r="F24" i="16"/>
  <c r="H24" i="16"/>
  <c r="F22" i="16"/>
  <c r="H22" i="16"/>
  <c r="F19" i="16"/>
  <c r="H19" i="16"/>
  <c r="F17" i="16"/>
  <c r="H17" i="16"/>
  <c r="F16" i="16"/>
  <c r="H16" i="16"/>
  <c r="F15" i="16"/>
  <c r="H15" i="16"/>
  <c r="F13" i="16"/>
  <c r="H13" i="16"/>
  <c r="F11" i="16"/>
  <c r="H11" i="16"/>
  <c r="F10" i="16"/>
  <c r="H10" i="16"/>
  <c r="F2" i="16"/>
  <c r="D2" i="16"/>
  <c r="G9" i="19"/>
  <c r="F8" i="19"/>
  <c r="F12" i="19"/>
  <c r="F40" i="20"/>
  <c r="E40" i="20"/>
  <c r="D40" i="20"/>
  <c r="C40" i="20"/>
  <c r="F39" i="20"/>
  <c r="E39" i="20"/>
  <c r="D39" i="20"/>
  <c r="C39" i="20"/>
  <c r="F33" i="20"/>
  <c r="E33" i="20"/>
  <c r="D33" i="20"/>
  <c r="C33" i="20"/>
  <c r="F32" i="20"/>
  <c r="E32" i="20"/>
  <c r="D32" i="20"/>
  <c r="C32" i="20"/>
  <c r="F26" i="20"/>
  <c r="E26" i="20"/>
  <c r="D26" i="20"/>
  <c r="C26" i="20"/>
  <c r="F25" i="20"/>
  <c r="E25" i="20"/>
  <c r="D25" i="20"/>
  <c r="C25" i="20"/>
  <c r="F19" i="20"/>
  <c r="E19" i="20"/>
  <c r="D19" i="20"/>
  <c r="C19" i="20"/>
  <c r="F18" i="20"/>
  <c r="E18" i="20"/>
  <c r="D18" i="20"/>
  <c r="C18" i="20"/>
  <c r="F11" i="20"/>
  <c r="E11" i="20"/>
  <c r="D11" i="20"/>
  <c r="C11" i="20"/>
  <c r="F10" i="20"/>
  <c r="E10" i="20"/>
  <c r="D10" i="20"/>
  <c r="C10" i="20"/>
  <c r="B10" i="20"/>
  <c r="F9" i="20"/>
  <c r="E9" i="20"/>
  <c r="D9" i="20"/>
  <c r="C9" i="20"/>
  <c r="F8" i="20"/>
  <c r="E8" i="20"/>
  <c r="D8" i="20"/>
  <c r="C8" i="20"/>
  <c r="B8" i="20"/>
  <c r="L7" i="20"/>
  <c r="S7" i="20"/>
  <c r="N7" i="20"/>
  <c r="S5" i="20"/>
  <c r="AG16" i="18"/>
  <c r="AH16" i="18"/>
  <c r="AF16" i="18"/>
  <c r="Z16" i="18"/>
  <c r="AA16" i="18"/>
  <c r="Y16" i="18"/>
  <c r="AG15" i="18"/>
  <c r="AH15" i="18"/>
  <c r="AF15" i="18"/>
  <c r="Z15" i="18"/>
  <c r="AA15" i="18"/>
  <c r="Y15" i="18"/>
  <c r="AG14" i="18"/>
  <c r="AH14" i="18"/>
  <c r="AF14" i="18"/>
  <c r="Z14" i="18"/>
  <c r="AA14" i="18"/>
  <c r="Y14" i="18"/>
  <c r="AG13" i="18"/>
  <c r="AH13" i="18"/>
  <c r="AF13" i="18"/>
  <c r="Z13" i="18"/>
  <c r="AA13" i="18"/>
  <c r="Y13" i="18"/>
  <c r="AG12" i="18"/>
  <c r="AH12" i="18"/>
  <c r="AF12" i="18"/>
  <c r="Z12" i="18"/>
  <c r="AA12" i="18"/>
  <c r="Y12" i="18"/>
  <c r="AG11" i="18"/>
  <c r="AH11" i="18"/>
  <c r="AF11" i="18"/>
  <c r="Z11" i="18"/>
  <c r="AA11" i="18"/>
  <c r="Y11" i="18"/>
  <c r="AG10" i="18"/>
  <c r="AH10" i="18"/>
  <c r="AF10" i="18"/>
  <c r="Z10" i="18"/>
  <c r="AA10" i="18"/>
  <c r="Y10" i="18"/>
  <c r="AG9" i="18"/>
  <c r="AH9" i="18"/>
  <c r="AF9" i="18"/>
  <c r="Z9" i="18"/>
  <c r="AA9" i="18"/>
  <c r="Y9" i="18"/>
  <c r="G8" i="20"/>
  <c r="G10" i="20"/>
  <c r="C12" i="18"/>
  <c r="C13" i="18"/>
  <c r="E43" i="16"/>
  <c r="D43" i="16"/>
  <c r="D41" i="16"/>
  <c r="E39" i="16"/>
  <c r="D39" i="16"/>
  <c r="E37" i="16"/>
  <c r="D35" i="16"/>
  <c r="E33" i="16"/>
  <c r="D33" i="16"/>
  <c r="E31" i="16"/>
  <c r="D31" i="16"/>
  <c r="B6" i="16"/>
  <c r="D6" i="16" s="1"/>
  <c r="I6" i="16" s="1"/>
  <c r="B5" i="16"/>
  <c r="D5" i="16" s="1"/>
  <c r="I5" i="16" s="1"/>
  <c r="E30" i="16"/>
  <c r="D30" i="16"/>
  <c r="E28" i="16"/>
  <c r="D26" i="16"/>
  <c r="E25" i="16"/>
  <c r="D25" i="16"/>
  <c r="E24" i="16"/>
  <c r="D24" i="16"/>
  <c r="E22" i="16"/>
  <c r="E20" i="16"/>
  <c r="D20" i="16"/>
  <c r="E19" i="16"/>
  <c r="D18" i="16"/>
  <c r="E16" i="16"/>
  <c r="D16" i="16"/>
  <c r="E14" i="16"/>
  <c r="D14" i="16"/>
  <c r="C6" i="16"/>
  <c r="E13" i="16"/>
  <c r="D13" i="16"/>
  <c r="E11" i="16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F10" i="19"/>
  <c r="F3" i="19"/>
  <c r="B9" i="19"/>
  <c r="B10" i="19"/>
  <c r="F4" i="19"/>
  <c r="F5" i="19"/>
  <c r="S10" i="18"/>
  <c r="S6" i="18"/>
  <c r="S2" i="18"/>
  <c r="S16" i="18"/>
  <c r="N7" i="21"/>
  <c r="K7" i="21"/>
  <c r="S3" i="20"/>
  <c r="Q7" i="20"/>
  <c r="AC6" i="18"/>
  <c r="Y6" i="18"/>
  <c r="Z6" i="18"/>
  <c r="Q4" i="20"/>
  <c r="S4" i="20"/>
  <c r="P4" i="20"/>
  <c r="O4" i="20"/>
  <c r="P14" i="18"/>
  <c r="R14" i="18"/>
  <c r="N15" i="18"/>
  <c r="I15" i="18"/>
  <c r="D22" i="20"/>
  <c r="L22" i="20"/>
  <c r="C6" i="9"/>
  <c r="C7" i="9"/>
  <c r="T4" i="20"/>
  <c r="D36" i="20"/>
  <c r="R6" i="20"/>
  <c r="I14" i="18"/>
  <c r="F14" i="16"/>
  <c r="H14" i="16"/>
  <c r="F21" i="16"/>
  <c r="H21" i="16"/>
  <c r="F27" i="16"/>
  <c r="H27" i="16"/>
  <c r="F34" i="16"/>
  <c r="H34" i="16"/>
  <c r="F41" i="16"/>
  <c r="H41" i="16"/>
  <c r="S4" i="18"/>
  <c r="T12" i="18"/>
  <c r="S12" i="18"/>
  <c r="F24" i="20"/>
  <c r="N24" i="20"/>
  <c r="D29" i="20"/>
  <c r="F11" i="19"/>
  <c r="C5" i="16"/>
  <c r="D22" i="16"/>
  <c r="E41" i="16"/>
  <c r="C22" i="20"/>
  <c r="K22" i="20"/>
  <c r="E24" i="20"/>
  <c r="M24" i="20"/>
  <c r="S13" i="18"/>
  <c r="D31" i="20"/>
  <c r="F36" i="20"/>
  <c r="C24" i="20"/>
  <c r="K24" i="20"/>
  <c r="O24" i="20"/>
  <c r="D24" i="20"/>
  <c r="D17" i="20"/>
  <c r="E38" i="20"/>
  <c r="C38" i="20"/>
  <c r="E15" i="20"/>
  <c r="D38" i="20"/>
  <c r="E18" i="16"/>
  <c r="E26" i="16"/>
  <c r="E35" i="16"/>
  <c r="F12" i="16"/>
  <c r="H12" i="16"/>
  <c r="F18" i="16"/>
  <c r="H18" i="16"/>
  <c r="J17" i="22"/>
  <c r="F15" i="20"/>
  <c r="G39" i="16"/>
  <c r="I39" i="16"/>
  <c r="G42" i="16"/>
  <c r="I42" i="16"/>
  <c r="G31" i="16"/>
  <c r="I31" i="16"/>
  <c r="G36" i="16"/>
  <c r="I36" i="16"/>
  <c r="G33" i="16"/>
  <c r="I33" i="16"/>
  <c r="G20" i="16"/>
  <c r="I20" i="16"/>
  <c r="G27" i="16"/>
  <c r="I27" i="16"/>
  <c r="G25" i="16"/>
  <c r="I25" i="16"/>
  <c r="G21" i="16"/>
  <c r="I21" i="16"/>
  <c r="G17" i="16"/>
  <c r="I17" i="16"/>
  <c r="G14" i="16"/>
  <c r="I14" i="16"/>
  <c r="G11" i="16"/>
  <c r="I11" i="16"/>
  <c r="E44" i="16"/>
  <c r="E38" i="16"/>
  <c r="E32" i="16"/>
  <c r="E27" i="16"/>
  <c r="E21" i="16"/>
  <c r="E15" i="16"/>
  <c r="E10" i="16"/>
  <c r="D44" i="16"/>
  <c r="D38" i="16"/>
  <c r="D32" i="16"/>
  <c r="D27" i="16"/>
  <c r="D21" i="16"/>
  <c r="D15" i="16"/>
  <c r="D10" i="16"/>
  <c r="G44" i="16"/>
  <c r="I44" i="16"/>
  <c r="F42" i="16"/>
  <c r="H42" i="16"/>
  <c r="G38" i="16"/>
  <c r="I38" i="16"/>
  <c r="F36" i="16"/>
  <c r="H36" i="16"/>
  <c r="F33" i="16"/>
  <c r="H33" i="16"/>
  <c r="F20" i="16"/>
  <c r="H20" i="16"/>
  <c r="F39" i="16"/>
  <c r="H39" i="16"/>
  <c r="G41" i="16"/>
  <c r="I41" i="16"/>
  <c r="F31" i="16"/>
  <c r="H31" i="16"/>
  <c r="G35" i="16"/>
  <c r="I35" i="16"/>
  <c r="G32" i="16"/>
  <c r="I32" i="16"/>
  <c r="G29" i="16"/>
  <c r="I29" i="16"/>
  <c r="G23" i="16"/>
  <c r="I23" i="16"/>
  <c r="G24" i="16"/>
  <c r="I24" i="16"/>
  <c r="G19" i="16"/>
  <c r="I19" i="16"/>
  <c r="G16" i="16"/>
  <c r="I16" i="16"/>
  <c r="G13" i="16"/>
  <c r="I13" i="16"/>
  <c r="G10" i="16"/>
  <c r="I10" i="16"/>
  <c r="E42" i="16"/>
  <c r="E36" i="16"/>
  <c r="D42" i="16"/>
  <c r="D36" i="16"/>
  <c r="G43" i="16"/>
  <c r="I43" i="16"/>
  <c r="G40" i="16"/>
  <c r="I40" i="16"/>
  <c r="G37" i="16"/>
  <c r="I37" i="16"/>
  <c r="G34" i="16"/>
  <c r="I34" i="16"/>
  <c r="G30" i="16"/>
  <c r="I30" i="16"/>
  <c r="G28" i="16"/>
  <c r="I28" i="16"/>
  <c r="F23" i="16"/>
  <c r="H23" i="16"/>
  <c r="G22" i="16"/>
  <c r="I22" i="16"/>
  <c r="G18" i="16"/>
  <c r="I18" i="16"/>
  <c r="G15" i="16"/>
  <c r="I15" i="16"/>
  <c r="G12" i="16"/>
  <c r="I12" i="16"/>
  <c r="E40" i="16"/>
  <c r="E34" i="16"/>
  <c r="E29" i="16"/>
  <c r="E23" i="16"/>
  <c r="E17" i="16"/>
  <c r="E12" i="16"/>
  <c r="D40" i="16"/>
  <c r="D34" i="16"/>
  <c r="D29" i="16"/>
  <c r="D23" i="16"/>
  <c r="D17" i="16"/>
  <c r="D12" i="16"/>
  <c r="D15" i="20"/>
  <c r="D11" i="16"/>
  <c r="D19" i="16"/>
  <c r="D28" i="16"/>
  <c r="D37" i="16"/>
  <c r="F32" i="16"/>
  <c r="H32" i="16"/>
  <c r="I16" i="18"/>
  <c r="N16" i="18"/>
  <c r="P16" i="18"/>
  <c r="E22" i="20"/>
  <c r="M22" i="20"/>
  <c r="E5" i="20"/>
  <c r="M37" i="20"/>
  <c r="D7" i="21"/>
  <c r="D5" i="20"/>
  <c r="N22" i="20"/>
  <c r="B7" i="21"/>
  <c r="E9" i="21"/>
  <c r="C5" i="20"/>
  <c r="K23" i="20"/>
  <c r="E10" i="21"/>
  <c r="C7" i="21"/>
  <c r="F12" i="21"/>
  <c r="D9" i="21"/>
  <c r="C9" i="21"/>
  <c r="L33" i="20"/>
  <c r="R4" i="20"/>
  <c r="C30" i="20"/>
  <c r="J4" i="22"/>
  <c r="I5" i="22"/>
  <c r="J3" i="22"/>
  <c r="I3" i="22"/>
  <c r="D16" i="20"/>
  <c r="D37" i="20"/>
  <c r="L23" i="20"/>
  <c r="D30" i="20"/>
  <c r="D23" i="20"/>
  <c r="E37" i="20"/>
  <c r="M23" i="20"/>
  <c r="M16" i="20"/>
  <c r="E30" i="20"/>
  <c r="E23" i="20"/>
  <c r="E16" i="20"/>
  <c r="F30" i="20"/>
  <c r="N23" i="20"/>
  <c r="F23" i="20"/>
  <c r="F37" i="20"/>
  <c r="F16" i="20"/>
  <c r="K37" i="20"/>
  <c r="L37" i="20"/>
  <c r="N37" i="20"/>
  <c r="L30" i="20"/>
  <c r="L16" i="20"/>
  <c r="N30" i="20"/>
  <c r="N16" i="20"/>
  <c r="C16" i="20"/>
  <c r="K30" i="20"/>
  <c r="O22" i="20"/>
  <c r="C15" i="20"/>
  <c r="G15" i="20"/>
  <c r="G24" i="20"/>
  <c r="P24" i="20"/>
  <c r="C23" i="20"/>
  <c r="C37" i="20"/>
  <c r="N3" i="20"/>
  <c r="N5" i="20"/>
  <c r="C17" i="20"/>
  <c r="G22" i="20"/>
  <c r="E36" i="20"/>
  <c r="M30" i="20"/>
  <c r="C29" i="20"/>
  <c r="F31" i="20"/>
  <c r="T6" i="20"/>
  <c r="C31" i="20"/>
  <c r="E31" i="20"/>
  <c r="G31" i="20"/>
  <c r="F17" i="20"/>
  <c r="P15" i="18"/>
  <c r="R15" i="18"/>
  <c r="G15" i="18"/>
  <c r="O15" i="18"/>
  <c r="E17" i="20"/>
  <c r="T7" i="20"/>
  <c r="R7" i="20"/>
  <c r="K16" i="20"/>
  <c r="F38" i="20"/>
  <c r="G38" i="20"/>
  <c r="C36" i="20"/>
  <c r="G36" i="20"/>
  <c r="F29" i="20"/>
  <c r="E12" i="21"/>
  <c r="B12" i="21"/>
  <c r="C12" i="21"/>
  <c r="D12" i="21"/>
  <c r="E29" i="20"/>
  <c r="G16" i="18"/>
  <c r="O16" i="18"/>
  <c r="O30" i="20"/>
  <c r="O37" i="20"/>
  <c r="G30" i="20"/>
  <c r="P30" i="20"/>
  <c r="O16" i="20"/>
  <c r="O23" i="20"/>
  <c r="G23" i="20"/>
  <c r="G16" i="20"/>
  <c r="G37" i="20"/>
  <c r="M15" i="20"/>
  <c r="Q3" i="20"/>
  <c r="T3" i="20"/>
  <c r="L15" i="20"/>
  <c r="N15" i="20"/>
  <c r="R3" i="20"/>
  <c r="P3" i="20"/>
  <c r="O3" i="20"/>
  <c r="K15" i="20"/>
  <c r="O15" i="20"/>
  <c r="P15" i="20"/>
  <c r="G29" i="20"/>
  <c r="P37" i="20"/>
  <c r="P22" i="20"/>
  <c r="G17" i="20"/>
  <c r="P23" i="20"/>
  <c r="L17" i="20"/>
  <c r="O5" i="20"/>
  <c r="P5" i="20"/>
  <c r="Q5" i="20"/>
  <c r="T5" i="20"/>
  <c r="N17" i="20"/>
  <c r="K17" i="20"/>
  <c r="M17" i="20"/>
  <c r="O17" i="20"/>
  <c r="R5" i="20"/>
  <c r="P16" i="20"/>
  <c r="K38" i="20"/>
  <c r="L38" i="20"/>
  <c r="M38" i="20"/>
  <c r="N38" i="20"/>
  <c r="O38" i="20"/>
  <c r="P38" i="20"/>
  <c r="K36" i="20"/>
  <c r="L36" i="20"/>
  <c r="M36" i="20"/>
  <c r="N36" i="20"/>
  <c r="P17" i="20"/>
  <c r="K29" i="20"/>
  <c r="L29" i="20"/>
  <c r="M29" i="20"/>
  <c r="N29" i="20"/>
  <c r="K31" i="20"/>
  <c r="L31" i="20"/>
  <c r="M31" i="20"/>
  <c r="N31" i="20"/>
  <c r="O31" i="20"/>
  <c r="P31" i="20"/>
  <c r="O29" i="20"/>
  <c r="P29" i="20"/>
  <c r="O36" i="20"/>
  <c r="P36" i="20"/>
  <c r="N3" i="18"/>
  <c r="N11" i="18"/>
  <c r="Q11" i="18" s="1"/>
  <c r="R11" i="18" s="1"/>
  <c r="N5" i="18"/>
  <c r="P5" i="18" s="1"/>
  <c r="I10" i="18"/>
  <c r="J10" i="18" s="1"/>
  <c r="P3" i="18"/>
  <c r="L36" i="16"/>
  <c r="K37" i="16"/>
  <c r="L23" i="16"/>
  <c r="K13" i="16"/>
  <c r="L26" i="16"/>
  <c r="K39" i="16"/>
  <c r="L22" i="16"/>
  <c r="K22" i="16"/>
  <c r="K38" i="16"/>
  <c r="K11" i="16"/>
  <c r="K17" i="16"/>
  <c r="K25" i="16"/>
  <c r="K40" i="16"/>
  <c r="K24" i="16"/>
  <c r="K21" i="16"/>
  <c r="K16" i="16"/>
  <c r="L20" i="16"/>
  <c r="L24" i="16"/>
  <c r="K15" i="16"/>
  <c r="K34" i="16"/>
  <c r="L31" i="16"/>
  <c r="L21" i="16"/>
  <c r="L16" i="16"/>
  <c r="K30" i="16"/>
  <c r="L44" i="16"/>
  <c r="L14" i="16"/>
  <c r="L27" i="16"/>
  <c r="K35" i="16"/>
  <c r="L18" i="16"/>
  <c r="L38" i="16"/>
  <c r="K23" i="16"/>
  <c r="L30" i="16"/>
  <c r="L32" i="16"/>
  <c r="K36" i="16"/>
  <c r="L33" i="16"/>
  <c r="K32" i="16"/>
  <c r="L12" i="16"/>
  <c r="K43" i="16"/>
  <c r="L34" i="16"/>
  <c r="L25" i="16"/>
  <c r="L19" i="16"/>
  <c r="L40" i="16"/>
  <c r="K44" i="16"/>
  <c r="K28" i="16"/>
  <c r="K41" i="16"/>
  <c r="K26" i="16"/>
  <c r="L35" i="16"/>
  <c r="L11" i="16"/>
  <c r="L28" i="16"/>
  <c r="K19" i="16"/>
  <c r="K14" i="16"/>
  <c r="L17" i="16"/>
  <c r="L37" i="16"/>
  <c r="L43" i="16"/>
  <c r="L15" i="16"/>
  <c r="L42" i="16"/>
  <c r="K20" i="16"/>
  <c r="K31" i="16"/>
  <c r="K18" i="16"/>
  <c r="K42" i="16"/>
  <c r="L13" i="16"/>
  <c r="K33" i="16"/>
  <c r="K29" i="16"/>
  <c r="L41" i="16"/>
  <c r="L39" i="16"/>
  <c r="K27" i="16"/>
  <c r="K12" i="16"/>
  <c r="L29" i="16"/>
  <c r="K11" i="18" l="1"/>
  <c r="K10" i="18"/>
  <c r="J11" i="18"/>
  <c r="K2" i="18"/>
  <c r="J2" i="18"/>
  <c r="J9" i="18"/>
  <c r="P6" i="18"/>
  <c r="G6" i="18"/>
  <c r="O6" i="18" s="1"/>
  <c r="Q6" i="18"/>
  <c r="R6" i="18" s="1"/>
  <c r="J4" i="18"/>
  <c r="J7" i="18"/>
  <c r="J3" i="18"/>
  <c r="K3" i="18"/>
  <c r="I13" i="18"/>
  <c r="Q10" i="18"/>
  <c r="R10" i="18" s="1"/>
  <c r="P10" i="18"/>
  <c r="G10" i="18"/>
  <c r="O10" i="18" s="1"/>
  <c r="G8" i="18"/>
  <c r="O8" i="18" s="1"/>
  <c r="Q8" i="18"/>
  <c r="R8" i="18" s="1"/>
  <c r="P8" i="18"/>
  <c r="H5" i="16"/>
  <c r="N2" i="18"/>
  <c r="N7" i="18"/>
  <c r="F5" i="16"/>
  <c r="I6" i="18"/>
  <c r="P11" i="18"/>
  <c r="Q5" i="18"/>
  <c r="R5" i="18" s="1"/>
  <c r="I8" i="18"/>
  <c r="K9" i="18" s="1"/>
  <c r="N9" i="18"/>
  <c r="H6" i="16"/>
  <c r="N4" i="18"/>
  <c r="I5" i="18"/>
  <c r="G11" i="18"/>
  <c r="O11" i="18" s="1"/>
  <c r="F12" i="18"/>
  <c r="G5" i="18"/>
  <c r="O5" i="18" s="1"/>
  <c r="F6" i="16"/>
  <c r="Q3" i="18"/>
  <c r="R3" i="18" s="1"/>
  <c r="G3" i="18"/>
  <c r="L11" i="18" l="1"/>
  <c r="M11" i="18"/>
  <c r="K6" i="18"/>
  <c r="M10" i="18" s="1"/>
  <c r="J6" i="18"/>
  <c r="J12" i="18" s="1"/>
  <c r="K7" i="18"/>
  <c r="I12" i="18"/>
  <c r="K12" i="18" s="1"/>
  <c r="G9" i="18"/>
  <c r="O9" i="18" s="1"/>
  <c r="P9" i="18"/>
  <c r="Q9" i="18"/>
  <c r="R9" i="18" s="1"/>
  <c r="J8" i="18"/>
  <c r="K8" i="18"/>
  <c r="J5" i="18"/>
  <c r="J13" i="18" s="1"/>
  <c r="K5" i="18"/>
  <c r="M9" i="18" s="1"/>
  <c r="K4" i="18"/>
  <c r="L3" i="18"/>
  <c r="M3" i="18"/>
  <c r="P4" i="18"/>
  <c r="Q4" i="18"/>
  <c r="R4" i="18" s="1"/>
  <c r="G4" i="18"/>
  <c r="O4" i="18" s="1"/>
  <c r="G7" i="18"/>
  <c r="O7" i="18" s="1"/>
  <c r="P7" i="18"/>
  <c r="Q7" i="18"/>
  <c r="R7" i="18" s="1"/>
  <c r="G13" i="18"/>
  <c r="O13" i="18" s="1"/>
  <c r="O3" i="18"/>
  <c r="G2" i="18"/>
  <c r="P2" i="18"/>
  <c r="Q2" i="18"/>
  <c r="N12" i="18"/>
  <c r="N13" i="18"/>
  <c r="G12" i="18" l="1"/>
  <c r="O12" i="18" s="1"/>
  <c r="O2" i="18"/>
  <c r="K13" i="18"/>
  <c r="L8" i="18"/>
  <c r="M8" i="18"/>
  <c r="M6" i="18"/>
  <c r="L6" i="18"/>
  <c r="M2" i="18"/>
  <c r="R2" i="18"/>
  <c r="R12" i="18" s="1"/>
  <c r="Q12" i="18"/>
  <c r="L4" i="18"/>
  <c r="M4" i="18"/>
  <c r="L10" i="18"/>
  <c r="L2" i="18"/>
  <c r="P12" i="18"/>
  <c r="L5" i="18"/>
  <c r="M5" i="18"/>
  <c r="L7" i="18"/>
  <c r="M7" i="18"/>
  <c r="L9" i="18"/>
</calcChain>
</file>

<file path=xl/sharedStrings.xml><?xml version="1.0" encoding="utf-8"?>
<sst xmlns="http://schemas.openxmlformats.org/spreadsheetml/2006/main" count="614" uniqueCount="172">
  <si>
    <t>STR %</t>
  </si>
  <si>
    <t>HP %</t>
  </si>
  <si>
    <t>短劍</t>
  </si>
  <si>
    <t>魔杖</t>
  </si>
  <si>
    <t>法杖</t>
  </si>
  <si>
    <t>斧</t>
  </si>
  <si>
    <t>總</t>
  </si>
  <si>
    <t>刀</t>
  </si>
  <si>
    <t>暗</t>
  </si>
  <si>
    <t>光</t>
  </si>
  <si>
    <t>槍</t>
  </si>
  <si>
    <t>風</t>
  </si>
  <si>
    <t>水</t>
  </si>
  <si>
    <t>弓</t>
  </si>
  <si>
    <t>火</t>
  </si>
  <si>
    <t>銀章</t>
  </si>
  <si>
    <t>金牌</t>
  </si>
  <si>
    <t>銀牌</t>
  </si>
  <si>
    <t>銅牌</t>
  </si>
  <si>
    <t>Lv</t>
  </si>
  <si>
    <t>單手劍</t>
  </si>
  <si>
    <t>強化%</t>
  </si>
  <si>
    <t>武器種</t>
  </si>
  <si>
    <t>需時</t>
  </si>
  <si>
    <t>等量鑽</t>
  </si>
  <si>
    <t>時間</t>
  </si>
  <si>
    <t>擁有</t>
  </si>
  <si>
    <t>需求</t>
  </si>
  <si>
    <t>進度</t>
  </si>
  <si>
    <t>場次</t>
  </si>
  <si>
    <t>場</t>
  </si>
  <si>
    <t>鑽</t>
  </si>
  <si>
    <t>平均</t>
  </si>
  <si>
    <t>樣本數</t>
  </si>
  <si>
    <t>真火</t>
  </si>
  <si>
    <t>真風</t>
  </si>
  <si>
    <t>掉落2</t>
  </si>
  <si>
    <t>掉落3</t>
  </si>
  <si>
    <t>掉落4</t>
  </si>
  <si>
    <t>掉落5</t>
  </si>
  <si>
    <t>滿龍</t>
  </si>
  <si>
    <t>滿建築</t>
  </si>
  <si>
    <t>滿龍+滿建築</t>
  </si>
  <si>
    <t>Building</t>
  </si>
  <si>
    <t>LB</t>
  </si>
  <si>
    <t>總計</t>
  </si>
  <si>
    <t>真水</t>
  </si>
  <si>
    <t>真光</t>
  </si>
  <si>
    <t>真暗</t>
  </si>
  <si>
    <t>建築</t>
  </si>
  <si>
    <t>等級</t>
  </si>
  <si>
    <t>突破</t>
  </si>
  <si>
    <t>龍</t>
  </si>
  <si>
    <t>已有</t>
  </si>
  <si>
    <t>總需求</t>
  </si>
  <si>
    <t>全滿</t>
  </si>
  <si>
    <t>翼</t>
  </si>
  <si>
    <t>前</t>
  </si>
  <si>
    <t>後</t>
  </si>
  <si>
    <t>小</t>
  </si>
  <si>
    <t>中</t>
  </si>
  <si>
    <t>大</t>
  </si>
  <si>
    <t>等量經驗</t>
  </si>
  <si>
    <t>經驗/場</t>
  </si>
  <si>
    <t>數量</t>
  </si>
  <si>
    <t>經驗</t>
  </si>
  <si>
    <t>預扣</t>
  </si>
  <si>
    <t>下級經驗</t>
  </si>
  <si>
    <t>存量</t>
  </si>
  <si>
    <t>可滿100</t>
  </si>
  <si>
    <t>100等</t>
  </si>
  <si>
    <t>建築資料</t>
  </si>
  <si>
    <t>等級經驗</t>
  </si>
  <si>
    <t>累積經驗</t>
  </si>
  <si>
    <t>額外</t>
  </si>
  <si>
    <t>場次(全)</t>
  </si>
  <si>
    <t>獲得經驗</t>
  </si>
  <si>
    <t>金</t>
  </si>
  <si>
    <t>銀</t>
  </si>
  <si>
    <t>掉落</t>
  </si>
  <si>
    <t>掉落/場</t>
  </si>
  <si>
    <t>屬性限定</t>
  </si>
  <si>
    <t>數量/場</t>
  </si>
  <si>
    <t>屬性</t>
  </si>
  <si>
    <t>場/數量</t>
  </si>
  <si>
    <t>銀2</t>
  </si>
  <si>
    <t>活動開始時間</t>
  </si>
  <si>
    <t>活動結束時間</t>
  </si>
  <si>
    <t>活動時長</t>
  </si>
  <si>
    <t>已經過時間</t>
  </si>
  <si>
    <t>目前進度</t>
  </si>
  <si>
    <t>目標</t>
  </si>
  <si>
    <t>預期進度</t>
  </si>
  <si>
    <t>預期差距</t>
  </si>
  <si>
    <t>目標差距</t>
  </si>
  <si>
    <t>金章</t>
  </si>
  <si>
    <t>戰貨</t>
  </si>
  <si>
    <t>最後預估</t>
  </si>
  <si>
    <t>基準行</t>
  </si>
  <si>
    <t>預計目標差距歸零時間</t>
  </si>
  <si>
    <t>剩餘時長</t>
  </si>
  <si>
    <t>火巨像</t>
  </si>
  <si>
    <t>光菇菇</t>
  </si>
  <si>
    <t>風雷鳥</t>
  </si>
  <si>
    <t>暗蠍獅</t>
  </si>
  <si>
    <t>暗巨像</t>
  </si>
  <si>
    <t>毛</t>
  </si>
  <si>
    <t>大章</t>
  </si>
  <si>
    <t>小章</t>
  </si>
  <si>
    <t/>
  </si>
  <si>
    <t>剩餘</t>
  </si>
  <si>
    <t>已得</t>
  </si>
  <si>
    <t>總需</t>
  </si>
  <si>
    <t>530/434</t>
  </si>
  <si>
    <t>預扣後</t>
  </si>
  <si>
    <t>預扣總</t>
  </si>
  <si>
    <t>龍之試煉</t>
  </si>
  <si>
    <t>量</t>
  </si>
  <si>
    <t>金幣</t>
  </si>
  <si>
    <t>銀幣</t>
  </si>
  <si>
    <t>銅幣</t>
  </si>
  <si>
    <t>60等</t>
  </si>
  <si>
    <t>80等</t>
  </si>
  <si>
    <t>交換總量</t>
  </si>
  <si>
    <t>滿龍+建築16等</t>
  </si>
  <si>
    <t>排位</t>
  </si>
  <si>
    <t>差異</t>
  </si>
  <si>
    <t>限定</t>
  </si>
  <si>
    <t>火幽靈</t>
  </si>
  <si>
    <t>水老頭</t>
  </si>
  <si>
    <t>阿格尼</t>
  </si>
  <si>
    <t>星期一</t>
  </si>
  <si>
    <t>星期二</t>
  </si>
  <si>
    <t>星期三</t>
  </si>
  <si>
    <t>星期四</t>
  </si>
  <si>
    <t>星期五</t>
  </si>
  <si>
    <t>星期六</t>
  </si>
  <si>
    <t>星期日</t>
  </si>
  <si>
    <t>O</t>
  </si>
  <si>
    <t>C</t>
  </si>
  <si>
    <t>場次需求</t>
  </si>
  <si>
    <t>16滿龍</t>
  </si>
  <si>
    <t>金錢</t>
  </si>
  <si>
    <t>幸運草</t>
  </si>
  <si>
    <t>龍爪石</t>
  </si>
  <si>
    <t>爪/草</t>
  </si>
  <si>
    <t>★3</t>
  </si>
  <si>
    <t>★4</t>
  </si>
  <si>
    <t>★5</t>
  </si>
  <si>
    <t>成長</t>
  </si>
  <si>
    <t>遺跡</t>
  </si>
  <si>
    <t>龍泣碑</t>
  </si>
  <si>
    <t>需求龍爪</t>
  </si>
  <si>
    <t>真火塔</t>
  </si>
  <si>
    <t>真風塔</t>
  </si>
  <si>
    <t>真水塔</t>
  </si>
  <si>
    <t>真光塔</t>
  </si>
  <si>
    <t>真暗塔</t>
  </si>
  <si>
    <t>火龍泣碑</t>
  </si>
  <si>
    <t>風龍泣碑</t>
  </si>
  <si>
    <t>水龍泣碑</t>
  </si>
  <si>
    <t>光龍泣碑</t>
  </si>
  <si>
    <t>暗龍泣碑</t>
  </si>
  <si>
    <t>草</t>
  </si>
  <si>
    <t>爪</t>
  </si>
  <si>
    <t>餵食</t>
  </si>
  <si>
    <t>龍爪</t>
  </si>
  <si>
    <t>Talon</t>
  </si>
  <si>
    <t>擁有數量</t>
  </si>
  <si>
    <t>換算進度</t>
  </si>
  <si>
    <t>換算爪</t>
  </si>
  <si>
    <t>爪需求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</si>
</sst>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\L\v\ General"/>
    <numFmt numFmtId="165" formatCode="General\ \%"/>
    <numFmt numFmtId="166" formatCode="0.0000"/>
    <numFmt numFmtId="167" formatCode="d\ \D\ hh\ \H"/>
    <numFmt numFmtId="168" formatCode="0.0%"/>
    <numFmt numFmtId="169" formatCode="0.00000"/>
    <numFmt numFmtId="170" formatCode="0.000"/>
    <numFmt numFmtId="171" formatCode="0.0,\ &quot;K&quot;"/>
    <numFmt numFmtId="172" formatCode="[h]\ \H"/>
    <numFmt numFmtId="173" formatCode="mm\-dd\ hh:mm"/>
    <numFmt numFmtId="174" formatCode="0.000%"/>
    <numFmt numFmtId="175" formatCode="[Color50]\+0.0,\ &quot;K&quot;;[Red]\-0.0,\ &quot;K&quot;"/>
    <numFmt numFmtId="176" formatCode="0.0000%"/>
    <numFmt numFmtId="177" formatCode="[&gt;3][h]\ \H;[&lt;=3][h]\ \H\ mm\ \M"/>
    <numFmt numFmtId="178" formatCode="[hh]\ \H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onsolas"/>
      <family val="3"/>
    </font>
    <font>
      <b/>
      <sz val="16"/>
      <name val="Consolas"/>
      <family val="3"/>
    </font>
    <font>
      <b/>
      <sz val="12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6"/>
      <color theme="1"/>
      <name val="Consolas"/>
      <family val="3"/>
    </font>
    <font>
      <b/>
      <sz val="14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B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9C9C9"/>
        <bgColor indexed="64"/>
      </patternFill>
    </fill>
  </fills>
  <borders count="19">
    <border>
      <left/>
      <right/>
      <top/>
      <bottom/>
      <diagonal/>
    </border>
    <border>
      <left style="thick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ck">
        <color theme="2" tint="-9.9978637043366805E-2"/>
      </left>
      <right/>
      <top style="thin">
        <color theme="2" tint="-9.9978637043366805E-2"/>
      </top>
      <bottom/>
      <diagonal/>
    </border>
    <border>
      <left/>
      <right style="thick">
        <color theme="2" tint="-9.9978637043366805E-2"/>
      </right>
      <top style="thin">
        <color theme="2" tint="-9.9978637043366805E-2"/>
      </top>
      <bottom/>
      <diagonal/>
    </border>
    <border diagonalDown="1">
      <left/>
      <right/>
      <top/>
      <bottom/>
      <diagonal style="thin">
        <color auto="1"/>
      </diagonal>
    </border>
    <border>
      <left/>
      <right/>
      <top style="thin">
        <color theme="2" tint="-9.9978637043366805E-2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8">
    <xf numFmtId="0" fontId="0" fillId="0" borderId="0" xfId="0"/>
    <xf numFmtId="0" fontId="0" fillId="0" borderId="0" xfId="0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166" fontId="0" fillId="7" borderId="0" xfId="0" applyNumberFormat="1" applyFill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  <xf numFmtId="167" fontId="3" fillId="3" borderId="1" xfId="0" applyNumberFormat="1" applyFont="1" applyFill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165" fontId="0" fillId="7" borderId="2" xfId="0" applyNumberForma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170" fontId="4" fillId="0" borderId="0" xfId="0" applyNumberFormat="1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2" fontId="0" fillId="0" borderId="0" xfId="1" applyNumberFormat="1" applyFont="1" applyAlignment="1">
      <alignment horizontal="center" vertical="center"/>
    </xf>
    <xf numFmtId="171" fontId="0" fillId="0" borderId="0" xfId="1" applyNumberFormat="1" applyFont="1" applyAlignment="1">
      <alignment horizontal="center" vertical="center"/>
    </xf>
    <xf numFmtId="175" fontId="0" fillId="0" borderId="0" xfId="1" applyNumberFormat="1" applyFont="1" applyAlignment="1">
      <alignment horizontal="center" vertical="center"/>
    </xf>
    <xf numFmtId="173" fontId="3" fillId="0" borderId="0" xfId="0" applyNumberFormat="1" applyFont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177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66" fontId="0" fillId="8" borderId="0" xfId="0" applyNumberFormat="1" applyFill="1" applyBorder="1" applyAlignment="1">
      <alignment horizontal="center" vertical="center"/>
    </xf>
    <xf numFmtId="166" fontId="0" fillId="7" borderId="0" xfId="0" applyNumberFormat="1" applyFill="1" applyBorder="1" applyAlignment="1">
      <alignment horizontal="center" vertical="center"/>
    </xf>
    <xf numFmtId="166" fontId="0" fillId="6" borderId="0" xfId="0" applyNumberFormat="1" applyFill="1" applyBorder="1" applyAlignment="1">
      <alignment horizontal="center" vertical="center"/>
    </xf>
    <xf numFmtId="166" fontId="0" fillId="5" borderId="0" xfId="0" applyNumberFormat="1" applyFill="1" applyBorder="1" applyAlignment="1">
      <alignment horizontal="center" vertical="center"/>
    </xf>
    <xf numFmtId="166" fontId="0" fillId="4" borderId="0" xfId="0" applyNumberFormat="1" applyFill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8" borderId="0" xfId="0" applyNumberFormat="1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/>
    </xf>
    <xf numFmtId="0" fontId="0" fillId="5" borderId="0" xfId="0" applyNumberFormat="1" applyFill="1" applyBorder="1" applyAlignment="1">
      <alignment horizontal="center" vertical="center"/>
    </xf>
    <xf numFmtId="0" fontId="0" fillId="4" borderId="0" xfId="0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5" fontId="9" fillId="3" borderId="0" xfId="0" applyNumberFormat="1" applyFont="1" applyFill="1" applyAlignment="1">
      <alignment horizontal="center" vertical="center"/>
    </xf>
    <xf numFmtId="164" fontId="2" fillId="8" borderId="0" xfId="0" applyNumberFormat="1" applyFont="1" applyFill="1" applyAlignment="1">
      <alignment horizontal="center" vertical="center"/>
    </xf>
    <xf numFmtId="164" fontId="2" fillId="7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8" fontId="0" fillId="8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0" fillId="4" borderId="1" xfId="0" applyNumberForma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168" fontId="0" fillId="8" borderId="0" xfId="1" applyNumberFormat="1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168" fontId="0" fillId="10" borderId="0" xfId="1" applyNumberFormat="1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168" fontId="0" fillId="11" borderId="0" xfId="1" applyNumberFormat="1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168" fontId="0" fillId="12" borderId="0" xfId="1" applyNumberFormat="1" applyFont="1" applyFill="1" applyBorder="1" applyAlignment="1">
      <alignment horizontal="center" vertical="center"/>
    </xf>
    <xf numFmtId="168" fontId="0" fillId="4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0" fillId="10" borderId="0" xfId="0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22" fillId="8" borderId="0" xfId="0" applyFont="1" applyFill="1" applyBorder="1" applyAlignment="1">
      <alignment horizontal="center" vertical="center"/>
    </xf>
    <xf numFmtId="0" fontId="22" fillId="10" borderId="0" xfId="0" applyFont="1" applyFill="1" applyBorder="1" applyAlignment="1">
      <alignment horizontal="center" vertical="center"/>
    </xf>
    <xf numFmtId="0" fontId="22" fillId="11" borderId="0" xfId="0" applyFont="1" applyFill="1" applyBorder="1" applyAlignment="1">
      <alignment horizontal="center" vertical="center"/>
    </xf>
    <xf numFmtId="0" fontId="22" fillId="12" borderId="0" xfId="0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66" fontId="3" fillId="7" borderId="0" xfId="0" applyNumberFormat="1" applyFont="1" applyFill="1" applyBorder="1" applyAlignment="1">
      <alignment horizontal="center" vertical="center"/>
    </xf>
    <xf numFmtId="166" fontId="3" fillId="6" borderId="0" xfId="0" applyNumberFormat="1" applyFont="1" applyFill="1" applyBorder="1" applyAlignment="1">
      <alignment horizontal="center" vertical="center"/>
    </xf>
    <xf numFmtId="166" fontId="3" fillId="5" borderId="0" xfId="0" applyNumberFormat="1" applyFont="1" applyFill="1" applyBorder="1" applyAlignment="1">
      <alignment horizontal="center" vertical="center"/>
    </xf>
    <xf numFmtId="166" fontId="3" fillId="4" borderId="0" xfId="0" applyNumberFormat="1" applyFont="1" applyFill="1" applyBorder="1" applyAlignment="1">
      <alignment horizontal="center" vertical="center"/>
    </xf>
    <xf numFmtId="10" fontId="7" fillId="0" borderId="0" xfId="1" applyNumberFormat="1" applyFont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166" fontId="0" fillId="19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3" fillId="20" borderId="0" xfId="0" applyNumberFormat="1" applyFont="1" applyFill="1" applyAlignment="1">
      <alignment horizontal="center" vertical="center"/>
    </xf>
    <xf numFmtId="166" fontId="0" fillId="20" borderId="0" xfId="0" applyNumberFormat="1" applyFill="1" applyAlignment="1">
      <alignment horizontal="center" vertical="center"/>
    </xf>
    <xf numFmtId="1" fontId="3" fillId="5" borderId="0" xfId="0" applyNumberFormat="1" applyFont="1" applyFill="1" applyBorder="1" applyAlignment="1">
      <alignment horizontal="center" vertical="center"/>
    </xf>
    <xf numFmtId="1" fontId="0" fillId="5" borderId="0" xfId="0" applyNumberForma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1" fontId="0" fillId="6" borderId="0" xfId="0" applyNumberFormat="1" applyFill="1" applyBorder="1" applyAlignment="1">
      <alignment horizontal="center" vertical="center"/>
    </xf>
    <xf numFmtId="1" fontId="3" fillId="7" borderId="0" xfId="0" applyNumberFormat="1" applyFont="1" applyFill="1" applyAlignment="1">
      <alignment horizontal="center" vertical="center"/>
    </xf>
    <xf numFmtId="1" fontId="0" fillId="8" borderId="0" xfId="0" applyNumberFormat="1" applyFill="1" applyBorder="1" applyAlignment="1">
      <alignment horizontal="center" vertical="center"/>
    </xf>
    <xf numFmtId="166" fontId="3" fillId="7" borderId="0" xfId="0" applyNumberFormat="1" applyFont="1" applyFill="1" applyAlignment="1">
      <alignment horizontal="center" vertical="center"/>
    </xf>
    <xf numFmtId="166" fontId="3" fillId="8" borderId="0" xfId="0" applyNumberFormat="1" applyFont="1" applyFill="1" applyBorder="1" applyAlignment="1">
      <alignment horizontal="center" vertical="center"/>
    </xf>
    <xf numFmtId="166" fontId="3" fillId="8" borderId="0" xfId="0" applyNumberFormat="1" applyFont="1" applyFill="1" applyAlignment="1">
      <alignment horizontal="center" vertical="center"/>
    </xf>
    <xf numFmtId="166" fontId="0" fillId="18" borderId="0" xfId="0" applyNumberFormat="1" applyFill="1" applyAlignment="1">
      <alignment horizontal="center" vertical="center"/>
    </xf>
    <xf numFmtId="1" fontId="3" fillId="8" borderId="0" xfId="0" applyNumberFormat="1" applyFont="1" applyFill="1" applyAlignment="1">
      <alignment horizontal="center" vertical="center"/>
    </xf>
    <xf numFmtId="1" fontId="3" fillId="7" borderId="0" xfId="0" applyNumberFormat="1" applyFont="1" applyFill="1" applyBorder="1" applyAlignment="1">
      <alignment horizontal="center" vertical="center"/>
    </xf>
    <xf numFmtId="1" fontId="0" fillId="7" borderId="0" xfId="0" applyNumberForma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1" fontId="3" fillId="18" borderId="0" xfId="0" applyNumberFormat="1" applyFont="1" applyFill="1" applyAlignment="1">
      <alignment horizontal="center" vertical="center"/>
    </xf>
    <xf numFmtId="1" fontId="0" fillId="18" borderId="0" xfId="0" applyNumberFormat="1" applyFill="1" applyAlignment="1">
      <alignment horizontal="center" vertical="center"/>
    </xf>
    <xf numFmtId="1" fontId="3" fillId="19" borderId="0" xfId="0" applyNumberFormat="1" applyFont="1" applyFill="1" applyAlignment="1">
      <alignment horizontal="center" vertical="center"/>
    </xf>
    <xf numFmtId="1" fontId="0" fillId="19" borderId="0" xfId="0" applyNumberFormat="1" applyFill="1" applyAlignment="1">
      <alignment horizontal="center" vertical="center"/>
    </xf>
    <xf numFmtId="1" fontId="3" fillId="20" borderId="0" xfId="0" applyNumberFormat="1" applyFont="1" applyFill="1" applyAlignment="1">
      <alignment horizontal="center" vertical="center"/>
    </xf>
    <xf numFmtId="1" fontId="0" fillId="20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1" borderId="0" xfId="0" applyFont="1" applyFill="1" applyBorder="1" applyAlignment="1">
      <alignment horizontal="center" vertical="center"/>
    </xf>
    <xf numFmtId="0" fontId="24" fillId="21" borderId="0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71" fontId="2" fillId="0" borderId="0" xfId="0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22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1" fontId="0" fillId="18" borderId="7" xfId="0" applyNumberForma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68" fontId="0" fillId="18" borderId="7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1" fontId="0" fillId="8" borderId="7" xfId="0" applyNumberFormat="1" applyFill="1" applyBorder="1" applyAlignment="1">
      <alignment horizontal="center" vertical="center"/>
    </xf>
    <xf numFmtId="166" fontId="0" fillId="8" borderId="7" xfId="0" applyNumberForma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6" fontId="0" fillId="3" borderId="0" xfId="0" applyNumberForma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1" fontId="0" fillId="19" borderId="9" xfId="0" applyNumberFormat="1" applyFill="1" applyBorder="1" applyAlignment="1">
      <alignment horizontal="center" vertical="center"/>
    </xf>
    <xf numFmtId="1" fontId="5" fillId="2" borderId="9" xfId="0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168" fontId="0" fillId="19" borderId="9" xfId="1" applyNumberFormat="1" applyFont="1" applyFill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1" fontId="0" fillId="8" borderId="9" xfId="0" applyNumberFormat="1" applyFill="1" applyBorder="1" applyAlignment="1">
      <alignment horizontal="center" vertical="center"/>
    </xf>
    <xf numFmtId="166" fontId="0" fillId="8" borderId="9" xfId="0" applyNumberForma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1" fontId="26" fillId="0" borderId="14" xfId="0" applyNumberFormat="1" applyFont="1" applyBorder="1" applyAlignment="1">
      <alignment horizontal="center" vertical="center"/>
    </xf>
    <xf numFmtId="1" fontId="8" fillId="2" borderId="14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1" fontId="0" fillId="7" borderId="9" xfId="0" applyNumberFormat="1" applyFill="1" applyBorder="1" applyAlignment="1">
      <alignment horizontal="center" vertical="center"/>
    </xf>
    <xf numFmtId="166" fontId="0" fillId="7" borderId="9" xfId="0" applyNumberForma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1" fontId="0" fillId="7" borderId="7" xfId="0" applyNumberFormat="1" applyFill="1" applyBorder="1" applyAlignment="1">
      <alignment horizontal="center" vertical="center"/>
    </xf>
    <xf numFmtId="166" fontId="0" fillId="7" borderId="7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1" fontId="0" fillId="6" borderId="9" xfId="0" applyNumberFormat="1" applyFill="1" applyBorder="1" applyAlignment="1">
      <alignment horizontal="center" vertical="center"/>
    </xf>
    <xf numFmtId="166" fontId="0" fillId="6" borderId="9" xfId="0" applyNumberForma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" fontId="0" fillId="6" borderId="7" xfId="0" applyNumberFormat="1" applyFill="1" applyBorder="1" applyAlignment="1">
      <alignment horizontal="center" vertical="center"/>
    </xf>
    <xf numFmtId="166" fontId="0" fillId="6" borderId="7" xfId="0" applyNumberForma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1" fontId="0" fillId="5" borderId="9" xfId="0" applyNumberFormat="1" applyFill="1" applyBorder="1" applyAlignment="1">
      <alignment horizontal="center" vertical="center"/>
    </xf>
    <xf numFmtId="166" fontId="0" fillId="5" borderId="9" xfId="0" applyNumberForma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1" fontId="0" fillId="5" borderId="7" xfId="0" applyNumberFormat="1" applyFill="1" applyBorder="1" applyAlignment="1">
      <alignment horizontal="center" vertical="center"/>
    </xf>
    <xf numFmtId="166" fontId="0" fillId="5" borderId="7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" fontId="0" fillId="4" borderId="9" xfId="0" applyNumberFormat="1" applyFill="1" applyBorder="1" applyAlignment="1">
      <alignment horizontal="center" vertical="center"/>
    </xf>
    <xf numFmtId="166" fontId="0" fillId="4" borderId="9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" fontId="0" fillId="4" borderId="7" xfId="0" applyNumberFormat="1" applyFill="1" applyBorder="1" applyAlignment="1">
      <alignment horizontal="center" vertical="center"/>
    </xf>
    <xf numFmtId="166" fontId="0" fillId="4" borderId="7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27" fillId="0" borderId="9" xfId="0" applyNumberFormat="1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166" fontId="0" fillId="3" borderId="9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1" fontId="27" fillId="0" borderId="7" xfId="0" applyNumberFormat="1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6" fontId="0" fillId="3" borderId="7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3" fillId="10" borderId="16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3" fillId="11" borderId="16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11" borderId="17" xfId="0" applyFont="1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3" fillId="12" borderId="17" xfId="0" applyFont="1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20" borderId="0" xfId="0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0" fontId="3" fillId="23" borderId="0" xfId="0" applyFont="1" applyFill="1" applyAlignment="1">
      <alignment horizontal="center" vertical="center"/>
    </xf>
    <xf numFmtId="166" fontId="0" fillId="23" borderId="0" xfId="0" applyNumberFormat="1" applyFill="1" applyAlignment="1">
      <alignment horizontal="center" vertical="center"/>
    </xf>
    <xf numFmtId="166" fontId="0" fillId="14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14" borderId="0" xfId="0" applyNumberFormat="1" applyFill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3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174" fontId="0" fillId="0" borderId="0" xfId="1" applyNumberFormat="1" applyFont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3" borderId="9" xfId="0" applyNumberFormat="1" applyFill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66" fontId="3" fillId="8" borderId="0" xfId="0" applyNumberFormat="1" applyFont="1" applyFill="1" applyAlignment="1">
      <alignment horizontal="center" vertical="center"/>
    </xf>
    <xf numFmtId="166" fontId="3" fillId="20" borderId="0" xfId="0" applyNumberFormat="1" applyFont="1" applyFill="1" applyAlignment="1">
      <alignment horizontal="center" vertical="center"/>
    </xf>
    <xf numFmtId="0" fontId="13" fillId="22" borderId="0" xfId="0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6" fontId="3" fillId="6" borderId="0" xfId="0" applyNumberFormat="1" applyFont="1" applyFill="1" applyAlignment="1">
      <alignment horizontal="center" vertical="center"/>
    </xf>
    <xf numFmtId="166" fontId="3" fillId="7" borderId="0" xfId="0" applyNumberFormat="1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3" fillId="4" borderId="0" xfId="0" applyNumberFormat="1" applyFont="1" applyFill="1" applyAlignment="1">
      <alignment horizontal="center" vertical="center"/>
    </xf>
    <xf numFmtId="166" fontId="3" fillId="5" borderId="0" xfId="0" applyNumberFormat="1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170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3" fillId="12" borderId="10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11" borderId="10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9" fontId="7" fillId="4" borderId="0" xfId="0" applyNumberFormat="1" applyFont="1" applyFill="1" applyAlignment="1">
      <alignment horizontal="center" vertical="center"/>
    </xf>
    <xf numFmtId="169" fontId="7" fillId="12" borderId="0" xfId="0" applyNumberFormat="1" applyFont="1" applyFill="1" applyAlignment="1">
      <alignment horizontal="center" vertical="center"/>
    </xf>
    <xf numFmtId="169" fontId="7" fillId="11" borderId="0" xfId="0" applyNumberFormat="1" applyFont="1" applyFill="1" applyAlignment="1">
      <alignment horizontal="center" vertical="center"/>
    </xf>
    <xf numFmtId="169" fontId="7" fillId="10" borderId="0" xfId="0" applyNumberFormat="1" applyFont="1" applyFill="1" applyAlignment="1">
      <alignment horizontal="center" vertical="center"/>
    </xf>
    <xf numFmtId="169" fontId="7" fillId="8" borderId="0" xfId="0" applyNumberFormat="1" applyFont="1" applyFill="1" applyAlignment="1">
      <alignment horizontal="center" vertical="center"/>
    </xf>
    <xf numFmtId="10" fontId="16" fillId="0" borderId="0" xfId="1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7" fillId="12" borderId="0" xfId="0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7" fillId="11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F2CC"/>
      <color rgb="FFFFC000"/>
      <color rgb="FFC9C9C9"/>
      <color rgb="FFCD7F32"/>
      <color rgb="FFD0B9FF"/>
      <color rgb="FFDDEBF7"/>
      <color rgb="FFE2EFDA"/>
      <color rgb="FFFFBDBD"/>
      <color rgb="FFD0C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7385-ECEF-4EFC-B1CD-4CC17E531B40}">
  <sheetPr>
    <tabColor rgb="FFFFF2CC"/>
  </sheetPr>
  <dimension ref="A1:L100"/>
  <sheetViews>
    <sheetView workbookViewId="0">
      <selection activeCell="E15" sqref="E15"/>
    </sheetView>
  </sheetViews>
  <sheetFormatPr defaultColWidth="9.140625" defaultRowHeight="15" x14ac:dyDescent="0.25"/>
  <cols>
    <col min="1" max="1" width="14" style="37" customWidth="1"/>
    <col min="2" max="3" width="9.140625" style="30"/>
    <col min="4" max="5" width="9.140625" style="21"/>
    <col min="6" max="9" width="9.140625" style="1"/>
    <col min="10" max="10" width="6.5703125" style="1" customWidth="1"/>
    <col min="11" max="12" width="11.140625" style="1" customWidth="1"/>
    <col min="13" max="16384" width="9.140625" style="1"/>
  </cols>
  <sheetData>
    <row r="1" spans="1:12" x14ac:dyDescent="0.25">
      <c r="A1" s="34" t="s">
        <v>86</v>
      </c>
      <c r="B1" s="353">
        <v>43523.916666666664</v>
      </c>
      <c r="C1" s="353"/>
      <c r="D1" s="36" t="s">
        <v>100</v>
      </c>
      <c r="E1" s="36" t="s">
        <v>88</v>
      </c>
      <c r="F1" s="354" t="s">
        <v>89</v>
      </c>
      <c r="G1" s="354"/>
      <c r="H1" s="354"/>
    </row>
    <row r="2" spans="1:12" x14ac:dyDescent="0.25">
      <c r="A2" s="34" t="s">
        <v>87</v>
      </c>
      <c r="B2" s="353">
        <v>43535.916666666664</v>
      </c>
      <c r="C2" s="353"/>
      <c r="D2" s="38" t="str">
        <f ca="1">IF(RAID_TIME_END-NOW()&lt;0,"",RAID_TIME_END-NOW())</f>
        <v/>
      </c>
      <c r="E2" s="31">
        <f>B2-B1</f>
        <v>12</v>
      </c>
      <c r="F2" s="355" t="str">
        <f ca="1">IF(NOW() &gt; $B$2,"",(NOW()-$B$1)/($B$2-$B$1))</f>
        <v/>
      </c>
      <c r="G2" s="355"/>
      <c r="H2" s="355"/>
    </row>
    <row r="4" spans="1:12" x14ac:dyDescent="0.25">
      <c r="A4" s="34"/>
      <c r="B4" s="35" t="s">
        <v>90</v>
      </c>
      <c r="C4" s="35" t="s">
        <v>92</v>
      </c>
      <c r="D4" s="35" t="s">
        <v>97</v>
      </c>
      <c r="E4" s="35" t="s">
        <v>91</v>
      </c>
      <c r="F4" s="352" t="s">
        <v>90</v>
      </c>
      <c r="G4" s="352"/>
      <c r="H4" s="22" t="s">
        <v>93</v>
      </c>
      <c r="I4" s="22" t="s">
        <v>94</v>
      </c>
      <c r="J4" s="22"/>
    </row>
    <row r="5" spans="1:12" x14ac:dyDescent="0.25">
      <c r="A5" s="34" t="s">
        <v>95</v>
      </c>
      <c r="B5" s="30">
        <f>LOOKUP(2,1/(NOT(ISBLANK(B:B))),B:B)</f>
        <v>139176</v>
      </c>
      <c r="C5" s="30">
        <f ca="1">$E$5*(NOW()-$B$1)/$E$2</f>
        <v>788032.56221071945</v>
      </c>
      <c r="D5" s="30">
        <f ca="1">B5*$E$2/(NOW()-$B$1)</f>
        <v>26491.798690950116</v>
      </c>
      <c r="E5" s="169">
        <v>150000</v>
      </c>
      <c r="F5" s="356">
        <f>B5/E5</f>
        <v>0.92784</v>
      </c>
      <c r="G5" s="356"/>
      <c r="H5" s="33">
        <f ca="1">B5 - (E5*(NOW()-$B$1)/$E$2)</f>
        <v>-648856.56221071945</v>
      </c>
      <c r="I5" s="33">
        <f ca="1">D5-RAID_GOAL_EMBLEM</f>
        <v>-123508.20130904988</v>
      </c>
      <c r="J5" s="21"/>
    </row>
    <row r="6" spans="1:12" x14ac:dyDescent="0.25">
      <c r="A6" s="34" t="s">
        <v>96</v>
      </c>
      <c r="B6" s="30">
        <f>LOOKUP(2,1/(NOT(ISBLANK(C:C))),C:C)</f>
        <v>121735</v>
      </c>
      <c r="C6" s="30">
        <f ca="1">$E$6*(NOW()-$B$1)/$E$2</f>
        <v>525355.04147381289</v>
      </c>
      <c r="D6" s="30">
        <f ca="1">B6*$E$2/(NOW()-$B$1)</f>
        <v>23171.948566152299</v>
      </c>
      <c r="E6" s="169">
        <v>100000</v>
      </c>
      <c r="F6" s="356">
        <f>B6/E6</f>
        <v>1.2173499999999999</v>
      </c>
      <c r="G6" s="356"/>
      <c r="H6" s="33">
        <f ca="1">B6 - (E6*(NOW()-$B$1)/$E$2)</f>
        <v>-403620.04147381289</v>
      </c>
      <c r="I6" s="33">
        <f ca="1">D6-RAID_GOAL_BLAZON</f>
        <v>-76828.051433847693</v>
      </c>
      <c r="J6" s="21"/>
    </row>
    <row r="8" spans="1:12" x14ac:dyDescent="0.25">
      <c r="A8" s="34"/>
      <c r="B8" s="351" t="s">
        <v>90</v>
      </c>
      <c r="C8" s="351"/>
      <c r="D8" s="352" t="s">
        <v>92</v>
      </c>
      <c r="E8" s="352"/>
      <c r="F8" s="352" t="s">
        <v>97</v>
      </c>
      <c r="G8" s="352"/>
      <c r="H8" s="354" t="s">
        <v>94</v>
      </c>
      <c r="I8" s="354"/>
      <c r="J8" s="354" t="s">
        <v>99</v>
      </c>
      <c r="K8" s="354"/>
      <c r="L8" s="354"/>
    </row>
    <row r="9" spans="1:12" x14ac:dyDescent="0.25">
      <c r="A9" s="34" t="s">
        <v>25</v>
      </c>
      <c r="B9" s="36" t="s">
        <v>95</v>
      </c>
      <c r="C9" s="36" t="s">
        <v>96</v>
      </c>
      <c r="D9" s="36" t="s">
        <v>95</v>
      </c>
      <c r="E9" s="36" t="s">
        <v>96</v>
      </c>
      <c r="F9" s="36" t="s">
        <v>95</v>
      </c>
      <c r="G9" s="36" t="s">
        <v>96</v>
      </c>
      <c r="H9" s="36" t="s">
        <v>95</v>
      </c>
      <c r="I9" s="36" t="s">
        <v>96</v>
      </c>
      <c r="J9" s="36" t="s">
        <v>98</v>
      </c>
      <c r="K9" s="36" t="s">
        <v>95</v>
      </c>
      <c r="L9" s="36" t="s">
        <v>96</v>
      </c>
    </row>
    <row r="10" spans="1:12" x14ac:dyDescent="0.25">
      <c r="A10" s="37">
        <v>43523.916666666664</v>
      </c>
      <c r="B10" s="30">
        <v>0</v>
      </c>
      <c r="C10" s="30">
        <v>0</v>
      </c>
      <c r="D10" s="32">
        <f t="shared" ref="D10:D44" si="0">$E$5*($A10-$B$1)/$E$2</f>
        <v>0</v>
      </c>
      <c r="E10" s="32">
        <f t="shared" ref="E10:E44" si="1">$E$6*($A10-$B$1)/$E$2</f>
        <v>0</v>
      </c>
      <c r="F10" s="32" t="str">
        <f t="shared" ref="F10:F44" si="2">IFERROR(B10*$E$2/($A10-$B$1),"")</f>
        <v/>
      </c>
      <c r="G10" s="32" t="str">
        <f t="shared" ref="G10:G44" si="3">IFERROR(C10*$E$2/($A10-$B$1),"")</f>
        <v/>
      </c>
      <c r="H10" s="33" t="str">
        <f t="shared" ref="H10:H44" si="4">IFERROR(F10 - RAID_GOAL_EMBLEM,"")</f>
        <v/>
      </c>
      <c r="I10" s="33" t="str">
        <f t="shared" ref="I10:I44" si="5">IFERROR(G10 - RAID_GOAL_BLAZON,"")</f>
        <v/>
      </c>
      <c r="J10" s="21"/>
    </row>
    <row r="11" spans="1:12" x14ac:dyDescent="0.25">
      <c r="A11" s="37">
        <v>43527.209027777775</v>
      </c>
      <c r="B11" s="30">
        <v>35443</v>
      </c>
      <c r="C11" s="30">
        <v>33148</v>
      </c>
      <c r="D11" s="32">
        <f t="shared" si="0"/>
        <v>41154.513888886868</v>
      </c>
      <c r="E11" s="32">
        <f t="shared" si="1"/>
        <v>27436.342592591245</v>
      </c>
      <c r="F11" s="32">
        <f t="shared" si="2"/>
        <v>129182.67032272308</v>
      </c>
      <c r="G11" s="32">
        <f t="shared" si="3"/>
        <v>120817.85277368237</v>
      </c>
      <c r="H11" s="33">
        <f t="shared" si="4"/>
        <v>-20817.329677276924</v>
      </c>
      <c r="I11" s="33">
        <f t="shared" si="5"/>
        <v>20817.852773682374</v>
      </c>
      <c r="J11" s="21"/>
      <c r="K11" s="37" t="str">
        <f t="shared" ref="K11:K44" ca="1" si="6">IFERROR(IF(AND(INDIRECT("H" &amp; $J11)&lt;0,H11-INDIRECT("H" &amp; $J11)&gt;0),((-H11*($A11-INDIRECT("$A" &amp; $J11)))/(H11-INDIRECT("H" &amp; $J11)))+INDIRECT("$A" &amp; $J11),""),"")</f>
        <v/>
      </c>
      <c r="L11" s="37" t="str">
        <f t="shared" ref="L11:L44" ca="1" si="7">IFERROR(IF(AND(INDIRECT("I" &amp; $J11)&lt;0,I11-INDIRECT("I" &amp; $J11)&gt;0),((-I11*($A11-INDIRECT("$A" &amp; $J11)))/(I11-INDIRECT("I" &amp; $J11)))+INDIRECT("$A" &amp; $J11),""),"")</f>
        <v/>
      </c>
    </row>
    <row r="12" spans="1:12" x14ac:dyDescent="0.25">
      <c r="A12" s="37">
        <v>43527.445138888892</v>
      </c>
      <c r="B12" s="30">
        <v>41400</v>
      </c>
      <c r="C12" s="30">
        <v>37937</v>
      </c>
      <c r="D12" s="32">
        <f t="shared" si="0"/>
        <v>44105.902777846495</v>
      </c>
      <c r="E12" s="32">
        <f t="shared" si="1"/>
        <v>29403.935185230996</v>
      </c>
      <c r="F12" s="32">
        <f t="shared" si="2"/>
        <v>140797.48081064463</v>
      </c>
      <c r="G12" s="32">
        <f t="shared" si="3"/>
        <v>129020.14564042092</v>
      </c>
      <c r="H12" s="33">
        <f t="shared" si="4"/>
        <v>-9202.5191893553711</v>
      </c>
      <c r="I12" s="33">
        <f t="shared" si="5"/>
        <v>29020.145640420917</v>
      </c>
      <c r="J12" s="21"/>
      <c r="K12" s="37" t="str">
        <f t="shared" ca="1" si="6"/>
        <v/>
      </c>
      <c r="L12" s="37" t="str">
        <f t="shared" ca="1" si="7"/>
        <v/>
      </c>
    </row>
    <row r="13" spans="1:12" x14ac:dyDescent="0.25">
      <c r="A13" s="37">
        <v>43527.46875</v>
      </c>
      <c r="B13" s="30">
        <v>41929</v>
      </c>
      <c r="C13" s="30">
        <v>38415</v>
      </c>
      <c r="D13" s="32">
        <f t="shared" si="0"/>
        <v>44401.041666696983</v>
      </c>
      <c r="E13" s="32">
        <f t="shared" si="1"/>
        <v>29600.694444464654</v>
      </c>
      <c r="F13" s="32">
        <f t="shared" si="2"/>
        <v>141648.70381221999</v>
      </c>
      <c r="G13" s="32">
        <f t="shared" si="3"/>
        <v>129777.36070372371</v>
      </c>
      <c r="H13" s="33">
        <f t="shared" si="4"/>
        <v>-8351.2961877800117</v>
      </c>
      <c r="I13" s="33">
        <f t="shared" si="5"/>
        <v>29777.360703723709</v>
      </c>
      <c r="J13" s="21"/>
      <c r="K13" s="37" t="str">
        <f t="shared" ca="1" si="6"/>
        <v/>
      </c>
      <c r="L13" s="37" t="str">
        <f t="shared" ca="1" si="7"/>
        <v/>
      </c>
    </row>
    <row r="14" spans="1:12" x14ac:dyDescent="0.25">
      <c r="A14" s="37">
        <v>43527.868055555555</v>
      </c>
      <c r="B14" s="30">
        <v>43438</v>
      </c>
      <c r="C14" s="30">
        <v>39551</v>
      </c>
      <c r="D14" s="32">
        <f t="shared" si="0"/>
        <v>49392.361111131322</v>
      </c>
      <c r="E14" s="32">
        <f t="shared" si="1"/>
        <v>32928.240740754212</v>
      </c>
      <c r="F14" s="32">
        <f t="shared" si="2"/>
        <v>131917.15992964726</v>
      </c>
      <c r="G14" s="32">
        <f t="shared" si="3"/>
        <v>120112.70298764856</v>
      </c>
      <c r="H14" s="33">
        <f t="shared" si="4"/>
        <v>-18082.840070352744</v>
      </c>
      <c r="I14" s="33">
        <f t="shared" si="5"/>
        <v>20112.702987648561</v>
      </c>
      <c r="J14" s="21"/>
      <c r="K14" s="37" t="str">
        <f t="shared" ca="1" si="6"/>
        <v/>
      </c>
      <c r="L14" s="37" t="str">
        <f t="shared" ca="1" si="7"/>
        <v/>
      </c>
    </row>
    <row r="15" spans="1:12" x14ac:dyDescent="0.25">
      <c r="A15" s="37">
        <v>43527.994444444441</v>
      </c>
      <c r="B15" s="30">
        <v>44772</v>
      </c>
      <c r="C15" s="30">
        <v>40959</v>
      </c>
      <c r="D15" s="32">
        <f t="shared" si="0"/>
        <v>50972.222222208075</v>
      </c>
      <c r="E15" s="32">
        <f t="shared" si="1"/>
        <v>33981.481481472052</v>
      </c>
      <c r="F15" s="32">
        <f t="shared" si="2"/>
        <v>131754.11444145345</v>
      </c>
      <c r="G15" s="32">
        <f t="shared" si="3"/>
        <v>120533.29700275825</v>
      </c>
      <c r="H15" s="33">
        <f t="shared" si="4"/>
        <v>-18245.88555854655</v>
      </c>
      <c r="I15" s="33">
        <f t="shared" si="5"/>
        <v>20533.297002758249</v>
      </c>
      <c r="J15" s="21"/>
      <c r="K15" s="37" t="str">
        <f t="shared" ca="1" si="6"/>
        <v/>
      </c>
      <c r="L15" s="37" t="str">
        <f t="shared" ca="1" si="7"/>
        <v/>
      </c>
    </row>
    <row r="16" spans="1:12" x14ac:dyDescent="0.25">
      <c r="A16" s="37">
        <v>43528.058333333334</v>
      </c>
      <c r="B16" s="30">
        <v>46140</v>
      </c>
      <c r="C16" s="30">
        <v>42221</v>
      </c>
      <c r="D16" s="32">
        <f t="shared" si="0"/>
        <v>51770.833333375776</v>
      </c>
      <c r="E16" s="32">
        <f t="shared" si="1"/>
        <v>34513.888888917187</v>
      </c>
      <c r="F16" s="32">
        <f t="shared" si="2"/>
        <v>133685.31187111777</v>
      </c>
      <c r="G16" s="32">
        <f t="shared" si="3"/>
        <v>122330.46277655967</v>
      </c>
      <c r="H16" s="33">
        <f t="shared" si="4"/>
        <v>-16314.688128882233</v>
      </c>
      <c r="I16" s="33">
        <f t="shared" si="5"/>
        <v>22330.462776559667</v>
      </c>
      <c r="J16" s="21"/>
      <c r="K16" s="37" t="str">
        <f t="shared" ca="1" si="6"/>
        <v/>
      </c>
      <c r="L16" s="37" t="str">
        <f t="shared" ca="1" si="7"/>
        <v/>
      </c>
    </row>
    <row r="17" spans="1:12" x14ac:dyDescent="0.25">
      <c r="A17" s="37">
        <v>43528.272222222222</v>
      </c>
      <c r="B17" s="30">
        <v>48207</v>
      </c>
      <c r="C17" s="30">
        <v>43929</v>
      </c>
      <c r="D17" s="32">
        <f t="shared" si="0"/>
        <v>54444.444444470719</v>
      </c>
      <c r="E17" s="32">
        <f t="shared" si="1"/>
        <v>36296.296296313812</v>
      </c>
      <c r="F17" s="32">
        <f t="shared" si="2"/>
        <v>132815.20408156855</v>
      </c>
      <c r="G17" s="32">
        <f t="shared" si="3"/>
        <v>121028.877550962</v>
      </c>
      <c r="H17" s="33">
        <f t="shared" si="4"/>
        <v>-17184.795918431453</v>
      </c>
      <c r="I17" s="33">
        <f t="shared" si="5"/>
        <v>21028.877550962003</v>
      </c>
      <c r="J17" s="21"/>
      <c r="K17" s="37" t="str">
        <f t="shared" ca="1" si="6"/>
        <v/>
      </c>
      <c r="L17" s="37" t="str">
        <f t="shared" ca="1" si="7"/>
        <v/>
      </c>
    </row>
    <row r="18" spans="1:12" x14ac:dyDescent="0.25">
      <c r="A18" s="37">
        <v>43528.572222222225</v>
      </c>
      <c r="B18" s="30">
        <v>51946</v>
      </c>
      <c r="C18" s="30">
        <v>47141</v>
      </c>
      <c r="D18" s="32">
        <f t="shared" si="0"/>
        <v>58194.444444507099</v>
      </c>
      <c r="E18" s="32">
        <f t="shared" si="1"/>
        <v>38796.296296338063</v>
      </c>
      <c r="F18" s="32">
        <f t="shared" si="2"/>
        <v>133894.22434353127</v>
      </c>
      <c r="G18" s="32">
        <f t="shared" si="3"/>
        <v>121509.02147958278</v>
      </c>
      <c r="H18" s="33">
        <f t="shared" si="4"/>
        <v>-16105.77565646873</v>
      </c>
      <c r="I18" s="33">
        <f t="shared" si="5"/>
        <v>21509.021479582778</v>
      </c>
      <c r="J18" s="21"/>
      <c r="K18" s="37" t="str">
        <f t="shared" ca="1" si="6"/>
        <v/>
      </c>
      <c r="L18" s="37" t="str">
        <f t="shared" ca="1" si="7"/>
        <v/>
      </c>
    </row>
    <row r="19" spans="1:12" x14ac:dyDescent="0.25">
      <c r="A19" s="37">
        <v>43528.772916666669</v>
      </c>
      <c r="B19" s="30">
        <v>55757</v>
      </c>
      <c r="C19" s="30">
        <v>50060</v>
      </c>
      <c r="D19" s="32">
        <f t="shared" si="0"/>
        <v>60703.12500005457</v>
      </c>
      <c r="E19" s="32">
        <f t="shared" si="1"/>
        <v>40468.75000003638</v>
      </c>
      <c r="F19" s="32">
        <f t="shared" si="2"/>
        <v>137777.91505779119</v>
      </c>
      <c r="G19" s="32">
        <f t="shared" si="3"/>
        <v>123700.3861002749</v>
      </c>
      <c r="H19" s="33">
        <f t="shared" si="4"/>
        <v>-12222.084942208807</v>
      </c>
      <c r="I19" s="33">
        <f t="shared" si="5"/>
        <v>23700.386100274904</v>
      </c>
      <c r="J19" s="21"/>
      <c r="K19" s="37" t="str">
        <f t="shared" ca="1" si="6"/>
        <v/>
      </c>
      <c r="L19" s="37" t="str">
        <f t="shared" ca="1" si="7"/>
        <v/>
      </c>
    </row>
    <row r="20" spans="1:12" x14ac:dyDescent="0.25">
      <c r="A20" s="37">
        <v>43529.173611111109</v>
      </c>
      <c r="B20" s="30">
        <v>56596</v>
      </c>
      <c r="C20" s="30">
        <v>51008</v>
      </c>
      <c r="D20" s="32">
        <f t="shared" si="0"/>
        <v>65711.805555565661</v>
      </c>
      <c r="E20" s="32">
        <f t="shared" si="1"/>
        <v>43807.87037037711</v>
      </c>
      <c r="F20" s="32">
        <f t="shared" si="2"/>
        <v>129191.397622173</v>
      </c>
      <c r="G20" s="32">
        <f t="shared" si="3"/>
        <v>116435.69881107853</v>
      </c>
      <c r="H20" s="33">
        <f t="shared" si="4"/>
        <v>-20808.602377827003</v>
      </c>
      <c r="I20" s="33">
        <f t="shared" si="5"/>
        <v>16435.698811078531</v>
      </c>
      <c r="J20" s="21"/>
      <c r="K20" s="37" t="str">
        <f t="shared" ca="1" si="6"/>
        <v/>
      </c>
      <c r="L20" s="37" t="str">
        <f t="shared" ca="1" si="7"/>
        <v/>
      </c>
    </row>
    <row r="21" spans="1:12" x14ac:dyDescent="0.25">
      <c r="A21" s="37">
        <v>43529.252083333333</v>
      </c>
      <c r="B21" s="30">
        <v>58035</v>
      </c>
      <c r="C21" s="30">
        <v>52216</v>
      </c>
      <c r="D21" s="32">
        <f t="shared" si="0"/>
        <v>66692.708333357587</v>
      </c>
      <c r="E21" s="32">
        <f t="shared" si="1"/>
        <v>44461.805555571722</v>
      </c>
      <c r="F21" s="32">
        <f t="shared" si="2"/>
        <v>130527.76259268975</v>
      </c>
      <c r="G21" s="32">
        <f t="shared" si="3"/>
        <v>117440.12495114823</v>
      </c>
      <c r="H21" s="33">
        <f t="shared" si="4"/>
        <v>-19472.237407310255</v>
      </c>
      <c r="I21" s="33">
        <f t="shared" si="5"/>
        <v>17440.124951148231</v>
      </c>
      <c r="J21" s="21"/>
      <c r="K21" s="37" t="str">
        <f t="shared" ca="1" si="6"/>
        <v/>
      </c>
      <c r="L21" s="37" t="str">
        <f t="shared" ca="1" si="7"/>
        <v/>
      </c>
    </row>
    <row r="22" spans="1:12" x14ac:dyDescent="0.25">
      <c r="A22" s="37">
        <v>43529.332638888889</v>
      </c>
      <c r="B22" s="30">
        <v>58777</v>
      </c>
      <c r="C22" s="30">
        <v>52824</v>
      </c>
      <c r="D22" s="32">
        <f t="shared" si="0"/>
        <v>67699.652777810115</v>
      </c>
      <c r="E22" s="32">
        <f t="shared" si="1"/>
        <v>45133.101851873413</v>
      </c>
      <c r="F22" s="32">
        <f t="shared" si="2"/>
        <v>130230.35773810935</v>
      </c>
      <c r="G22" s="32">
        <f t="shared" si="3"/>
        <v>117040.48211303551</v>
      </c>
      <c r="H22" s="33">
        <f t="shared" si="4"/>
        <v>-19769.642261890651</v>
      </c>
      <c r="I22" s="33">
        <f t="shared" si="5"/>
        <v>17040.482113035512</v>
      </c>
      <c r="J22" s="21"/>
      <c r="K22" s="37" t="str">
        <f t="shared" ca="1" si="6"/>
        <v/>
      </c>
      <c r="L22" s="37" t="str">
        <f t="shared" ca="1" si="7"/>
        <v/>
      </c>
    </row>
    <row r="23" spans="1:12" x14ac:dyDescent="0.25">
      <c r="A23" s="37">
        <v>43529.574999999997</v>
      </c>
      <c r="B23" s="30">
        <v>62350</v>
      </c>
      <c r="C23" s="30">
        <v>55746</v>
      </c>
      <c r="D23" s="32">
        <f t="shared" si="0"/>
        <v>70729.166666660603</v>
      </c>
      <c r="E23" s="32">
        <f t="shared" si="1"/>
        <v>47152.777777773736</v>
      </c>
      <c r="F23" s="32">
        <f t="shared" si="2"/>
        <v>132229.74963182284</v>
      </c>
      <c r="G23" s="32">
        <f t="shared" si="3"/>
        <v>118224.21207659335</v>
      </c>
      <c r="H23" s="33">
        <f t="shared" si="4"/>
        <v>-17770.250368177163</v>
      </c>
      <c r="I23" s="33">
        <f t="shared" si="5"/>
        <v>18224.212076593351</v>
      </c>
      <c r="J23" s="21"/>
      <c r="K23" s="37" t="str">
        <f t="shared" ca="1" si="6"/>
        <v/>
      </c>
      <c r="L23" s="37" t="str">
        <f t="shared" ca="1" si="7"/>
        <v/>
      </c>
    </row>
    <row r="24" spans="1:12" x14ac:dyDescent="0.25">
      <c r="A24" s="37">
        <v>43529.856249999997</v>
      </c>
      <c r="B24" s="30">
        <v>67839</v>
      </c>
      <c r="C24" s="30">
        <v>60364</v>
      </c>
      <c r="D24" s="32">
        <f t="shared" si="0"/>
        <v>74244.791666660603</v>
      </c>
      <c r="E24" s="32">
        <f t="shared" si="1"/>
        <v>49496.527777773736</v>
      </c>
      <c r="F24" s="32">
        <f t="shared" si="2"/>
        <v>137058.09891267342</v>
      </c>
      <c r="G24" s="32">
        <f t="shared" si="3"/>
        <v>121956.02946335616</v>
      </c>
      <c r="H24" s="33">
        <f t="shared" si="4"/>
        <v>-12941.90108732658</v>
      </c>
      <c r="I24" s="33">
        <f t="shared" si="5"/>
        <v>21956.029463356157</v>
      </c>
      <c r="J24" s="21"/>
      <c r="K24" s="37" t="str">
        <f t="shared" ca="1" si="6"/>
        <v/>
      </c>
      <c r="L24" s="37" t="str">
        <f t="shared" ca="1" si="7"/>
        <v/>
      </c>
    </row>
    <row r="25" spans="1:12" x14ac:dyDescent="0.25">
      <c r="A25" s="37">
        <v>43530.330555555556</v>
      </c>
      <c r="B25" s="30">
        <v>70607</v>
      </c>
      <c r="C25" s="30">
        <v>62967</v>
      </c>
      <c r="D25" s="32">
        <f t="shared" si="0"/>
        <v>80173.611111149512</v>
      </c>
      <c r="E25" s="32">
        <f t="shared" si="1"/>
        <v>53449.074074099677</v>
      </c>
      <c r="F25" s="32">
        <f t="shared" si="2"/>
        <v>132101.44651357899</v>
      </c>
      <c r="G25" s="32">
        <f t="shared" si="3"/>
        <v>117807.46643563002</v>
      </c>
      <c r="H25" s="33">
        <f t="shared" si="4"/>
        <v>-17898.553486421006</v>
      </c>
      <c r="I25" s="33">
        <f t="shared" si="5"/>
        <v>17807.46643563002</v>
      </c>
      <c r="J25" s="21"/>
      <c r="K25" s="37" t="str">
        <f t="shared" ca="1" si="6"/>
        <v/>
      </c>
      <c r="L25" s="37" t="str">
        <f t="shared" ca="1" si="7"/>
        <v/>
      </c>
    </row>
    <row r="26" spans="1:12" x14ac:dyDescent="0.25">
      <c r="A26" s="37">
        <v>43530.547222222223</v>
      </c>
      <c r="B26" s="30">
        <v>74563</v>
      </c>
      <c r="C26" s="30">
        <v>66120</v>
      </c>
      <c r="D26" s="32">
        <f t="shared" si="0"/>
        <v>82881.944444488909</v>
      </c>
      <c r="E26" s="32">
        <f t="shared" si="1"/>
        <v>55254.62962965927</v>
      </c>
      <c r="F26" s="32">
        <f t="shared" si="2"/>
        <v>134944.34855459875</v>
      </c>
      <c r="G26" s="32">
        <f t="shared" si="3"/>
        <v>119664.18098024582</v>
      </c>
      <c r="H26" s="33">
        <f t="shared" si="4"/>
        <v>-15055.65144540125</v>
      </c>
      <c r="I26" s="33">
        <f t="shared" si="5"/>
        <v>19664.180980245816</v>
      </c>
      <c r="J26" s="21">
        <v>23</v>
      </c>
      <c r="K26" s="37">
        <f t="shared" ca="1" si="6"/>
        <v>43534.967118438748</v>
      </c>
      <c r="L26" s="37" t="str">
        <f t="shared" ca="1" si="7"/>
        <v/>
      </c>
    </row>
    <row r="27" spans="1:12" x14ac:dyDescent="0.25">
      <c r="A27" s="37">
        <v>43530.617361111108</v>
      </c>
      <c r="B27" s="30">
        <v>75335</v>
      </c>
      <c r="C27" s="30">
        <v>67021</v>
      </c>
      <c r="D27" s="32">
        <f t="shared" si="0"/>
        <v>83758.680555547471</v>
      </c>
      <c r="E27" s="32">
        <f t="shared" si="1"/>
        <v>55839.120370364981</v>
      </c>
      <c r="F27" s="32">
        <f t="shared" si="2"/>
        <v>134914.37454659815</v>
      </c>
      <c r="G27" s="32">
        <f t="shared" si="3"/>
        <v>120025.17152037639</v>
      </c>
      <c r="H27" s="33">
        <f t="shared" si="4"/>
        <v>-15085.625453401852</v>
      </c>
      <c r="I27" s="33">
        <f t="shared" si="5"/>
        <v>20025.171520376389</v>
      </c>
      <c r="J27" s="21">
        <v>20</v>
      </c>
      <c r="K27" s="37">
        <f t="shared" ca="1" si="6"/>
        <v>43532.979300359199</v>
      </c>
      <c r="L27" s="37" t="str">
        <f t="shared" ca="1" si="7"/>
        <v/>
      </c>
    </row>
    <row r="28" spans="1:12" x14ac:dyDescent="0.25">
      <c r="A28" s="37">
        <v>43530.895138888889</v>
      </c>
      <c r="B28" s="30">
        <v>76314</v>
      </c>
      <c r="C28" s="30">
        <v>67874</v>
      </c>
      <c r="D28" s="32">
        <f t="shared" si="0"/>
        <v>87230.902777810115</v>
      </c>
      <c r="E28" s="32">
        <f t="shared" si="1"/>
        <v>58153.935185206741</v>
      </c>
      <c r="F28" s="32">
        <f t="shared" si="2"/>
        <v>131227.57687327208</v>
      </c>
      <c r="G28" s="32">
        <f t="shared" si="3"/>
        <v>116714.37157921835</v>
      </c>
      <c r="H28" s="33">
        <f t="shared" si="4"/>
        <v>-18772.423126727925</v>
      </c>
      <c r="I28" s="33">
        <f t="shared" si="5"/>
        <v>16714.37157921835</v>
      </c>
      <c r="J28" s="21">
        <v>20</v>
      </c>
      <c r="K28" s="37">
        <f t="shared" ca="1" si="6"/>
        <v>43545.045125297031</v>
      </c>
      <c r="L28" s="37" t="str">
        <f t="shared" ca="1" si="7"/>
        <v/>
      </c>
    </row>
    <row r="29" spans="1:12" x14ac:dyDescent="0.25">
      <c r="A29" s="37">
        <v>43531.416666666664</v>
      </c>
      <c r="B29" s="30">
        <v>82871</v>
      </c>
      <c r="C29" s="30">
        <v>73536</v>
      </c>
      <c r="D29" s="32">
        <f t="shared" si="0"/>
        <v>93750</v>
      </c>
      <c r="E29" s="32">
        <f t="shared" si="1"/>
        <v>62500</v>
      </c>
      <c r="F29" s="32">
        <f t="shared" si="2"/>
        <v>132593.60000000001</v>
      </c>
      <c r="G29" s="32">
        <f t="shared" si="3"/>
        <v>117657.60000000001</v>
      </c>
      <c r="H29" s="33">
        <f t="shared" si="4"/>
        <v>-17406.399999999994</v>
      </c>
      <c r="I29" s="33">
        <f t="shared" si="5"/>
        <v>17657.600000000006</v>
      </c>
      <c r="J29" s="21">
        <v>20</v>
      </c>
      <c r="K29" s="37">
        <f t="shared" ca="1" si="6"/>
        <v>43540.649566356064</v>
      </c>
      <c r="L29" s="37" t="str">
        <f t="shared" ca="1" si="7"/>
        <v/>
      </c>
    </row>
    <row r="30" spans="1:12" x14ac:dyDescent="0.25">
      <c r="A30" s="37">
        <v>43531.775694444441</v>
      </c>
      <c r="B30" s="30">
        <v>85079</v>
      </c>
      <c r="C30" s="30">
        <v>75412</v>
      </c>
      <c r="D30" s="32">
        <f t="shared" si="0"/>
        <v>98237.847222208089</v>
      </c>
      <c r="E30" s="32">
        <f t="shared" si="1"/>
        <v>65491.898148138716</v>
      </c>
      <c r="F30" s="32">
        <f t="shared" si="2"/>
        <v>129907.67164444744</v>
      </c>
      <c r="G30" s="32">
        <f t="shared" si="3"/>
        <v>115147.06724398583</v>
      </c>
      <c r="H30" s="33">
        <f t="shared" si="4"/>
        <v>-20092.328355552556</v>
      </c>
      <c r="I30" s="33">
        <f t="shared" si="5"/>
        <v>15147.067243985832</v>
      </c>
      <c r="J30" s="21">
        <v>20</v>
      </c>
      <c r="K30" s="37">
        <f t="shared" ca="1" si="6"/>
        <v>43602.16510754398</v>
      </c>
      <c r="L30" s="37" t="str">
        <f t="shared" ca="1" si="7"/>
        <v/>
      </c>
    </row>
    <row r="31" spans="1:12" x14ac:dyDescent="0.25">
      <c r="A31" s="37">
        <v>43533.052777777775</v>
      </c>
      <c r="B31" s="30">
        <v>100956</v>
      </c>
      <c r="C31" s="30">
        <v>89048</v>
      </c>
      <c r="D31" s="32">
        <f t="shared" si="0"/>
        <v>114201.38888888685</v>
      </c>
      <c r="E31" s="32">
        <f t="shared" si="1"/>
        <v>76134.259259257917</v>
      </c>
      <c r="F31" s="32">
        <f t="shared" si="2"/>
        <v>132602.59045302757</v>
      </c>
      <c r="G31" s="32">
        <f t="shared" si="3"/>
        <v>116961.79993919331</v>
      </c>
      <c r="H31" s="33">
        <f t="shared" si="4"/>
        <v>-17397.409546972427</v>
      </c>
      <c r="I31" s="33">
        <f t="shared" si="5"/>
        <v>16961.799939193312</v>
      </c>
      <c r="J31" s="21">
        <v>30</v>
      </c>
      <c r="K31" s="37">
        <f t="shared" ca="1" si="6"/>
        <v>43540.020077059933</v>
      </c>
      <c r="L31" s="37" t="str">
        <f t="shared" ca="1" si="7"/>
        <v/>
      </c>
    </row>
    <row r="32" spans="1:12" x14ac:dyDescent="0.25">
      <c r="A32" s="37">
        <v>43533.246527777781</v>
      </c>
      <c r="B32" s="30">
        <v>105020</v>
      </c>
      <c r="C32" s="30">
        <v>92512</v>
      </c>
      <c r="D32" s="32">
        <f t="shared" si="0"/>
        <v>116623.26388895961</v>
      </c>
      <c r="E32" s="32">
        <f t="shared" si="1"/>
        <v>77748.842592639747</v>
      </c>
      <c r="F32" s="32">
        <f t="shared" si="2"/>
        <v>135075.9657609899</v>
      </c>
      <c r="G32" s="32">
        <f t="shared" si="3"/>
        <v>118988.26646810795</v>
      </c>
      <c r="H32" s="33">
        <f t="shared" si="4"/>
        <v>-14924.0342390101</v>
      </c>
      <c r="I32" s="33">
        <f t="shared" si="5"/>
        <v>18988.266468107948</v>
      </c>
      <c r="J32" s="21">
        <v>31</v>
      </c>
      <c r="K32" s="37">
        <f t="shared" ca="1" si="6"/>
        <v>43534.221840808597</v>
      </c>
      <c r="L32" s="37" t="str">
        <f t="shared" ca="1" si="7"/>
        <v/>
      </c>
    </row>
    <row r="33" spans="1:12" x14ac:dyDescent="0.25">
      <c r="A33" s="37">
        <v>43533.673611111109</v>
      </c>
      <c r="B33" s="30">
        <v>113822</v>
      </c>
      <c r="C33" s="30">
        <v>99777</v>
      </c>
      <c r="D33" s="32">
        <f t="shared" si="0"/>
        <v>121961.80555556568</v>
      </c>
      <c r="E33" s="32">
        <f t="shared" si="1"/>
        <v>81307.870370377103</v>
      </c>
      <c r="F33" s="32">
        <f t="shared" si="2"/>
        <v>139988.90818504177</v>
      </c>
      <c r="G33" s="32">
        <f t="shared" si="3"/>
        <v>122715.05765123539</v>
      </c>
      <c r="H33" s="33">
        <f t="shared" si="4"/>
        <v>-10011.091814958228</v>
      </c>
      <c r="I33" s="33">
        <f t="shared" si="5"/>
        <v>22715.057651235387</v>
      </c>
      <c r="J33" s="21">
        <v>31</v>
      </c>
      <c r="K33" s="37">
        <f t="shared" ca="1" si="6"/>
        <v>43533.894228108955</v>
      </c>
      <c r="L33" s="37" t="str">
        <f t="shared" ca="1" si="7"/>
        <v/>
      </c>
    </row>
    <row r="34" spans="1:12" x14ac:dyDescent="0.25">
      <c r="A34" s="37">
        <v>43534.036111111112</v>
      </c>
      <c r="B34" s="30">
        <v>117115</v>
      </c>
      <c r="C34" s="30">
        <v>102551</v>
      </c>
      <c r="D34" s="32">
        <f t="shared" si="0"/>
        <v>126493.05555560203</v>
      </c>
      <c r="E34" s="32">
        <f t="shared" si="1"/>
        <v>84328.703703734689</v>
      </c>
      <c r="F34" s="32">
        <f t="shared" si="2"/>
        <v>138879.16552286962</v>
      </c>
      <c r="G34" s="32">
        <f t="shared" si="3"/>
        <v>121608.65220967258</v>
      </c>
      <c r="H34" s="33">
        <f t="shared" si="4"/>
        <v>-11120.834477130382</v>
      </c>
      <c r="I34" s="33">
        <f t="shared" si="5"/>
        <v>21608.652209672582</v>
      </c>
      <c r="J34" s="21">
        <v>31</v>
      </c>
      <c r="K34" s="37">
        <f t="shared" ca="1" si="6"/>
        <v>43534.795047584827</v>
      </c>
      <c r="L34" s="37" t="str">
        <f t="shared" ca="1" si="7"/>
        <v/>
      </c>
    </row>
    <row r="35" spans="1:12" x14ac:dyDescent="0.25">
      <c r="A35" s="37">
        <v>43534.129166666666</v>
      </c>
      <c r="B35" s="30">
        <v>117115</v>
      </c>
      <c r="C35" s="30">
        <v>102859</v>
      </c>
      <c r="D35" s="32">
        <f t="shared" si="0"/>
        <v>127656.2500000182</v>
      </c>
      <c r="E35" s="32">
        <f t="shared" si="1"/>
        <v>85104.166666678793</v>
      </c>
      <c r="F35" s="32">
        <f t="shared" si="2"/>
        <v>137613.70869031086</v>
      </c>
      <c r="G35" s="32">
        <f t="shared" si="3"/>
        <v>120862.47246020309</v>
      </c>
      <c r="H35" s="33">
        <f t="shared" si="4"/>
        <v>-12386.291309689143</v>
      </c>
      <c r="I35" s="33">
        <f t="shared" si="5"/>
        <v>20862.472460203091</v>
      </c>
      <c r="J35" s="21">
        <v>31</v>
      </c>
      <c r="K35" s="37">
        <f t="shared" ca="1" si="6"/>
        <v>43535.713354860374</v>
      </c>
      <c r="L35" s="37" t="str">
        <f t="shared" ca="1" si="7"/>
        <v/>
      </c>
    </row>
    <row r="36" spans="1:12" x14ac:dyDescent="0.25">
      <c r="A36" s="37">
        <v>43534.231944444444</v>
      </c>
      <c r="B36" s="30">
        <v>119175</v>
      </c>
      <c r="C36" s="30">
        <v>104678</v>
      </c>
      <c r="D36" s="32">
        <f t="shared" si="0"/>
        <v>128940.97222224444</v>
      </c>
      <c r="E36" s="32">
        <f t="shared" si="1"/>
        <v>85960.648148162974</v>
      </c>
      <c r="F36" s="32">
        <f t="shared" si="2"/>
        <v>138639.01979262455</v>
      </c>
      <c r="G36" s="32">
        <f t="shared" si="3"/>
        <v>121774.32610742481</v>
      </c>
      <c r="H36" s="33">
        <f t="shared" si="4"/>
        <v>-11360.980207375454</v>
      </c>
      <c r="I36" s="33">
        <f t="shared" si="5"/>
        <v>21774.326107424815</v>
      </c>
      <c r="J36" s="21">
        <v>31</v>
      </c>
      <c r="K36" s="37">
        <f t="shared" ca="1" si="6"/>
        <v>43535.272051525142</v>
      </c>
      <c r="L36" s="37" t="str">
        <f t="shared" ca="1" si="7"/>
        <v/>
      </c>
    </row>
    <row r="37" spans="1:12" x14ac:dyDescent="0.25">
      <c r="A37" s="37">
        <v>43534.314583333333</v>
      </c>
      <c r="B37" s="30">
        <v>119175</v>
      </c>
      <c r="C37" s="30">
        <v>104678</v>
      </c>
      <c r="D37" s="32">
        <f t="shared" si="0"/>
        <v>129973.95833335759</v>
      </c>
      <c r="E37" s="32">
        <f t="shared" si="1"/>
        <v>86649.305555571729</v>
      </c>
      <c r="F37" s="32">
        <f t="shared" si="2"/>
        <v>137537.1669003951</v>
      </c>
      <c r="G37" s="32">
        <f t="shared" si="3"/>
        <v>120806.50771386245</v>
      </c>
      <c r="H37" s="33">
        <f t="shared" si="4"/>
        <v>-12462.833099604904</v>
      </c>
      <c r="I37" s="33">
        <f t="shared" si="5"/>
        <v>20806.507713862447</v>
      </c>
      <c r="J37" s="21">
        <v>31</v>
      </c>
      <c r="K37" s="37">
        <f t="shared" ca="1" si="6"/>
        <v>43536.239610976285</v>
      </c>
      <c r="L37" s="37" t="str">
        <f t="shared" ca="1" si="7"/>
        <v/>
      </c>
    </row>
    <row r="38" spans="1:12" x14ac:dyDescent="0.25">
      <c r="A38" s="37">
        <v>43534.486805555556</v>
      </c>
      <c r="B38" s="30">
        <v>122906</v>
      </c>
      <c r="C38" s="30">
        <v>107941</v>
      </c>
      <c r="D38" s="32">
        <f t="shared" si="0"/>
        <v>132126.73611114951</v>
      </c>
      <c r="E38" s="32">
        <f t="shared" si="1"/>
        <v>88084.490740766341</v>
      </c>
      <c r="F38" s="32">
        <f t="shared" si="2"/>
        <v>139531.94139671393</v>
      </c>
      <c r="G38" s="32">
        <f t="shared" si="3"/>
        <v>122542.57144730687</v>
      </c>
      <c r="H38" s="33">
        <f t="shared" si="4"/>
        <v>-10468.058603286074</v>
      </c>
      <c r="I38" s="33">
        <f t="shared" si="5"/>
        <v>22542.571447306866</v>
      </c>
      <c r="J38" s="21">
        <v>31</v>
      </c>
      <c r="K38" s="37">
        <f t="shared" ca="1" si="6"/>
        <v>43535.219140390742</v>
      </c>
      <c r="L38" s="37" t="str">
        <f t="shared" ca="1" si="7"/>
        <v/>
      </c>
    </row>
    <row r="39" spans="1:12" x14ac:dyDescent="0.25">
      <c r="A39" s="37">
        <v>43535.138888888891</v>
      </c>
      <c r="B39" s="30">
        <v>125282</v>
      </c>
      <c r="C39" s="30">
        <v>110340</v>
      </c>
      <c r="D39" s="32">
        <f t="shared" si="0"/>
        <v>140277.77777782831</v>
      </c>
      <c r="E39" s="32">
        <f t="shared" si="1"/>
        <v>93518.518518552199</v>
      </c>
      <c r="F39" s="32">
        <f t="shared" si="2"/>
        <v>133964.91089104087</v>
      </c>
      <c r="G39" s="32">
        <f t="shared" si="3"/>
        <v>117987.32673263077</v>
      </c>
      <c r="H39" s="33">
        <f t="shared" si="4"/>
        <v>-16035.089108959131</v>
      </c>
      <c r="I39" s="33">
        <f t="shared" si="5"/>
        <v>17987.326732630769</v>
      </c>
      <c r="J39" s="21"/>
      <c r="K39" s="37" t="str">
        <f t="shared" ca="1" si="6"/>
        <v/>
      </c>
      <c r="L39" s="37" t="str">
        <f t="shared" ca="1" si="7"/>
        <v/>
      </c>
    </row>
    <row r="40" spans="1:12" x14ac:dyDescent="0.25">
      <c r="A40" s="37">
        <v>43535.189583333333</v>
      </c>
      <c r="B40" s="30">
        <v>126683</v>
      </c>
      <c r="C40" s="30">
        <v>111358</v>
      </c>
      <c r="D40" s="32">
        <f t="shared" si="0"/>
        <v>140911.45833335759</v>
      </c>
      <c r="E40" s="32">
        <f t="shared" si="1"/>
        <v>93940.972222238386</v>
      </c>
      <c r="F40" s="32">
        <f t="shared" si="2"/>
        <v>134853.831084804</v>
      </c>
      <c r="G40" s="32">
        <f t="shared" si="3"/>
        <v>118540.39549064676</v>
      </c>
      <c r="H40" s="33">
        <f t="shared" si="4"/>
        <v>-15146.168915196002</v>
      </c>
      <c r="I40" s="33">
        <f t="shared" si="5"/>
        <v>18540.395490646755</v>
      </c>
      <c r="J40" s="21">
        <v>39</v>
      </c>
      <c r="K40" s="37">
        <f t="shared" ca="1" si="6"/>
        <v>43536.002663414401</v>
      </c>
      <c r="L40" s="37" t="str">
        <f t="shared" ca="1" si="7"/>
        <v/>
      </c>
    </row>
    <row r="41" spans="1:12" x14ac:dyDescent="0.25">
      <c r="A41" s="37">
        <v>43535.3125</v>
      </c>
      <c r="B41" s="30">
        <v>129105</v>
      </c>
      <c r="C41" s="30">
        <v>113395</v>
      </c>
      <c r="D41" s="32">
        <f t="shared" si="0"/>
        <v>142447.91666669698</v>
      </c>
      <c r="E41" s="32">
        <f t="shared" si="1"/>
        <v>94965.277777797994</v>
      </c>
      <c r="F41" s="32">
        <f t="shared" si="2"/>
        <v>135949.68921386503</v>
      </c>
      <c r="G41" s="32">
        <f t="shared" si="3"/>
        <v>119406.80073123601</v>
      </c>
      <c r="H41" s="33">
        <f t="shared" si="4"/>
        <v>-14050.310786134971</v>
      </c>
      <c r="I41" s="33">
        <f t="shared" si="5"/>
        <v>19406.800731236013</v>
      </c>
      <c r="J41" s="21">
        <v>39</v>
      </c>
      <c r="K41" s="37">
        <f t="shared" ca="1" si="6"/>
        <v>43536.367887633467</v>
      </c>
      <c r="L41" s="37" t="str">
        <f t="shared" ca="1" si="7"/>
        <v/>
      </c>
    </row>
    <row r="42" spans="1:12" x14ac:dyDescent="0.25">
      <c r="A42" s="37">
        <v>43535.543055555558</v>
      </c>
      <c r="B42" s="30">
        <v>134214</v>
      </c>
      <c r="C42" s="30">
        <v>117529</v>
      </c>
      <c r="D42" s="32">
        <f t="shared" si="0"/>
        <v>145329.8611111677</v>
      </c>
      <c r="E42" s="32">
        <f t="shared" si="1"/>
        <v>96886.574074111806</v>
      </c>
      <c r="F42" s="32">
        <f t="shared" si="2"/>
        <v>138526.93346070344</v>
      </c>
      <c r="G42" s="32">
        <f t="shared" si="3"/>
        <v>121305.76514151291</v>
      </c>
      <c r="H42" s="33">
        <f t="shared" si="4"/>
        <v>-11473.06653929656</v>
      </c>
      <c r="I42" s="33">
        <f t="shared" si="5"/>
        <v>21305.765141512908</v>
      </c>
      <c r="J42" s="21">
        <v>39</v>
      </c>
      <c r="K42" s="37">
        <f t="shared" ca="1" si="6"/>
        <v>43536.15533082639</v>
      </c>
      <c r="L42" s="37" t="str">
        <f t="shared" ca="1" si="7"/>
        <v/>
      </c>
    </row>
    <row r="43" spans="1:12" x14ac:dyDescent="0.25">
      <c r="A43" s="37">
        <v>43535.70416666667</v>
      </c>
      <c r="B43" s="30">
        <v>137350</v>
      </c>
      <c r="C43" s="30">
        <v>120226</v>
      </c>
      <c r="D43" s="32">
        <f t="shared" si="0"/>
        <v>147343.75000007276</v>
      </c>
      <c r="E43" s="32">
        <f t="shared" si="1"/>
        <v>98229.166666715173</v>
      </c>
      <c r="F43" s="32">
        <f t="shared" si="2"/>
        <v>139826.08695645269</v>
      </c>
      <c r="G43" s="32">
        <f t="shared" si="3"/>
        <v>122393.38282072429</v>
      </c>
      <c r="H43" s="33">
        <f t="shared" si="4"/>
        <v>-10173.913043547305</v>
      </c>
      <c r="I43" s="33">
        <f t="shared" si="5"/>
        <v>22393.382820724291</v>
      </c>
      <c r="J43" s="21">
        <v>39</v>
      </c>
      <c r="K43" s="37">
        <f t="shared" ca="1" si="6"/>
        <v>43536.120106121132</v>
      </c>
      <c r="L43" s="37" t="str">
        <f t="shared" ca="1" si="7"/>
        <v/>
      </c>
    </row>
    <row r="44" spans="1:12" x14ac:dyDescent="0.25">
      <c r="A44" s="37">
        <v>43535.788194444445</v>
      </c>
      <c r="B44" s="30">
        <v>139176</v>
      </c>
      <c r="C44" s="30">
        <v>121735</v>
      </c>
      <c r="D44" s="32">
        <f t="shared" si="0"/>
        <v>148394.09722226264</v>
      </c>
      <c r="E44" s="32">
        <f t="shared" si="1"/>
        <v>98929.398148175096</v>
      </c>
      <c r="F44" s="32">
        <f t="shared" si="2"/>
        <v>140682.14565658642</v>
      </c>
      <c r="G44" s="32">
        <f t="shared" si="3"/>
        <v>123052.40128689248</v>
      </c>
      <c r="H44" s="33">
        <f t="shared" si="4"/>
        <v>-9317.854343413579</v>
      </c>
      <c r="I44" s="33">
        <f t="shared" si="5"/>
        <v>23052.401286892476</v>
      </c>
      <c r="J44" s="21">
        <v>39</v>
      </c>
      <c r="K44" s="37">
        <f t="shared" ca="1" si="6"/>
        <v>43536.039577163487</v>
      </c>
      <c r="L44" s="37" t="str">
        <f t="shared" ca="1" si="7"/>
        <v/>
      </c>
    </row>
    <row r="45" spans="1:12" x14ac:dyDescent="0.25">
      <c r="D45" s="32"/>
      <c r="E45" s="32"/>
    </row>
    <row r="46" spans="1:12" x14ac:dyDescent="0.25">
      <c r="D46" s="32"/>
      <c r="E46" s="32"/>
    </row>
    <row r="47" spans="1:12" x14ac:dyDescent="0.25">
      <c r="D47" s="32"/>
      <c r="E47" s="32"/>
    </row>
    <row r="48" spans="1:12" x14ac:dyDescent="0.25">
      <c r="D48" s="32"/>
      <c r="E48" s="32"/>
    </row>
    <row r="49" spans="4:5" x14ac:dyDescent="0.25">
      <c r="D49" s="32"/>
      <c r="E49" s="32"/>
    </row>
    <row r="50" spans="4:5" x14ac:dyDescent="0.25">
      <c r="D50" s="32"/>
      <c r="E50" s="32"/>
    </row>
    <row r="51" spans="4:5" x14ac:dyDescent="0.25">
      <c r="D51" s="32"/>
      <c r="E51" s="32"/>
    </row>
    <row r="52" spans="4:5" x14ac:dyDescent="0.25">
      <c r="D52" s="32"/>
      <c r="E52" s="32"/>
    </row>
    <row r="53" spans="4:5" x14ac:dyDescent="0.25">
      <c r="D53" s="32"/>
      <c r="E53" s="32"/>
    </row>
    <row r="54" spans="4:5" x14ac:dyDescent="0.25">
      <c r="D54" s="32"/>
      <c r="E54" s="32"/>
    </row>
    <row r="55" spans="4:5" x14ac:dyDescent="0.25">
      <c r="D55" s="32"/>
      <c r="E55" s="32"/>
    </row>
    <row r="56" spans="4:5" x14ac:dyDescent="0.25">
      <c r="D56" s="32"/>
      <c r="E56" s="32"/>
    </row>
    <row r="57" spans="4:5" x14ac:dyDescent="0.25">
      <c r="D57" s="32"/>
      <c r="E57" s="32"/>
    </row>
    <row r="58" spans="4:5" x14ac:dyDescent="0.25">
      <c r="D58" s="32"/>
      <c r="E58" s="32"/>
    </row>
    <row r="59" spans="4:5" x14ac:dyDescent="0.25">
      <c r="D59" s="32"/>
      <c r="E59" s="32"/>
    </row>
    <row r="60" spans="4:5" x14ac:dyDescent="0.25">
      <c r="D60" s="32"/>
      <c r="E60" s="32"/>
    </row>
    <row r="61" spans="4:5" x14ac:dyDescent="0.25">
      <c r="D61" s="32"/>
      <c r="E61" s="32"/>
    </row>
    <row r="62" spans="4:5" x14ac:dyDescent="0.25">
      <c r="D62" s="32"/>
      <c r="E62" s="32"/>
    </row>
    <row r="63" spans="4:5" x14ac:dyDescent="0.25">
      <c r="D63" s="32"/>
      <c r="E63" s="32"/>
    </row>
    <row r="64" spans="4:5" x14ac:dyDescent="0.25">
      <c r="D64" s="32"/>
      <c r="E64" s="32"/>
    </row>
    <row r="65" spans="4:5" x14ac:dyDescent="0.25">
      <c r="D65" s="32"/>
      <c r="E65" s="32"/>
    </row>
    <row r="66" spans="4:5" x14ac:dyDescent="0.25">
      <c r="D66" s="32"/>
      <c r="E66" s="32"/>
    </row>
    <row r="67" spans="4:5" x14ac:dyDescent="0.25">
      <c r="D67" s="32"/>
      <c r="E67" s="32"/>
    </row>
    <row r="68" spans="4:5" x14ac:dyDescent="0.25">
      <c r="D68" s="32"/>
      <c r="E68" s="32"/>
    </row>
    <row r="69" spans="4:5" x14ac:dyDescent="0.25">
      <c r="D69" s="32"/>
      <c r="E69" s="32"/>
    </row>
    <row r="70" spans="4:5" x14ac:dyDescent="0.25">
      <c r="D70" s="32"/>
      <c r="E70" s="32"/>
    </row>
    <row r="71" spans="4:5" x14ac:dyDescent="0.25">
      <c r="D71" s="32"/>
      <c r="E71" s="32"/>
    </row>
    <row r="72" spans="4:5" x14ac:dyDescent="0.25">
      <c r="D72" s="32"/>
      <c r="E72" s="32"/>
    </row>
    <row r="73" spans="4:5" x14ac:dyDescent="0.25">
      <c r="D73" s="32"/>
      <c r="E73" s="32"/>
    </row>
    <row r="74" spans="4:5" x14ac:dyDescent="0.25">
      <c r="D74" s="32"/>
      <c r="E74" s="32"/>
    </row>
    <row r="75" spans="4:5" x14ac:dyDescent="0.25">
      <c r="D75" s="32"/>
      <c r="E75" s="32"/>
    </row>
    <row r="76" spans="4:5" x14ac:dyDescent="0.25">
      <c r="D76" s="32"/>
      <c r="E76" s="32"/>
    </row>
    <row r="77" spans="4:5" x14ac:dyDescent="0.25">
      <c r="D77" s="32"/>
      <c r="E77" s="32"/>
    </row>
    <row r="78" spans="4:5" x14ac:dyDescent="0.25">
      <c r="D78" s="32"/>
      <c r="E78" s="32"/>
    </row>
    <row r="79" spans="4:5" x14ac:dyDescent="0.25">
      <c r="D79" s="32"/>
      <c r="E79" s="32"/>
    </row>
    <row r="80" spans="4:5" x14ac:dyDescent="0.25">
      <c r="D80" s="32"/>
      <c r="E80" s="32"/>
    </row>
    <row r="81" spans="4:5" x14ac:dyDescent="0.25">
      <c r="D81" s="32"/>
      <c r="E81" s="32"/>
    </row>
    <row r="82" spans="4:5" x14ac:dyDescent="0.25">
      <c r="D82" s="32"/>
      <c r="E82" s="32"/>
    </row>
    <row r="83" spans="4:5" x14ac:dyDescent="0.25">
      <c r="D83" s="32"/>
      <c r="E83" s="32"/>
    </row>
    <row r="84" spans="4:5" x14ac:dyDescent="0.25">
      <c r="D84" s="32"/>
      <c r="E84" s="32"/>
    </row>
    <row r="85" spans="4:5" x14ac:dyDescent="0.25">
      <c r="D85" s="32"/>
      <c r="E85" s="32"/>
    </row>
    <row r="86" spans="4:5" x14ac:dyDescent="0.25">
      <c r="D86" s="32"/>
      <c r="E86" s="32"/>
    </row>
    <row r="87" spans="4:5" x14ac:dyDescent="0.25">
      <c r="D87" s="32"/>
      <c r="E87" s="32"/>
    </row>
    <row r="88" spans="4:5" x14ac:dyDescent="0.25">
      <c r="D88" s="32"/>
      <c r="E88" s="32"/>
    </row>
    <row r="89" spans="4:5" x14ac:dyDescent="0.25">
      <c r="D89" s="32"/>
      <c r="E89" s="32"/>
    </row>
    <row r="90" spans="4:5" x14ac:dyDescent="0.25">
      <c r="D90" s="32"/>
      <c r="E90" s="32"/>
    </row>
    <row r="91" spans="4:5" x14ac:dyDescent="0.25">
      <c r="D91" s="32"/>
      <c r="E91" s="32"/>
    </row>
    <row r="92" spans="4:5" x14ac:dyDescent="0.25">
      <c r="D92" s="32"/>
      <c r="E92" s="32"/>
    </row>
    <row r="93" spans="4:5" x14ac:dyDescent="0.25">
      <c r="D93" s="32"/>
      <c r="E93" s="32"/>
    </row>
    <row r="94" spans="4:5" x14ac:dyDescent="0.25">
      <c r="D94" s="32"/>
      <c r="E94" s="32"/>
    </row>
    <row r="95" spans="4:5" x14ac:dyDescent="0.25">
      <c r="D95" s="32"/>
      <c r="E95" s="32"/>
    </row>
    <row r="96" spans="4:5" x14ac:dyDescent="0.25">
      <c r="D96" s="32"/>
      <c r="E96" s="32"/>
    </row>
    <row r="97" spans="4:5" x14ac:dyDescent="0.25">
      <c r="D97" s="32"/>
      <c r="E97" s="32"/>
    </row>
    <row r="98" spans="4:5" x14ac:dyDescent="0.25">
      <c r="D98" s="32"/>
      <c r="E98" s="32"/>
    </row>
    <row r="99" spans="4:5" x14ac:dyDescent="0.25">
      <c r="D99" s="32"/>
      <c r="E99" s="32"/>
    </row>
    <row r="100" spans="4:5" x14ac:dyDescent="0.25">
      <c r="D100" s="32"/>
      <c r="E100" s="32"/>
    </row>
  </sheetData>
  <mergeCells count="12">
    <mergeCell ref="J8:L8"/>
    <mergeCell ref="H8:I8"/>
    <mergeCell ref="F4:G4"/>
    <mergeCell ref="F5:G5"/>
    <mergeCell ref="F6:G6"/>
    <mergeCell ref="B8:C8"/>
    <mergeCell ref="D8:E8"/>
    <mergeCell ref="F8:G8"/>
    <mergeCell ref="B1:C1"/>
    <mergeCell ref="B2:C2"/>
    <mergeCell ref="F1:H1"/>
    <mergeCell ref="F2:H2"/>
  </mergeCells>
  <conditionalFormatting sqref="F2">
    <cfRule type="dataBar" priority="36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{2425031F-28FB-4E22-B3EB-E2C52A7C4679}</x14:id>
        </ext>
      </extLst>
    </cfRule>
  </conditionalFormatting>
  <conditionalFormatting sqref="F5:F6">
    <cfRule type="dataBar" priority="37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{908A6850-7554-40D8-BEA2-7C68B02FD618}</x14:id>
        </ext>
      </extLst>
    </cfRule>
  </conditionalFormatting>
  <conditionalFormatting sqref="B10:B36 B38:B900">
    <cfRule type="dataBar" priority="33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{584D91C6-5D09-48FE-A68E-B0B8C2484DD5}</x14:id>
        </ext>
      </extLst>
    </cfRule>
  </conditionalFormatting>
  <conditionalFormatting sqref="C10:C36 C38:C900">
    <cfRule type="dataBar" priority="32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{F1597469-9648-4D00-8A3F-330F9AE59005}</x14:id>
        </ext>
      </extLst>
    </cfRule>
  </conditionalFormatting>
  <conditionalFormatting sqref="K1:L8 K10:L18 K45:L1048576">
    <cfRule type="cellIs" dxfId="26" priority="29" operator="greaterThan">
      <formula>RAID_TIME_END</formula>
    </cfRule>
  </conditionalFormatting>
  <conditionalFormatting sqref="K19:L19">
    <cfRule type="cellIs" dxfId="25" priority="28" operator="greaterThan">
      <formula>RAID_TIME_END</formula>
    </cfRule>
  </conditionalFormatting>
  <conditionalFormatting sqref="K20:L20">
    <cfRule type="cellIs" dxfId="24" priority="27" operator="greaterThan">
      <formula>RAID_TIME_END</formula>
    </cfRule>
  </conditionalFormatting>
  <conditionalFormatting sqref="K21:L21">
    <cfRule type="cellIs" dxfId="23" priority="26" operator="greaterThan">
      <formula>RAID_TIME_END</formula>
    </cfRule>
  </conditionalFormatting>
  <conditionalFormatting sqref="K22:L22">
    <cfRule type="cellIs" dxfId="22" priority="25" operator="greaterThan">
      <formula>RAID_TIME_END</formula>
    </cfRule>
  </conditionalFormatting>
  <conditionalFormatting sqref="K23:L23">
    <cfRule type="cellIs" dxfId="21" priority="24" operator="greaterThan">
      <formula>RAID_TIME_END</formula>
    </cfRule>
  </conditionalFormatting>
  <conditionalFormatting sqref="K24:L24">
    <cfRule type="cellIs" dxfId="20" priority="23" operator="greaterThan">
      <formula>RAID_TIME_END</formula>
    </cfRule>
  </conditionalFormatting>
  <conditionalFormatting sqref="K25:L25">
    <cfRule type="cellIs" dxfId="19" priority="22" operator="greaterThan">
      <formula>RAID_TIME_END</formula>
    </cfRule>
  </conditionalFormatting>
  <conditionalFormatting sqref="K26:L26">
    <cfRule type="cellIs" dxfId="18" priority="21" operator="greaterThan">
      <formula>RAID_TIME_END</formula>
    </cfRule>
  </conditionalFormatting>
  <conditionalFormatting sqref="K27:L27">
    <cfRule type="cellIs" dxfId="17" priority="20" operator="greaterThan">
      <formula>RAID_TIME_END</formula>
    </cfRule>
  </conditionalFormatting>
  <conditionalFormatting sqref="K28:L28">
    <cfRule type="cellIs" dxfId="16" priority="19" operator="greaterThan">
      <formula>RAID_TIME_END</formula>
    </cfRule>
  </conditionalFormatting>
  <conditionalFormatting sqref="K29:L29">
    <cfRule type="cellIs" dxfId="15" priority="18" operator="greaterThan">
      <formula>RAID_TIME_END</formula>
    </cfRule>
  </conditionalFormatting>
  <conditionalFormatting sqref="K30:L30">
    <cfRule type="cellIs" dxfId="14" priority="17" operator="greaterThan">
      <formula>RAID_TIME_END</formula>
    </cfRule>
  </conditionalFormatting>
  <conditionalFormatting sqref="K31:L31">
    <cfRule type="cellIs" dxfId="13" priority="16" operator="greaterThan">
      <formula>RAID_TIME_END</formula>
    </cfRule>
  </conditionalFormatting>
  <conditionalFormatting sqref="K32:L32">
    <cfRule type="cellIs" dxfId="12" priority="15" operator="greaterThan">
      <formula>RAID_TIME_END</formula>
    </cfRule>
  </conditionalFormatting>
  <conditionalFormatting sqref="K33:L33">
    <cfRule type="cellIs" dxfId="11" priority="14" operator="greaterThan">
      <formula>RAID_TIME_END</formula>
    </cfRule>
  </conditionalFormatting>
  <conditionalFormatting sqref="K34:L34">
    <cfRule type="cellIs" dxfId="10" priority="13" operator="greaterThan">
      <formula>RAID_TIME_END</formula>
    </cfRule>
  </conditionalFormatting>
  <conditionalFormatting sqref="K35:L35">
    <cfRule type="cellIs" dxfId="9" priority="12" operator="greaterThan">
      <formula>RAID_TIME_END</formula>
    </cfRule>
  </conditionalFormatting>
  <conditionalFormatting sqref="K36:L36">
    <cfRule type="cellIs" dxfId="8" priority="11" operator="greaterThan">
      <formula>RAID_TIME_END</formula>
    </cfRule>
  </conditionalFormatting>
  <conditionalFormatting sqref="B37">
    <cfRule type="dataBar" priority="10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{8F67A91E-9B99-4D5F-852C-59F23AD9D9E0}</x14:id>
        </ext>
      </extLst>
    </cfRule>
  </conditionalFormatting>
  <conditionalFormatting sqref="C37">
    <cfRule type="dataBar" priority="9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{6C2BEB8A-C5F5-4133-B18A-C655CC74E680}</x14:id>
        </ext>
      </extLst>
    </cfRule>
  </conditionalFormatting>
  <conditionalFormatting sqref="K37:L37">
    <cfRule type="cellIs" dxfId="7" priority="8" operator="greaterThan">
      <formula>RAID_TIME_END</formula>
    </cfRule>
  </conditionalFormatting>
  <conditionalFormatting sqref="K38:L38">
    <cfRule type="cellIs" dxfId="6" priority="7" operator="greaterThan">
      <formula>RAID_TIME_END</formula>
    </cfRule>
  </conditionalFormatting>
  <conditionalFormatting sqref="K39:L39">
    <cfRule type="cellIs" dxfId="5" priority="6" operator="greaterThan">
      <formula>RAID_TIME_END</formula>
    </cfRule>
  </conditionalFormatting>
  <conditionalFormatting sqref="K40:L40">
    <cfRule type="cellIs" dxfId="4" priority="5" operator="greaterThan">
      <formula>RAID_TIME_END</formula>
    </cfRule>
  </conditionalFormatting>
  <conditionalFormatting sqref="K41:L41">
    <cfRule type="cellIs" dxfId="3" priority="4" operator="greaterThan">
      <formula>RAID_TIME_END</formula>
    </cfRule>
  </conditionalFormatting>
  <conditionalFormatting sqref="K42:L42">
    <cfRule type="cellIs" dxfId="2" priority="3" operator="greaterThan">
      <formula>RAID_TIME_END</formula>
    </cfRule>
  </conditionalFormatting>
  <conditionalFormatting sqref="K43:L43">
    <cfRule type="cellIs" dxfId="1" priority="2" operator="greaterThan">
      <formula>RAID_TIME_END</formula>
    </cfRule>
  </conditionalFormatting>
  <conditionalFormatting sqref="K44:L44">
    <cfRule type="cellIs" dxfId="0" priority="1" operator="greaterThan">
      <formula>RAID_TIME_END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25031F-28FB-4E22-B3EB-E2C52A7C467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F2</xm:sqref>
        </x14:conditionalFormatting>
        <x14:conditionalFormatting xmlns:xm="http://schemas.microsoft.com/office/excel/2006/main">
          <x14:cfRule type="dataBar" id="{908A6850-7554-40D8-BEA2-7C68B02FD61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F5:F6</xm:sqref>
        </x14:conditionalFormatting>
        <x14:conditionalFormatting xmlns:xm="http://schemas.microsoft.com/office/excel/2006/main">
          <x14:cfRule type="dataBar" id="{584D91C6-5D09-48FE-A68E-B0B8C2484DD5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B10:B36 B38:B900</xm:sqref>
        </x14:conditionalFormatting>
        <x14:conditionalFormatting xmlns:xm="http://schemas.microsoft.com/office/excel/2006/main">
          <x14:cfRule type="dataBar" id="{F1597469-9648-4D00-8A3F-330F9AE59005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C10:C36 C38:C900</xm:sqref>
        </x14:conditionalFormatting>
        <x14:conditionalFormatting xmlns:xm="http://schemas.microsoft.com/office/excel/2006/main">
          <x14:cfRule type="dataBar" id="{8F67A91E-9B99-4D5F-852C-59F23AD9D9E0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6C2BEB8A-C5F5-4133-B18A-C655CC74E680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C37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0C7A-867C-4937-8E37-8415D5B411C1}">
  <sheetPr>
    <tabColor rgb="FF00B050"/>
  </sheetPr>
  <dimension ref="A1:T43"/>
  <sheetViews>
    <sheetView topLeftCell="G11" zoomScaleNormal="60" zoomScaleSheetLayoutView="100" workbookViewId="0">
      <selection activeCell="J5" sqref="J5"/>
    </sheetView>
  </sheetViews>
  <sheetFormatPr defaultColWidth="8.5703125" defaultRowHeight="15" x14ac:dyDescent="0.25"/>
  <cols>
    <col min="1" max="1" width="8.5703125" style="62"/>
    <col min="2" max="6" width="6.85546875" style="62" customWidth="1"/>
    <col min="7" max="7" width="11.85546875" style="62" customWidth="1"/>
    <col min="8" max="8" width="2.85546875" style="62" customWidth="1"/>
    <col min="9" max="9" width="6.140625" style="62" customWidth="1"/>
    <col min="10" max="14" width="5.5703125" style="62" customWidth="1"/>
    <col min="15" max="16" width="5.5703125" style="310" customWidth="1"/>
    <col min="17" max="17" width="7.28515625" style="70" customWidth="1"/>
    <col min="18" max="20" width="23.7109375" style="62" customWidth="1"/>
    <col min="21" max="16384" width="8.5703125" style="62"/>
  </cols>
  <sheetData>
    <row r="1" spans="1:20" x14ac:dyDescent="0.25">
      <c r="A1" s="75"/>
      <c r="B1" s="75" t="s">
        <v>29</v>
      </c>
      <c r="C1" s="75" t="s">
        <v>36</v>
      </c>
      <c r="D1" s="75" t="s">
        <v>37</v>
      </c>
      <c r="E1" s="75" t="s">
        <v>38</v>
      </c>
      <c r="F1" s="75" t="s">
        <v>39</v>
      </c>
      <c r="G1" s="75" t="s">
        <v>32</v>
      </c>
      <c r="I1" s="75"/>
      <c r="J1" s="354" t="s">
        <v>53</v>
      </c>
      <c r="K1" s="437" t="s">
        <v>49</v>
      </c>
      <c r="L1" s="437"/>
      <c r="M1" s="437" t="s">
        <v>52</v>
      </c>
      <c r="N1" s="437"/>
      <c r="O1" s="314" t="s">
        <v>141</v>
      </c>
      <c r="P1" s="314" t="s">
        <v>55</v>
      </c>
      <c r="Q1" s="436" t="s">
        <v>54</v>
      </c>
      <c r="R1" s="354" t="s">
        <v>28</v>
      </c>
      <c r="S1" s="354"/>
      <c r="T1" s="354"/>
    </row>
    <row r="2" spans="1:20" ht="15" customHeight="1" x14ac:dyDescent="0.25">
      <c r="A2" s="446" t="s">
        <v>34</v>
      </c>
      <c r="B2" s="447">
        <f>IF(HDRAG_HAS_REC_HBRUN,COUNTA(DATA_HDRAG_HBRUN),"")</f>
        <v>295</v>
      </c>
      <c r="C2" s="58">
        <f>IF(HDRAG_HAS_REC_HBRUN,COUNTIF(DATA_HDRAG_HBRUN,"=2"),"")</f>
        <v>203</v>
      </c>
      <c r="D2" s="58">
        <f>IF(HDRAG_HAS_REC_HBRUN,COUNTIF(DATA_HDRAG_HBRUN,"=3"),"")</f>
        <v>68</v>
      </c>
      <c r="E2" s="58">
        <f>IF(HDRAG_HAS_REC_HBRUN,COUNTIF(DATA_HDRAG_HBRUN,"=4"),"")</f>
        <v>13</v>
      </c>
      <c r="F2" s="58">
        <f>IF(HDRAG_HAS_REC_HBRUN,COUNTIF(DATA_HDRAG_HBRUN,"=5"),"")</f>
        <v>11</v>
      </c>
      <c r="G2" s="435">
        <f>IF(HDRAG_HAS_REC_HBRUN,AVERAGE(DATA_HDRAG_HBRUN),"")</f>
        <v>2.4305084745762713</v>
      </c>
      <c r="I2" s="75"/>
      <c r="J2" s="354"/>
      <c r="K2" s="41" t="s">
        <v>50</v>
      </c>
      <c r="L2" s="75" t="s">
        <v>27</v>
      </c>
      <c r="M2" s="75" t="s">
        <v>51</v>
      </c>
      <c r="N2" s="112" t="s">
        <v>27</v>
      </c>
      <c r="O2" s="112" t="s">
        <v>27</v>
      </c>
      <c r="P2" s="112" t="s">
        <v>27</v>
      </c>
      <c r="Q2" s="436"/>
      <c r="R2" s="75" t="s">
        <v>52</v>
      </c>
      <c r="S2" s="75" t="s">
        <v>49</v>
      </c>
      <c r="T2" s="75" t="s">
        <v>55</v>
      </c>
    </row>
    <row r="3" spans="1:20" ht="15" customHeight="1" x14ac:dyDescent="0.25">
      <c r="A3" s="446"/>
      <c r="B3" s="447"/>
      <c r="C3" s="104">
        <f>IF(HDRAG_HAS_REC_HBRUN,C2/$B2,"")</f>
        <v>0.68813559322033901</v>
      </c>
      <c r="D3" s="104">
        <f>IF(HDRAG_HAS_REC_HBRUN,D2/$B2,"")</f>
        <v>0.23050847457627119</v>
      </c>
      <c r="E3" s="104">
        <f>IF(HDRAG_HAS_REC_HBRUN,E2/$B2,"")</f>
        <v>4.4067796610169491E-2</v>
      </c>
      <c r="F3" s="104">
        <f>IF(HDRAG_HAS_REC_HBRUN,F2/$B2,"")</f>
        <v>3.7288135593220341E-2</v>
      </c>
      <c r="G3" s="435"/>
      <c r="I3" s="73" t="s">
        <v>34</v>
      </c>
      <c r="J3" s="163">
        <v>30</v>
      </c>
      <c r="K3" s="39">
        <v>30</v>
      </c>
      <c r="L3" s="39">
        <f>IF(HDRAG_HAS_REC_HBRUN,INDEX(DATA_HDRAGS_BUILDING,K3 + 1),"")</f>
        <v>0</v>
      </c>
      <c r="M3" s="39">
        <v>4</v>
      </c>
      <c r="N3" s="39">
        <f>IF(HDRAG_HAS_REC_HBRUN,INDEX(DATA_HDRAGS_DRAGON,IF(ISBLANK(M3),1,M3 + 2)),"")</f>
        <v>0</v>
      </c>
      <c r="O3" s="311">
        <f>IF(HDRAG_HAS_REC_HBRUN,N3+MAX(L3-INDEX(DATA_HDRAGS_BUILDING,16),0),"")</f>
        <v>0</v>
      </c>
      <c r="P3" s="311">
        <f>IF(HDRAG_HAS_REC_HBRUN,L3+N3,"")</f>
        <v>0</v>
      </c>
      <c r="Q3" s="70">
        <f>IFERROR(IF(L3+N3=0,0,L3+N3-J3),"")</f>
        <v>0</v>
      </c>
      <c r="R3" s="54">
        <f>IFERROR(IF(N3=0,100%,(HDRAG_MAX_DRAGON - N3)/HDRAG_MAX_DRAGON),"")</f>
        <v>1</v>
      </c>
      <c r="S3" s="54">
        <f>IFERROR(IF(L3=0,100%,(HDRAG_MAX_BUILDING - L3)/HDRAG_MAX_BUILDING),"")</f>
        <v>1</v>
      </c>
      <c r="T3" s="54">
        <f>IFERROR(IF(Q3=0,100%,(HDRAG_MAX_ALL - Q3)/HDRAG_MAX_ALL),"")</f>
        <v>1</v>
      </c>
    </row>
    <row r="4" spans="1:20" ht="15" customHeight="1" x14ac:dyDescent="0.25">
      <c r="A4" s="444" t="s">
        <v>46</v>
      </c>
      <c r="B4" s="445">
        <f>IF(HDRAG_HAS_REC_HMERC,COUNTA(DATA_HDRAG_HMERC),"")</f>
        <v>93</v>
      </c>
      <c r="C4" s="105">
        <f>IF(HDRAG_HAS_REC_HMERC,COUNTIF(DATA_HDRAG_HMERC,"=2"),"")</f>
        <v>68</v>
      </c>
      <c r="D4" s="105">
        <f>IF(HDRAG_HAS_REC_HMERC,COUNTIF(DATA_HDRAG_HMERC,"=3"),"")</f>
        <v>15</v>
      </c>
      <c r="E4" s="105">
        <f>IF(HDRAG_HAS_REC_HMERC,COUNTIF(DATA_HDRAG_HMERC,"=4"),"")</f>
        <v>6</v>
      </c>
      <c r="F4" s="105">
        <f>IF(HDRAG_HAS_REC_HMERC,COUNTIF(DATA_HDRAG_HMERC,"=5"),"")</f>
        <v>4</v>
      </c>
      <c r="G4" s="434">
        <f>IF(HDRAG_HAS_REC_HMERC,AVERAGE(DATA_HDRAG_HMERC),"")</f>
        <v>2.4193548387096775</v>
      </c>
      <c r="I4" s="113" t="s">
        <v>46</v>
      </c>
      <c r="J4" s="163">
        <v>217</v>
      </c>
      <c r="K4" s="39">
        <v>14</v>
      </c>
      <c r="L4" s="39">
        <f>IF(HDRAG_HAS_REC_HMERC,INDEX(DATA_HDRAGS_BUILDING,K4 + 1),"")</f>
        <v>675</v>
      </c>
      <c r="M4" s="39"/>
      <c r="N4" s="39">
        <f>IF(HDRAG_HAS_REC_HMERC,INDEX(DATA_HDRAGS_DRAGON,IF(ISBLANK(M4),1,M4 + 2)),"")</f>
        <v>485</v>
      </c>
      <c r="O4" s="311">
        <f>IF(HDRAG_HAS_REC_HMERC,N4+MAX(L4-INDEX(DATA_HDRAGS_BUILDING,16),0),"")</f>
        <v>500</v>
      </c>
      <c r="P4" s="311">
        <f>IF(HDRAG_HAS_REC_HMERC,L4+N4,"")</f>
        <v>1160</v>
      </c>
      <c r="Q4" s="70">
        <f>IFERROR(IF(L4+N4=0,0,L4+N4-J4),"")</f>
        <v>943</v>
      </c>
      <c r="R4" s="54">
        <f>IFERROR(IF(N4=0,100%,(HDRAG_MAX_DRAGON - N4)/HDRAG_MAX_DRAGON),"")</f>
        <v>0</v>
      </c>
      <c r="S4" s="54">
        <f>IFERROR(IF(L4=0,100%,(HDRAG_MAX_BUILDING - L4)/HDRAG_MAX_BUILDING),"")</f>
        <v>0.17279411764705882</v>
      </c>
      <c r="T4" s="54">
        <f>IFERROR(IF(Q4=0,100%,(HDRAG_MAX_ALL - Q4)/HDRAG_MAX_ALL),"")</f>
        <v>0.2751729438893159</v>
      </c>
    </row>
    <row r="5" spans="1:20" ht="15" customHeight="1" x14ac:dyDescent="0.25">
      <c r="A5" s="444"/>
      <c r="B5" s="445"/>
      <c r="C5" s="106">
        <f>IF(HDRAG_HAS_REC_HMERC,C4/$B4,"")</f>
        <v>0.73118279569892475</v>
      </c>
      <c r="D5" s="106">
        <f>IF(HDRAG_HAS_REC_HMERC,D4/$B4,"")</f>
        <v>0.16129032258064516</v>
      </c>
      <c r="E5" s="106">
        <f>IF(HDRAG_HAS_REC_HMERC,E4/$B4,"")</f>
        <v>6.4516129032258063E-2</v>
      </c>
      <c r="F5" s="106">
        <f>IF(HDRAG_HAS_REC_HMERC,F4/$B4,"")</f>
        <v>4.3010752688172046E-2</v>
      </c>
      <c r="G5" s="434"/>
      <c r="I5" s="114" t="s">
        <v>35</v>
      </c>
      <c r="J5" s="163">
        <v>141</v>
      </c>
      <c r="K5" s="39">
        <v>30</v>
      </c>
      <c r="L5" s="39">
        <f>IF(HDRAG_HAS_REC_HMID,INDEX(DATA_HDRAGS_BUILDING,K5 + 1),"")</f>
        <v>0</v>
      </c>
      <c r="M5" s="39">
        <v>4</v>
      </c>
      <c r="N5" s="39">
        <f>IF(HDRAG_HAS_REC_HMID,INDEX(DATA_HDRAGS_DRAGON,IF(ISBLANK(M5),1,M5 + 2)),"")</f>
        <v>0</v>
      </c>
      <c r="O5" s="311">
        <f>IF(HDRAG_HAS_REC_HMID,N5+MAX(L5-INDEX(DATA_HDRAGS_BUILDING,16),0),"")</f>
        <v>0</v>
      </c>
      <c r="P5" s="311">
        <f>IF(HDRAG_HAS_REC_HMID,L5+N5,"")</f>
        <v>0</v>
      </c>
      <c r="Q5" s="70">
        <f>IFERROR(IF(L5+N5=0,0,L5+N5-J5),"")</f>
        <v>0</v>
      </c>
      <c r="R5" s="54">
        <f>IFERROR(IF(N5=0,100%,(HDRAG_MAX_DRAGON - N5)/HDRAG_MAX_DRAGON),"")</f>
        <v>1</v>
      </c>
      <c r="S5" s="54">
        <f>IFERROR(IF(L5=0,100%,(HDRAG_MAX_BUILDING - L5)/HDRAG_MAX_BUILDING),"")</f>
        <v>1</v>
      </c>
      <c r="T5" s="54">
        <f>IFERROR(IF(Q5=0,100%,(HDRAG_MAX_ALL - Q5)/HDRAG_MAX_ALL),"")</f>
        <v>1</v>
      </c>
    </row>
    <row r="6" spans="1:20" ht="15" customHeight="1" x14ac:dyDescent="0.25">
      <c r="A6" s="442" t="s">
        <v>35</v>
      </c>
      <c r="B6" s="443">
        <f>IF(HDRAG_HAS_REC_HMID,COUNTA(DATA_HDRAG_HMID),"")</f>
        <v>801</v>
      </c>
      <c r="C6" s="107">
        <f>IF(HDRAG_HAS_REC_HMID,COUNTIF(DATA_HDRAG_HMID,"=2"),"")</f>
        <v>518</v>
      </c>
      <c r="D6" s="107">
        <f>IF(HDRAG_HAS_REC_HMID,COUNTIF(DATA_HDRAG_HMID,"=3"),"")</f>
        <v>171</v>
      </c>
      <c r="E6" s="107">
        <f>IF(HDRAG_HAS_REC_HMID,COUNTIF(DATA_HDRAG_HMID,"=4"),"")</f>
        <v>62</v>
      </c>
      <c r="F6" s="107">
        <f>IF(HDRAG_HAS_REC_HMID,COUNTIF(DATA_HDRAG_HMID,"=5"),"")</f>
        <v>49</v>
      </c>
      <c r="G6" s="433">
        <f>IF(HDRAG_HAS_REC_HMID,AVERAGE(DATA_HDRAG_HMID),"")</f>
        <v>2.5525000000000002</v>
      </c>
      <c r="I6" s="115" t="s">
        <v>47</v>
      </c>
      <c r="J6" s="163"/>
      <c r="K6" s="39"/>
      <c r="L6" s="39" t="str">
        <f>IF(HDRAG_HAS_REC_HJUP,INDEX(DATA_HDRAGS_BUILDING,K6 + 1),"")</f>
        <v/>
      </c>
      <c r="M6" s="39"/>
      <c r="N6" s="39" t="str">
        <f>IF(HDRAG_HAS_REC_HJUP,INDEX(DATA_HDRAGS_DRAGON,IF(ISBLANK(M6),1,M6 + 2)),"")</f>
        <v/>
      </c>
      <c r="O6" s="311" t="str">
        <f>IF(HDRAG_HAS_REC_HJUP,N6+MAX(L6-INDEX(DATA_HDRAGS_BUILDING,16),0),"")</f>
        <v/>
      </c>
      <c r="P6" s="311" t="str">
        <f>IF(HDRAG_HAS_REC_HJUP,L6+N6,"")</f>
        <v/>
      </c>
      <c r="Q6" s="70" t="str">
        <f>IFERROR(IF(L6+N6=0,0,L6+N6-J6),"")</f>
        <v/>
      </c>
      <c r="R6" s="54" t="str">
        <f>IFERROR(IF(N6=0,100%,(HDRAG_MAX_DRAGON - N6)/HDRAG_MAX_DRAGON),"")</f>
        <v/>
      </c>
      <c r="S6" s="54" t="str">
        <f>IFERROR(IF(L6=0,100%,(HDRAG_MAX_BUILDING - L6)/HDRAG_MAX_BUILDING),"")</f>
        <v/>
      </c>
      <c r="T6" s="54" t="str">
        <f>IFERROR(IF(Q6=0,100%,(HDRAG_MAX_ALL - Q6)/HDRAG_MAX_ALL),"")</f>
        <v/>
      </c>
    </row>
    <row r="7" spans="1:20" ht="15" customHeight="1" x14ac:dyDescent="0.25">
      <c r="A7" s="442"/>
      <c r="B7" s="443"/>
      <c r="C7" s="108">
        <f>IF(HDRAG_HAS_REC_HMID,C6/$B6,"")</f>
        <v>0.64669163545568042</v>
      </c>
      <c r="D7" s="108">
        <f>IF(HDRAG_HAS_REC_HMID,D6/$B6,"")</f>
        <v>0.21348314606741572</v>
      </c>
      <c r="E7" s="108">
        <f>IF(HDRAG_HAS_REC_HMID,E6/$B6,"")</f>
        <v>7.740324594257178E-2</v>
      </c>
      <c r="F7" s="108">
        <f>IF(HDRAG_HAS_REC_HMID,F6/$B6,"")</f>
        <v>6.117353308364544E-2</v>
      </c>
      <c r="G7" s="433"/>
      <c r="I7" s="74" t="s">
        <v>48</v>
      </c>
      <c r="J7" s="163"/>
      <c r="K7" s="39"/>
      <c r="L7" s="39" t="str">
        <f>IF(HDRAG_HAS_REC_HZOD,INDEX(DATA_HDRAGS_BUILDING,K7 + 1),"")</f>
        <v/>
      </c>
      <c r="M7" s="39"/>
      <c r="N7" s="39" t="str">
        <f>IF(HDRAG_HAS_REC_HZOD,INDEX(DATA_HDRAGS_DRAGON,IF(ISBLANK(M7),1,M7 + 2)),"")</f>
        <v/>
      </c>
      <c r="O7" s="311" t="str">
        <f>IF(HDRAG_HAS_REC_HZOD,N7+MAX(L7-INDEX(DATA_HDRAGS_BUILDING,16),0),"")</f>
        <v/>
      </c>
      <c r="P7" s="311" t="str">
        <f>IF(HDRAG_HAS_REC_HZOD,L7+N7,"")</f>
        <v/>
      </c>
      <c r="Q7" s="70" t="str">
        <f>IFERROR(IF(L7+N7=0,0,L7+N7-J7),"")</f>
        <v/>
      </c>
      <c r="R7" s="54" t="str">
        <f>IFERROR(IF(N7=0,100%,(HDRAG_MAX_DRAGON - N7)/HDRAG_MAX_DRAGON),"")</f>
        <v/>
      </c>
      <c r="S7" s="54" t="str">
        <f>IFERROR(IF(L7=0,100%,(HDRAG_MAX_BUILDING - L7)/HDRAG_MAX_BUILDING),"")</f>
        <v/>
      </c>
      <c r="T7" s="54" t="str">
        <f>IFERROR(IF(Q7=0,100%,(HDRAG_MAX_ALL - Q7)/HDRAG_MAX_ALL),"")</f>
        <v/>
      </c>
    </row>
    <row r="8" spans="1:20" ht="15" customHeight="1" x14ac:dyDescent="0.25">
      <c r="A8" s="440" t="s">
        <v>47</v>
      </c>
      <c r="B8" s="441" t="str">
        <f>IF(HDRAG_HAS_REC_HJUP,COUNTA(DATA_HDRAG_HJUP),"")</f>
        <v/>
      </c>
      <c r="C8" s="109" t="str">
        <f>IF(HDRAG_HAS_REC_HJUP,COUNTIF(DATA_HDRAG_HJUP,"=2"),"")</f>
        <v/>
      </c>
      <c r="D8" s="109" t="str">
        <f>IF(HDRAG_HAS_REC_HJUP,COUNTIF(DATA_HDRAG_HJUP,"=3"),"")</f>
        <v/>
      </c>
      <c r="E8" s="109" t="str">
        <f>IF(HDRAG_HAS_REC_HJUP,COUNTIF(DATA_HDRAG_HJUP,"=4"),"")</f>
        <v/>
      </c>
      <c r="F8" s="109" t="str">
        <f>IF(HDRAG_HAS_REC_HJUP,COUNTIF(DATA_HDRAG_HJUP,"=5"),"")</f>
        <v/>
      </c>
      <c r="G8" s="432" t="str">
        <f>IF(HDRAG_HAS_REC_HJUP,AVERAGE(DATA_HDRAG_HJUP),"")</f>
        <v/>
      </c>
    </row>
    <row r="9" spans="1:20" ht="15" customHeight="1" x14ac:dyDescent="0.25">
      <c r="A9" s="440"/>
      <c r="B9" s="441"/>
      <c r="C9" s="110" t="str">
        <f>IF(HDRAG_HAS_REC_HJUP,C8/$B8,"")</f>
        <v/>
      </c>
      <c r="D9" s="110" t="str">
        <f>IF(HDRAG_HAS_REC_HJUP,D8/$B8,"")</f>
        <v/>
      </c>
      <c r="E9" s="110" t="str">
        <f>IF(HDRAG_HAS_REC_HJUP,E8/$B8,"")</f>
        <v/>
      </c>
      <c r="F9" s="110" t="str">
        <f>IF(HDRAG_HAS_REC_HJUP,F8/$B8,"")</f>
        <v/>
      </c>
      <c r="G9" s="432"/>
    </row>
    <row r="10" spans="1:20" ht="15" customHeight="1" x14ac:dyDescent="0.25">
      <c r="A10" s="438" t="s">
        <v>48</v>
      </c>
      <c r="B10" s="439" t="str">
        <f>IF(HDRAG_HAS_REC_HZOD,COUNTA(DATA_HDRAG_HZOD),"")</f>
        <v/>
      </c>
      <c r="C10" s="61" t="str">
        <f>IF(HDRAG_HAS_REC_HZOD,COUNTIF(DATA_HDRAG_HZOD,"=2"),"")</f>
        <v/>
      </c>
      <c r="D10" s="61" t="str">
        <f>IF(HDRAG_HAS_REC_HZOD,COUNTIF(DATA_HDRAG_HZOD,"=3"),"")</f>
        <v/>
      </c>
      <c r="E10" s="61" t="str">
        <f>IF(HDRAG_HAS_REC_HZOD,COUNTIF(DATA_HDRAG_HZOD,"=4"),"")</f>
        <v/>
      </c>
      <c r="F10" s="61" t="str">
        <f>IF(HDRAG_HAS_REC_HZOD,COUNTIF(DATA_HDRAG_HZOD,"=5"),"")</f>
        <v/>
      </c>
      <c r="G10" s="431" t="str">
        <f>IF(HDRAG_HAS_REC_HZOD,AVERAGE(DATA_HDRAG_HZOD),"")</f>
        <v/>
      </c>
    </row>
    <row r="11" spans="1:20" ht="15" customHeight="1" x14ac:dyDescent="0.25">
      <c r="A11" s="438"/>
      <c r="B11" s="439"/>
      <c r="C11" s="111" t="str">
        <f>IF(HDRAG_HAS_REC_HZOD,C10/$B10,"")</f>
        <v/>
      </c>
      <c r="D11" s="111" t="str">
        <f>IF(HDRAG_HAS_REC_HZOD,D10/$B10,"")</f>
        <v/>
      </c>
      <c r="E11" s="111" t="str">
        <f>IF(HDRAG_HAS_REC_HZOD,E10/$B10,"")</f>
        <v/>
      </c>
      <c r="F11" s="111" t="str">
        <f>IF(HDRAG_HAS_REC_HZOD,F10/$B10,"")</f>
        <v/>
      </c>
      <c r="G11" s="431"/>
    </row>
    <row r="13" spans="1:20" x14ac:dyDescent="0.25">
      <c r="A13" s="16"/>
      <c r="B13" s="354" t="s">
        <v>40</v>
      </c>
      <c r="C13" s="354"/>
      <c r="D13" s="354"/>
      <c r="E13" s="354"/>
      <c r="F13" s="354"/>
      <c r="G13" s="354"/>
      <c r="K13" s="408" t="s">
        <v>140</v>
      </c>
      <c r="L13" s="408"/>
      <c r="M13" s="408"/>
      <c r="N13" s="408"/>
      <c r="O13" s="408"/>
      <c r="P13" s="408"/>
      <c r="Q13" s="408"/>
      <c r="R13" s="408"/>
    </row>
    <row r="14" spans="1:20" x14ac:dyDescent="0.25">
      <c r="A14" s="16"/>
      <c r="B14" s="16"/>
      <c r="C14" s="75">
        <v>2</v>
      </c>
      <c r="D14" s="75">
        <v>3</v>
      </c>
      <c r="E14" s="75">
        <v>4</v>
      </c>
      <c r="F14" s="75">
        <v>5</v>
      </c>
      <c r="G14" s="75" t="s">
        <v>45</v>
      </c>
      <c r="K14" s="313">
        <v>2</v>
      </c>
      <c r="L14" s="313">
        <v>3</v>
      </c>
      <c r="M14" s="313">
        <v>4</v>
      </c>
      <c r="N14" s="313">
        <v>5</v>
      </c>
      <c r="O14" s="312" t="s">
        <v>45</v>
      </c>
      <c r="P14" s="405" t="s">
        <v>28</v>
      </c>
      <c r="Q14" s="405"/>
      <c r="R14" s="405"/>
    </row>
    <row r="15" spans="1:20" ht="15.75" x14ac:dyDescent="0.25">
      <c r="A15" s="16"/>
      <c r="B15" s="73" t="s">
        <v>34</v>
      </c>
      <c r="C15" s="116">
        <f>IF(HDRAG_HAS_REC_HBRUN,_xlfn.CEILING.MATH((HDRAG_MAX_DRAGON/$G2)*C3),"")</f>
        <v>138</v>
      </c>
      <c r="D15" s="116">
        <f>IF(HDRAG_HAS_REC_HBRUN,_xlfn.CEILING.MATH((HDRAG_MAX_DRAGON/$G2)*D3),"")</f>
        <v>46</v>
      </c>
      <c r="E15" s="116">
        <f>IF(HDRAG_HAS_REC_HBRUN,_xlfn.CEILING.MATH((HDRAG_MAX_DRAGON/$G2)*E3),"")</f>
        <v>9</v>
      </c>
      <c r="F15" s="116">
        <f>IF(HDRAG_HAS_REC_HBRUN,_xlfn.CEILING.MATH((HDRAG_MAX_DRAGON/$G2)*F3),"")</f>
        <v>8</v>
      </c>
      <c r="G15" s="121">
        <f>IF(HDRAG_HAS_REC_HBRUN,SUM(C15:F15),"")</f>
        <v>201</v>
      </c>
      <c r="J15" s="308" t="s">
        <v>34</v>
      </c>
      <c r="K15" s="315">
        <f>IF(HDRAG_HAS_REC_HBRUN,_xlfn.CEILING.MATH(($N3/$G$2)*C3),"")</f>
        <v>0</v>
      </c>
      <c r="L15" s="315">
        <f>IF(HDRAG_HAS_REC_HBRUN,_xlfn.CEILING.MATH(($N3/$G$2)*D3),"")</f>
        <v>0</v>
      </c>
      <c r="M15" s="315">
        <f>IF(HDRAG_HAS_REC_HBRUN,_xlfn.CEILING.MATH(($N3/$G$2)*E3),"")</f>
        <v>0</v>
      </c>
      <c r="N15" s="315">
        <f>IF(HDRAG_HAS_REC_HBRUN,_xlfn.CEILING.MATH(($N3/$G$2)*F3),"")</f>
        <v>0</v>
      </c>
      <c r="O15" s="315">
        <f>IF(HDRAG_HAS_REC_HBRUN,SUM(K15:N15),"")</f>
        <v>0</v>
      </c>
      <c r="P15" s="430">
        <f>IFERROR((G15-O15)/G15,"")</f>
        <v>1</v>
      </c>
      <c r="Q15" s="430"/>
      <c r="R15" s="430"/>
    </row>
    <row r="16" spans="1:20" ht="15.75" x14ac:dyDescent="0.25">
      <c r="A16" s="16"/>
      <c r="B16" s="113" t="s">
        <v>46</v>
      </c>
      <c r="C16" s="117">
        <f>IF(HDRAG_HAS_REC_HMERC,_xlfn.CEILING.MATH((HDRAG_MAX_DRAGON/$G4)*C5),"")</f>
        <v>147</v>
      </c>
      <c r="D16" s="117">
        <f>IF(HDRAG_HAS_REC_HMERC,_xlfn.CEILING.MATH((HDRAG_MAX_DRAGON/$G4)*D5),"")</f>
        <v>33</v>
      </c>
      <c r="E16" s="117">
        <f>IF(HDRAG_HAS_REC_HMERC,_xlfn.CEILING.MATH((HDRAG_MAX_DRAGON/$G4)*E5),"")</f>
        <v>13</v>
      </c>
      <c r="F16" s="117">
        <f>IF(HDRAG_HAS_REC_HMERC,_xlfn.CEILING.MATH((HDRAG_MAX_DRAGON/$G4)*F5),"")</f>
        <v>9</v>
      </c>
      <c r="G16" s="122">
        <f>IF(HDRAG_HAS_REC_HMERC,SUM(C16:F16),"")</f>
        <v>202</v>
      </c>
      <c r="J16" s="113" t="s">
        <v>46</v>
      </c>
      <c r="K16" s="316">
        <f>IF(HDRAG_HAS_REC_HMERC,_xlfn.CEILING.MATH(($N4/$G$4)*C5),"")</f>
        <v>147</v>
      </c>
      <c r="L16" s="316">
        <f>IF(HDRAG_HAS_REC_HMERC,_xlfn.CEILING.MATH(($N4/$G$4)*D5),"")</f>
        <v>33</v>
      </c>
      <c r="M16" s="316">
        <f>IF(HDRAG_HAS_REC_HMERC,_xlfn.CEILING.MATH(($N4/$G$4)*E5),"")</f>
        <v>13</v>
      </c>
      <c r="N16" s="316">
        <f>IF(HDRAG_HAS_REC_HMERC,_xlfn.CEILING.MATH(($N4/$G$4)*F5),"")</f>
        <v>9</v>
      </c>
      <c r="O16" s="316">
        <f>IF(HDRAG_HAS_REC_HMERC,SUM(K16:N16),"")</f>
        <v>202</v>
      </c>
      <c r="P16" s="430">
        <f>IFERROR((G16-O16)/G16,"")</f>
        <v>0</v>
      </c>
      <c r="Q16" s="430"/>
      <c r="R16" s="430"/>
    </row>
    <row r="17" spans="1:18" ht="15.75" x14ac:dyDescent="0.25">
      <c r="A17" s="16"/>
      <c r="B17" s="114" t="s">
        <v>35</v>
      </c>
      <c r="C17" s="118">
        <f>IF(HDRAG_HAS_REC_HMID,_xlfn.CEILING.MATH((HDRAG_MAX_DRAGON/$G6)*C7),"")</f>
        <v>123</v>
      </c>
      <c r="D17" s="118">
        <f>IF(HDRAG_HAS_REC_HMID,_xlfn.CEILING.MATH((HDRAG_MAX_DRAGON/$G6)*D7),"")</f>
        <v>41</v>
      </c>
      <c r="E17" s="118">
        <f>IF(HDRAG_HAS_REC_HMID,_xlfn.CEILING.MATH((HDRAG_MAX_DRAGON/$G6)*E7),"")</f>
        <v>15</v>
      </c>
      <c r="F17" s="118">
        <f>IF(HDRAG_HAS_REC_HMID,_xlfn.CEILING.MATH((HDRAG_MAX_DRAGON/$G6)*F7),"")</f>
        <v>12</v>
      </c>
      <c r="G17" s="123">
        <f>IF(HDRAG_HAS_REC_HMID,SUM(C17:F17),"")</f>
        <v>191</v>
      </c>
      <c r="J17" s="114" t="s">
        <v>35</v>
      </c>
      <c r="K17" s="317">
        <f>IF(HDRAG_HAS_REC_HMID,_xlfn.CEILING.MATH(($N5/$G$6)*C7),"")</f>
        <v>0</v>
      </c>
      <c r="L17" s="317">
        <f>IF(HDRAG_HAS_REC_HMID,_xlfn.CEILING.MATH(($N5/$G$6)*D7),"")</f>
        <v>0</v>
      </c>
      <c r="M17" s="317">
        <f>IF(HDRAG_HAS_REC_HMID,_xlfn.CEILING.MATH(($N5/$G$6)*E7),"")</f>
        <v>0</v>
      </c>
      <c r="N17" s="317">
        <f>IF(HDRAG_HAS_REC_HMID,_xlfn.CEILING.MATH(($N5/$G$6)*F7),"")</f>
        <v>0</v>
      </c>
      <c r="O17" s="317">
        <f>IF(HDRAG_HAS_REC_HMID,SUM(K17:N17),"")</f>
        <v>0</v>
      </c>
      <c r="P17" s="430">
        <f>IFERROR((G17-O17)/G17,"")</f>
        <v>1</v>
      </c>
      <c r="Q17" s="430"/>
      <c r="R17" s="430"/>
    </row>
    <row r="18" spans="1:18" ht="15.75" x14ac:dyDescent="0.25">
      <c r="A18" s="16"/>
      <c r="B18" s="115" t="s">
        <v>47</v>
      </c>
      <c r="C18" s="119" t="str">
        <f>IF(HDRAG_HAS_REC_HJUP,_xlfn.CEILING.MATH((HDRAG_MAX_DRAGON/$G8)*C9),"")</f>
        <v/>
      </c>
      <c r="D18" s="119" t="str">
        <f>IF(HDRAG_HAS_REC_HJUP,_xlfn.CEILING.MATH((HDRAG_MAX_DRAGON/$G8)*D9),"")</f>
        <v/>
      </c>
      <c r="E18" s="119" t="str">
        <f>IF(HDRAG_HAS_REC_HJUP,_xlfn.CEILING.MATH((HDRAG_MAX_DRAGON/$G8)*E9),"")</f>
        <v/>
      </c>
      <c r="F18" s="119" t="str">
        <f>IF(HDRAG_HAS_REC_HJUP,_xlfn.CEILING.MATH((HDRAG_MAX_DRAGON/$G8)*F9),"")</f>
        <v/>
      </c>
      <c r="G18" s="124" t="str">
        <f>IF(HDRAG_HAS_REC_HJUP,SUM(C18:F18),"")</f>
        <v/>
      </c>
      <c r="J18" s="115" t="s">
        <v>47</v>
      </c>
      <c r="K18" s="318" t="str">
        <f>IF(HDRAG_HAS_REC_HJUP,_xlfn.CEILING.MATH(($N6/$G$8)*C9),"")</f>
        <v/>
      </c>
      <c r="L18" s="318" t="str">
        <f>IF(HDRAG_HAS_REC_HJUP,_xlfn.CEILING.MATH(($N6/$G$8)*D9),"")</f>
        <v/>
      </c>
      <c r="M18" s="318" t="str">
        <f>IF(HDRAG_HAS_REC_HJUP,_xlfn.CEILING.MATH(($N6/$G$8)*E9),"")</f>
        <v/>
      </c>
      <c r="N18" s="318" t="str">
        <f>IF(HDRAG_HAS_REC_HJUP,_xlfn.CEILING.MATH(($N6/$G$8)*F9),"")</f>
        <v/>
      </c>
      <c r="O18" s="318" t="str">
        <f>IF(HDRAG_HAS_REC_HJUP,SUM(K18:N18),"")</f>
        <v/>
      </c>
      <c r="P18" s="430" t="str">
        <f>IFERROR((G18-O18)/G18,"")</f>
        <v/>
      </c>
      <c r="Q18" s="430"/>
      <c r="R18" s="430"/>
    </row>
    <row r="19" spans="1:18" ht="15.75" x14ac:dyDescent="0.25">
      <c r="A19" s="16"/>
      <c r="B19" s="74" t="s">
        <v>48</v>
      </c>
      <c r="C19" s="120" t="str">
        <f>IF(HDRAG_HAS_REC_HZOD,_xlfn.CEILING.MATH((HDRAG_MAX_DRAGON/$G10)*C11),"")</f>
        <v/>
      </c>
      <c r="D19" s="120" t="str">
        <f>IF(HDRAG_HAS_REC_HZOD,_xlfn.CEILING.MATH((HDRAG_MAX_DRAGON/$G10)*D11),"")</f>
        <v/>
      </c>
      <c r="E19" s="120" t="str">
        <f>IF(HDRAG_HAS_REC_HZOD,_xlfn.CEILING.MATH((HDRAG_MAX_DRAGON/$G10)*E11),"")</f>
        <v/>
      </c>
      <c r="F19" s="120" t="str">
        <f>IF(HDRAG_HAS_REC_HZOD,_xlfn.CEILING.MATH((HDRAG_MAX_DRAGON/$G10)*F11),"")</f>
        <v/>
      </c>
      <c r="G19" s="125" t="str">
        <f>IF(HDRAG_HAS_REC_HZOD,SUM(C19:F19),"")</f>
        <v/>
      </c>
      <c r="J19" s="309" t="s">
        <v>48</v>
      </c>
      <c r="K19" s="319" t="str">
        <f>IF(HDRAG_HAS_REC_HZOD,_xlfn.CEILING.MATH(($N7/$G$10)*C11),"")</f>
        <v/>
      </c>
      <c r="L19" s="319" t="str">
        <f>IF(HDRAG_HAS_REC_HZOD,_xlfn.CEILING.MATH(($N7/$G$10)*D11),"")</f>
        <v/>
      </c>
      <c r="M19" s="319" t="str">
        <f>IF(HDRAG_HAS_REC_HZOD,_xlfn.CEILING.MATH(($N7/$G$10)*E11),"")</f>
        <v/>
      </c>
      <c r="N19" s="319" t="str">
        <f>IF(HDRAG_HAS_REC_HZOD,_xlfn.CEILING.MATH(($N7/$G$10)*F11),"")</f>
        <v/>
      </c>
      <c r="O19" s="319" t="str">
        <f>IF(HDRAG_HAS_REC_HZOD,SUM(K19:N19),"")</f>
        <v/>
      </c>
      <c r="P19" s="430" t="str">
        <f>IFERROR((G19-O19)/G19,"")</f>
        <v/>
      </c>
      <c r="Q19" s="430"/>
      <c r="R19" s="430"/>
    </row>
    <row r="20" spans="1:18" x14ac:dyDescent="0.25">
      <c r="A20" s="16"/>
      <c r="B20" s="354" t="s">
        <v>41</v>
      </c>
      <c r="C20" s="354"/>
      <c r="D20" s="354"/>
      <c r="E20" s="354"/>
      <c r="F20" s="354"/>
      <c r="G20" s="354"/>
      <c r="K20" s="408" t="s">
        <v>140</v>
      </c>
      <c r="L20" s="408"/>
      <c r="M20" s="408"/>
      <c r="N20" s="408"/>
      <c r="O20" s="408"/>
      <c r="P20" s="408"/>
      <c r="Q20" s="408"/>
      <c r="R20" s="408"/>
    </row>
    <row r="21" spans="1:18" x14ac:dyDescent="0.25">
      <c r="A21" s="16"/>
      <c r="B21" s="16"/>
      <c r="C21" s="75">
        <v>2</v>
      </c>
      <c r="D21" s="75">
        <v>3</v>
      </c>
      <c r="E21" s="75">
        <v>4</v>
      </c>
      <c r="F21" s="75">
        <v>5</v>
      </c>
      <c r="G21" s="75" t="s">
        <v>45</v>
      </c>
      <c r="K21" s="313">
        <v>2</v>
      </c>
      <c r="L21" s="313">
        <v>3</v>
      </c>
      <c r="M21" s="313">
        <v>4</v>
      </c>
      <c r="N21" s="313">
        <v>5</v>
      </c>
      <c r="O21" s="312" t="s">
        <v>45</v>
      </c>
      <c r="P21" s="405" t="s">
        <v>28</v>
      </c>
      <c r="Q21" s="405"/>
      <c r="R21" s="405"/>
    </row>
    <row r="22" spans="1:18" ht="15.75" x14ac:dyDescent="0.25">
      <c r="A22" s="16"/>
      <c r="B22" s="73" t="s">
        <v>34</v>
      </c>
      <c r="C22" s="116">
        <f>IF(HDRAG_HAS_REC_HBRUN,_xlfn.CEILING.MATH((HDRAG_MAX_BUILDING/$G2)*C3),"")</f>
        <v>232</v>
      </c>
      <c r="D22" s="116">
        <f>IF(HDRAG_HAS_REC_HBRUN,_xlfn.CEILING.MATH((HDRAG_MAX_BUILDING/$G2)*D3),"")</f>
        <v>78</v>
      </c>
      <c r="E22" s="116">
        <f>IF(HDRAG_HAS_REC_HBRUN,_xlfn.CEILING.MATH((HDRAG_MAX_BUILDING/$G2)*E3),"")</f>
        <v>15</v>
      </c>
      <c r="F22" s="116">
        <f>IF(HDRAG_HAS_REC_HBRUN,_xlfn.CEILING.MATH((HDRAG_MAX_BUILDING/$G2)*F3),"")</f>
        <v>13</v>
      </c>
      <c r="G22" s="121">
        <f>IF(HDRAG_HAS_REC_HBRUN,SUM(C22:F22),"")</f>
        <v>338</v>
      </c>
      <c r="J22" s="308" t="s">
        <v>34</v>
      </c>
      <c r="K22" s="315">
        <f>IF(HDRAG_HAS_REC_HBRUN,_xlfn.CEILING.MATH(($L3/$G$2)*C3),"")</f>
        <v>0</v>
      </c>
      <c r="L22" s="315">
        <f>IF(HDRAG_HAS_REC_HBRUN,_xlfn.CEILING.MATH(($L3/$G$2)*D3),"")</f>
        <v>0</v>
      </c>
      <c r="M22" s="315">
        <f>IF(HDRAG_HAS_REC_HBRUN,_xlfn.CEILING.MATH(($L3/$G$2)*E3),"")</f>
        <v>0</v>
      </c>
      <c r="N22" s="315">
        <f>IF(HDRAG_HAS_REC_HBRUN,_xlfn.CEILING.MATH(($L3/$G$2)*F3),"")</f>
        <v>0</v>
      </c>
      <c r="O22" s="315">
        <f>IF(HDRAG_HAS_REC_HBRUN,SUM(K22:N22),"")</f>
        <v>0</v>
      </c>
      <c r="P22" s="430">
        <f>IFERROR((G22-O22)/G22,"")</f>
        <v>1</v>
      </c>
      <c r="Q22" s="430"/>
      <c r="R22" s="430"/>
    </row>
    <row r="23" spans="1:18" ht="15.75" x14ac:dyDescent="0.25">
      <c r="A23" s="16"/>
      <c r="B23" s="113" t="s">
        <v>46</v>
      </c>
      <c r="C23" s="117">
        <f>IF(HDRAG_HAS_REC_HMERC,_xlfn.CEILING.MATH((HDRAG_MAX_BUILDING/$G4)*C5),"")</f>
        <v>247</v>
      </c>
      <c r="D23" s="117">
        <f>IF(HDRAG_HAS_REC_HMERC,_xlfn.CEILING.MATH((HDRAG_MAX_BUILDING/$G4)*D5),"")</f>
        <v>55</v>
      </c>
      <c r="E23" s="117">
        <f>IF(HDRAG_HAS_REC_HMERC,_xlfn.CEILING.MATH((HDRAG_MAX_BUILDING/$G4)*E5),"")</f>
        <v>22</v>
      </c>
      <c r="F23" s="117">
        <f>IF(HDRAG_HAS_REC_HMERC,_xlfn.CEILING.MATH((HDRAG_MAX_BUILDING/$G4)*F5),"")</f>
        <v>15</v>
      </c>
      <c r="G23" s="122">
        <f>IF(HDRAG_HAS_REC_HMERC,SUM(C23:F23),"")</f>
        <v>339</v>
      </c>
      <c r="J23" s="113" t="s">
        <v>46</v>
      </c>
      <c r="K23" s="316">
        <f>IF(HDRAG_HAS_REC_HMERC,_xlfn.CEILING.MATH(($L4/$G$4)*C5),"")</f>
        <v>204</v>
      </c>
      <c r="L23" s="316">
        <f>IF(HDRAG_HAS_REC_HMERC,_xlfn.CEILING.MATH(($L4/$G$4)*D5),"")</f>
        <v>45</v>
      </c>
      <c r="M23" s="316">
        <f>IF(HDRAG_HAS_REC_HMERC,_xlfn.CEILING.MATH(($L4/$G$4)*E5),"")</f>
        <v>18</v>
      </c>
      <c r="N23" s="316">
        <f>IF(HDRAG_HAS_REC_HMERC,_xlfn.CEILING.MATH(($L4/$G$4)*F5),"")</f>
        <v>12</v>
      </c>
      <c r="O23" s="316">
        <f>IF(HDRAG_HAS_REC_HMERC,SUM(K23:N23),"")</f>
        <v>279</v>
      </c>
      <c r="P23" s="430">
        <f>IFERROR((G23-O23)/G23,"")</f>
        <v>0.17699115044247787</v>
      </c>
      <c r="Q23" s="430"/>
      <c r="R23" s="430"/>
    </row>
    <row r="24" spans="1:18" ht="15.75" x14ac:dyDescent="0.25">
      <c r="A24" s="16"/>
      <c r="B24" s="114" t="s">
        <v>35</v>
      </c>
      <c r="C24" s="118">
        <f>IF(HDRAG_HAS_REC_HMID,_xlfn.CEILING.MATH((HDRAG_MAX_BUILDING/$G6)*C7),"")</f>
        <v>207</v>
      </c>
      <c r="D24" s="118">
        <f>IF(HDRAG_HAS_REC_HMID,_xlfn.CEILING.MATH((HDRAG_MAX_BUILDING/$G6)*D7),"")</f>
        <v>69</v>
      </c>
      <c r="E24" s="118">
        <f>IF(HDRAG_HAS_REC_HMID,_xlfn.CEILING.MATH((HDRAG_MAX_BUILDING/$G6)*E7),"")</f>
        <v>25</v>
      </c>
      <c r="F24" s="118">
        <f>IF(HDRAG_HAS_REC_HMID,_xlfn.CEILING.MATH((HDRAG_MAX_BUILDING/$G6)*F7),"")</f>
        <v>20</v>
      </c>
      <c r="G24" s="123">
        <f>IF(HDRAG_HAS_REC_HMID,SUM(C24:F24),"")</f>
        <v>321</v>
      </c>
      <c r="J24" s="114" t="s">
        <v>35</v>
      </c>
      <c r="K24" s="317">
        <f>IF(HDRAG_HAS_REC_HMID,_xlfn.CEILING.MATH(($L5/$G$6)*C7),"")</f>
        <v>0</v>
      </c>
      <c r="L24" s="317">
        <f>IF(HDRAG_HAS_REC_HMID,_xlfn.CEILING.MATH(($L5/$G$6)*D7),"")</f>
        <v>0</v>
      </c>
      <c r="M24" s="317">
        <f>IF(HDRAG_HAS_REC_HMID,_xlfn.CEILING.MATH(($L5/$G$6)*E7),"")</f>
        <v>0</v>
      </c>
      <c r="N24" s="317">
        <f>IF(HDRAG_HAS_REC_HMID,_xlfn.CEILING.MATH(($L5/$G$6)*F7),"")</f>
        <v>0</v>
      </c>
      <c r="O24" s="317">
        <f>IF(HDRAG_HAS_REC_HMID,SUM(K24:N24),"")</f>
        <v>0</v>
      </c>
      <c r="P24" s="430">
        <f>IFERROR((G24-O24)/G24,"")</f>
        <v>1</v>
      </c>
      <c r="Q24" s="430"/>
      <c r="R24" s="430"/>
    </row>
    <row r="25" spans="1:18" ht="15.75" x14ac:dyDescent="0.25">
      <c r="A25" s="16"/>
      <c r="B25" s="115" t="s">
        <v>47</v>
      </c>
      <c r="C25" s="119" t="str">
        <f>IF(HDRAG_HAS_REC_HJUP,_xlfn.CEILING.MATH((HDRAG_MAX_BUILDING/$G8)*C9),"")</f>
        <v/>
      </c>
      <c r="D25" s="119" t="str">
        <f>IF(HDRAG_HAS_REC_HJUP,_xlfn.CEILING.MATH((HDRAG_MAX_BUILDING/$G8)*D9),"")</f>
        <v/>
      </c>
      <c r="E25" s="119" t="str">
        <f>IF(HDRAG_HAS_REC_HJUP,_xlfn.CEILING.MATH((HDRAG_MAX_BUILDING/$G8)*E9),"")</f>
        <v/>
      </c>
      <c r="F25" s="119" t="str">
        <f>IF(HDRAG_HAS_REC_HJUP,_xlfn.CEILING.MATH((HDRAG_MAX_BUILDING/$G8)*F9),"")</f>
        <v/>
      </c>
      <c r="G25" s="124" t="str">
        <f>IF(HDRAG_HAS_REC_HJUP,SUM(C25:F25),"")</f>
        <v/>
      </c>
      <c r="J25" s="115" t="s">
        <v>47</v>
      </c>
      <c r="K25" s="318" t="str">
        <f>IF(HDRAG_HAS_REC_HJUP,_xlfn.CEILING.MATH(($L6/$G$8)*C9),"")</f>
        <v/>
      </c>
      <c r="L25" s="318" t="str">
        <f>IF(HDRAG_HAS_REC_HJUP,_xlfn.CEILING.MATH(($L6/$G$8)*D9),"")</f>
        <v/>
      </c>
      <c r="M25" s="318" t="str">
        <f>IF(HDRAG_HAS_REC_HJUP,_xlfn.CEILING.MATH(($L6/$G$8)*E9),"")</f>
        <v/>
      </c>
      <c r="N25" s="318" t="str">
        <f>IF(HDRAG_HAS_REC_HJUP,_xlfn.CEILING.MATH(($L6/$G$8)*F9),"")</f>
        <v/>
      </c>
      <c r="O25" s="318" t="str">
        <f>IF(HDRAG_HAS_REC_HJUP,SUM(K25:N25),"")</f>
        <v/>
      </c>
      <c r="P25" s="430" t="str">
        <f>IFERROR((G25-O25)/G25,"")</f>
        <v/>
      </c>
      <c r="Q25" s="430"/>
      <c r="R25" s="430"/>
    </row>
    <row r="26" spans="1:18" ht="15.75" x14ac:dyDescent="0.25">
      <c r="A26" s="16"/>
      <c r="B26" s="74" t="s">
        <v>48</v>
      </c>
      <c r="C26" s="120" t="str">
        <f>IF(HDRAG_HAS_REC_HZOD,_xlfn.CEILING.MATH((HDRAG_MAX_BUILDING/$G10)*C11),"")</f>
        <v/>
      </c>
      <c r="D26" s="120" t="str">
        <f>IF(HDRAG_HAS_REC_HZOD,_xlfn.CEILING.MATH((HDRAG_MAX_BUILDING/$G10)*D11),"")</f>
        <v/>
      </c>
      <c r="E26" s="120" t="str">
        <f>IF(HDRAG_HAS_REC_HZOD,_xlfn.CEILING.MATH((HDRAG_MAX_BUILDING/$G10)*E11),"")</f>
        <v/>
      </c>
      <c r="F26" s="120" t="str">
        <f>IF(HDRAG_HAS_REC_HZOD,_xlfn.CEILING.MATH((HDRAG_MAX_BUILDING/$G10)*F11),"")</f>
        <v/>
      </c>
      <c r="G26" s="125" t="str">
        <f>IF(HDRAG_HAS_REC_HZOD,SUM(C26:F26),"")</f>
        <v/>
      </c>
      <c r="J26" s="309" t="s">
        <v>48</v>
      </c>
      <c r="K26" s="319" t="str">
        <f>IF(HDRAG_HAS_REC_HZOD,_xlfn.CEILING.MATH(($L7/$G$10)*C11),"")</f>
        <v/>
      </c>
      <c r="L26" s="319" t="str">
        <f>IF(HDRAG_HAS_REC_HZOD,_xlfn.CEILING.MATH(($L7/$G$10)*D11),"")</f>
        <v/>
      </c>
      <c r="M26" s="319" t="str">
        <f>IF(HDRAG_HAS_REC_HZOD,_xlfn.CEILING.MATH(($L7/$G$10)*E11),"")</f>
        <v/>
      </c>
      <c r="N26" s="319" t="str">
        <f>IF(HDRAG_HAS_REC_HZOD,_xlfn.CEILING.MATH(($L7/$G$10)*F11),"")</f>
        <v/>
      </c>
      <c r="O26" s="319" t="str">
        <f>IF(HDRAG_HAS_REC_HZOD,SUM(K26:N26),"")</f>
        <v/>
      </c>
      <c r="P26" s="430" t="str">
        <f>IFERROR((G26-O26)/G26,"")</f>
        <v/>
      </c>
      <c r="Q26" s="430"/>
      <c r="R26" s="430"/>
    </row>
    <row r="27" spans="1:18" x14ac:dyDescent="0.25">
      <c r="A27" s="16"/>
      <c r="B27" s="354" t="s">
        <v>124</v>
      </c>
      <c r="C27" s="354"/>
      <c r="D27" s="354"/>
      <c r="E27" s="354"/>
      <c r="F27" s="354"/>
      <c r="G27" s="354"/>
      <c r="K27" s="408" t="s">
        <v>140</v>
      </c>
      <c r="L27" s="408"/>
      <c r="M27" s="408"/>
      <c r="N27" s="408"/>
      <c r="O27" s="408"/>
      <c r="P27" s="408"/>
      <c r="Q27" s="408"/>
      <c r="R27" s="408"/>
    </row>
    <row r="28" spans="1:18" x14ac:dyDescent="0.25">
      <c r="A28" s="16"/>
      <c r="B28" s="16"/>
      <c r="C28" s="75">
        <v>2</v>
      </c>
      <c r="D28" s="75">
        <v>3</v>
      </c>
      <c r="E28" s="75">
        <v>4</v>
      </c>
      <c r="F28" s="75">
        <v>5</v>
      </c>
      <c r="G28" s="75" t="s">
        <v>45</v>
      </c>
      <c r="K28" s="313">
        <v>2</v>
      </c>
      <c r="L28" s="313">
        <v>3</v>
      </c>
      <c r="M28" s="313">
        <v>4</v>
      </c>
      <c r="N28" s="313">
        <v>5</v>
      </c>
      <c r="O28" s="312" t="s">
        <v>45</v>
      </c>
      <c r="P28" s="405" t="s">
        <v>28</v>
      </c>
      <c r="Q28" s="405"/>
      <c r="R28" s="405"/>
    </row>
    <row r="29" spans="1:18" ht="15.75" x14ac:dyDescent="0.25">
      <c r="A29" s="16"/>
      <c r="B29" s="173" t="s">
        <v>34</v>
      </c>
      <c r="C29" s="116">
        <f>IF(HDRAG_HAS_REC_HBRUN,_xlfn.CEILING.MATH((HDRAG_MAX_DRAGON_BLD_16/$G2)*C3),"")</f>
        <v>325</v>
      </c>
      <c r="D29" s="116">
        <f>IF(HDRAG_HAS_REC_HBRUN,_xlfn.CEILING.MATH((HDRAG_MAX_DRAGON_BLD_16/$G2)*D3),"")</f>
        <v>109</v>
      </c>
      <c r="E29" s="116">
        <f>IF(HDRAG_HAS_REC_HBRUN,_xlfn.CEILING.MATH((HDRAG_MAX_DRAGON_BLD_16/$G2)*E3),"")</f>
        <v>21</v>
      </c>
      <c r="F29" s="116">
        <f>IF(HDRAG_HAS_REC_HBRUN,_xlfn.CEILING.MATH((HDRAG_MAX_DRAGON_BLD_16/$G2)*F3),"")</f>
        <v>18</v>
      </c>
      <c r="G29" s="121">
        <f>IF(HDRAG_HAS_REC_HBRUN,SUM(C29:F29),"")</f>
        <v>473</v>
      </c>
      <c r="J29" s="308" t="s">
        <v>34</v>
      </c>
      <c r="K29" s="315">
        <f>IF(HDRAG_HAS_REC_HBRUN,_xlfn.CEILING.MATH(($O3/$G$2)*C3),"")</f>
        <v>0</v>
      </c>
      <c r="L29" s="315" t="str">
        <f>IF(OR($O3=0,$O3=""),"",_xlfn.CEILING.MATH(($O3/$G$2)*D3))</f>
        <v/>
      </c>
      <c r="M29" s="315" t="str">
        <f>IF(OR($O3=0,$O3=""),"",_xlfn.CEILING.MATH(($O3/$G$2)*E3))</f>
        <v/>
      </c>
      <c r="N29" s="315" t="str">
        <f>IF(OR($O3=0,$O3=""),"",_xlfn.CEILING.MATH(($O3/$G$2)*F3))</f>
        <v/>
      </c>
      <c r="O29" s="315">
        <f>IF(HDRAG_HAS_REC_HBRUN,SUM(K29:N29),"")</f>
        <v>0</v>
      </c>
      <c r="P29" s="430">
        <f>IFERROR((G29-O29)/G29,"")</f>
        <v>1</v>
      </c>
      <c r="Q29" s="430"/>
      <c r="R29" s="430"/>
    </row>
    <row r="30" spans="1:18" ht="15.75" x14ac:dyDescent="0.25">
      <c r="A30" s="16"/>
      <c r="B30" s="113" t="s">
        <v>46</v>
      </c>
      <c r="C30" s="117">
        <f>IF(HDRAG_HAS_REC_HMERC,_xlfn.CEILING.MATH((HDRAG_MAX_DRAGON_BLD_16/$G4)*C5),"")</f>
        <v>347</v>
      </c>
      <c r="D30" s="117">
        <f>IF(HDRAG_HAS_REC_HMERC,_xlfn.CEILING.MATH((HDRAG_MAX_DRAGON_BLD_16/$G4)*D5),"")</f>
        <v>77</v>
      </c>
      <c r="E30" s="117">
        <f>IF(HDRAG_HAS_REC_HMERC,_xlfn.CEILING.MATH((HDRAG_MAX_DRAGON_BLD_16/$G4)*E5),"")</f>
        <v>31</v>
      </c>
      <c r="F30" s="117">
        <f>IF(HDRAG_HAS_REC_HMERC,_xlfn.CEILING.MATH((HDRAG_MAX_DRAGON_BLD_16/$G4)*F5),"")</f>
        <v>21</v>
      </c>
      <c r="G30" s="122">
        <f>IF(HDRAG_HAS_REC_HMERC,SUM(C30:F30),"")</f>
        <v>476</v>
      </c>
      <c r="J30" s="113" t="s">
        <v>46</v>
      </c>
      <c r="K30" s="316">
        <f>IF(HDRAG_HAS_REC_HMERC,_xlfn.CEILING.MATH(($O4/$G$4)*C5),"")</f>
        <v>152</v>
      </c>
      <c r="L30" s="316">
        <f>IF(OR($O4=0,$O4=""),"",_xlfn.CEILING.MATH(($O4/$G$4)*D5))</f>
        <v>34</v>
      </c>
      <c r="M30" s="316">
        <f>IF(OR($O4=0,$O4=""),"",_xlfn.CEILING.MATH(($O4/$G$4)*E5))</f>
        <v>14</v>
      </c>
      <c r="N30" s="316">
        <f>IF(OR($O4=0,$O4=""),"",_xlfn.CEILING.MATH(($O4/$G$4)*F5))</f>
        <v>9</v>
      </c>
      <c r="O30" s="316">
        <f>IF(HDRAG_HAS_REC_HMERC,SUM(K30:N30),"")</f>
        <v>209</v>
      </c>
      <c r="P30" s="430">
        <f>IFERROR((G30-O30)/G30,"")</f>
        <v>0.56092436974789917</v>
      </c>
      <c r="Q30" s="430"/>
      <c r="R30" s="430"/>
    </row>
    <row r="31" spans="1:18" ht="15.75" x14ac:dyDescent="0.25">
      <c r="A31" s="16"/>
      <c r="B31" s="114" t="s">
        <v>35</v>
      </c>
      <c r="C31" s="118">
        <f>IF(HDRAG_HAS_REC_HMID,_xlfn.CEILING.MATH((HDRAG_MAX_DRAGON_BLD_16/$G6)*C7),"")</f>
        <v>291</v>
      </c>
      <c r="D31" s="118">
        <f>IF(HDRAG_HAS_REC_HMID,_xlfn.CEILING.MATH((HDRAG_MAX_DRAGON_BLD_16/$G6)*D7),"")</f>
        <v>96</v>
      </c>
      <c r="E31" s="118">
        <f>IF(HDRAG_HAS_REC_HMID,_xlfn.CEILING.MATH((HDRAG_MAX_DRAGON_BLD_16/$G6)*E7),"")</f>
        <v>35</v>
      </c>
      <c r="F31" s="118">
        <f>IF(HDRAG_HAS_REC_HMID,_xlfn.CEILING.MATH((HDRAG_MAX_DRAGON_BLD_16/$G6)*F7),"")</f>
        <v>28</v>
      </c>
      <c r="G31" s="123">
        <f>IF(HDRAG_HAS_REC_HMID,SUM(C31:F31),"")</f>
        <v>450</v>
      </c>
      <c r="J31" s="114" t="s">
        <v>35</v>
      </c>
      <c r="K31" s="317">
        <f>IF(HDRAG_HAS_REC_HMID,_xlfn.CEILING.MATH(($O5/$G$6)*C7),"")</f>
        <v>0</v>
      </c>
      <c r="L31" s="317" t="str">
        <f>IF(OR($O5=0,$O5=""),"",_xlfn.CEILING.MATH(($O5/$G$6)*D7))</f>
        <v/>
      </c>
      <c r="M31" s="317" t="str">
        <f>IF(OR($O5=0,$O5=""),"",_xlfn.CEILING.MATH(($O5/$G$6)*E7))</f>
        <v/>
      </c>
      <c r="N31" s="317" t="str">
        <f>IF(OR($O5=0,$O5=""),"",_xlfn.CEILING.MATH(($O5/$G$6)*F7))</f>
        <v/>
      </c>
      <c r="O31" s="317">
        <f>IF(HDRAG_HAS_REC_HMID,SUM(K31:N31),"")</f>
        <v>0</v>
      </c>
      <c r="P31" s="430">
        <f>IFERROR((G31-O31)/G31,"")</f>
        <v>1</v>
      </c>
      <c r="Q31" s="430"/>
      <c r="R31" s="430"/>
    </row>
    <row r="32" spans="1:18" ht="15.75" x14ac:dyDescent="0.25">
      <c r="A32" s="16"/>
      <c r="B32" s="115" t="s">
        <v>47</v>
      </c>
      <c r="C32" s="119" t="str">
        <f>IF(HDRAG_HAS_REC_HJUP,_xlfn.CEILING.MATH((HDRAG_MAX_DRAGON_BLD_16/$G8)*C9),"")</f>
        <v/>
      </c>
      <c r="D32" s="119" t="str">
        <f>IF(HDRAG_HAS_REC_HJUP,_xlfn.CEILING.MATH((HDRAG_MAX_DRAGON_BLD_16/$G8)*D9),"")</f>
        <v/>
      </c>
      <c r="E32" s="119" t="str">
        <f>IF(HDRAG_HAS_REC_HJUP,_xlfn.CEILING.MATH((HDRAG_MAX_DRAGON_BLD_16/$G8)*E9),"")</f>
        <v/>
      </c>
      <c r="F32" s="119" t="str">
        <f>IF(HDRAG_HAS_REC_HJUP,_xlfn.CEILING.MATH((HDRAG_MAX_DRAGON_BLD_16/$G8)*F9),"")</f>
        <v/>
      </c>
      <c r="G32" s="124" t="str">
        <f>IF(HDRAG_HAS_REC_HJUP,SUM(C32:F32),"")</f>
        <v/>
      </c>
      <c r="J32" s="115" t="s">
        <v>47</v>
      </c>
      <c r="K32" s="318" t="str">
        <f>IF(HDRAG_HAS_REC_HJUP,_xlfn.CEILING.MATH(($O6/$G$8)*C9),"")</f>
        <v/>
      </c>
      <c r="L32" s="318" t="str">
        <f>IF(OR($O6=0,$O6=""),"",_xlfn.CEILING.MATH(($O6/$G$8)*D9))</f>
        <v/>
      </c>
      <c r="M32" s="318" t="str">
        <f>IF(OR($O6=0,$O6=""),"",_xlfn.CEILING.MATH(($O6/$G$8)*E9))</f>
        <v/>
      </c>
      <c r="N32" s="318" t="str">
        <f>IF(OR($O6=0,$O6=""),"",_xlfn.CEILING.MATH(($O6/$G$8)*F9))</f>
        <v/>
      </c>
      <c r="O32" s="318" t="str">
        <f>IF(HDRAG_HAS_REC_HJUP,SUM(K32:N32),"")</f>
        <v/>
      </c>
      <c r="P32" s="430" t="str">
        <f>IFERROR((G32-O32)/G32,"")</f>
        <v/>
      </c>
      <c r="Q32" s="430"/>
      <c r="R32" s="430"/>
    </row>
    <row r="33" spans="1:18" ht="15.75" x14ac:dyDescent="0.25">
      <c r="A33" s="16"/>
      <c r="B33" s="174" t="s">
        <v>48</v>
      </c>
      <c r="C33" s="120" t="str">
        <f>IF(HDRAG_HAS_REC_HZOD,_xlfn.CEILING.MATH((HDRAG_MAX_DRAGON_BLD_16/$G10)*C11),"")</f>
        <v/>
      </c>
      <c r="D33" s="120" t="str">
        <f>IF(HDRAG_HAS_REC_HZOD,_xlfn.CEILING.MATH((HDRAG_MAX_DRAGON_BLD_16/$G10)*D11),"")</f>
        <v/>
      </c>
      <c r="E33" s="120" t="str">
        <f>IF(HDRAG_HAS_REC_HZOD,_xlfn.CEILING.MATH((HDRAG_MAX_DRAGON_BLD_16/$G10)*E11),"")</f>
        <v/>
      </c>
      <c r="F33" s="120" t="str">
        <f>IF(HDRAG_HAS_REC_HZOD,_xlfn.CEILING.MATH((HDRAG_MAX_DRAGON_BLD_16/$G10)*F11),"")</f>
        <v/>
      </c>
      <c r="G33" s="125" t="str">
        <f>IF(HDRAG_HAS_REC_HZOD,SUM(C33:F33),"")</f>
        <v/>
      </c>
      <c r="J33" s="309" t="s">
        <v>48</v>
      </c>
      <c r="K33" s="319" t="str">
        <f>IF(HDRAG_HAS_REC_HZOD,_xlfn.CEILING.MATH(($O7/$G$10)*C11),"")</f>
        <v/>
      </c>
      <c r="L33" s="319" t="str">
        <f>IF(OR($O7=0,$O7=""),"",_xlfn.CEILING.MATH(($O7/$G$10)*D11))</f>
        <v/>
      </c>
      <c r="M33" s="319" t="str">
        <f>IF(OR($O7=0,$O7=""),"",_xlfn.CEILING.MATH(($O7/$G$10)*E11))</f>
        <v/>
      </c>
      <c r="N33" s="319" t="str">
        <f>IF(OR($O7=0,$O7=""),"",_xlfn.CEILING.MATH(($O7/$G$10)*F11))</f>
        <v/>
      </c>
      <c r="O33" s="319" t="str">
        <f>IF(HDRAG_HAS_REC_HZOD,SUM(K33:N33),"")</f>
        <v/>
      </c>
      <c r="P33" s="430" t="str">
        <f>IFERROR((G33-O33)/G33,"")</f>
        <v/>
      </c>
      <c r="Q33" s="430"/>
      <c r="R33" s="430"/>
    </row>
    <row r="34" spans="1:18" x14ac:dyDescent="0.25">
      <c r="A34" s="16"/>
      <c r="B34" s="354" t="s">
        <v>42</v>
      </c>
      <c r="C34" s="354"/>
      <c r="D34" s="354"/>
      <c r="E34" s="354"/>
      <c r="F34" s="354"/>
      <c r="G34" s="354"/>
      <c r="K34" s="408" t="s">
        <v>140</v>
      </c>
      <c r="L34" s="408"/>
      <c r="M34" s="408"/>
      <c r="N34" s="408"/>
      <c r="O34" s="408"/>
      <c r="P34" s="408"/>
      <c r="Q34" s="408"/>
      <c r="R34" s="408"/>
    </row>
    <row r="35" spans="1:18" x14ac:dyDescent="0.25">
      <c r="A35" s="16"/>
      <c r="B35" s="16"/>
      <c r="C35" s="75">
        <v>2</v>
      </c>
      <c r="D35" s="75">
        <v>3</v>
      </c>
      <c r="E35" s="75">
        <v>4</v>
      </c>
      <c r="F35" s="75">
        <v>5</v>
      </c>
      <c r="G35" s="75" t="s">
        <v>45</v>
      </c>
      <c r="K35" s="313">
        <v>2</v>
      </c>
      <c r="L35" s="313">
        <v>3</v>
      </c>
      <c r="M35" s="313">
        <v>4</v>
      </c>
      <c r="N35" s="313">
        <v>5</v>
      </c>
      <c r="O35" s="312" t="s">
        <v>45</v>
      </c>
      <c r="P35" s="405" t="s">
        <v>28</v>
      </c>
      <c r="Q35" s="405"/>
      <c r="R35" s="405"/>
    </row>
    <row r="36" spans="1:18" ht="15.75" x14ac:dyDescent="0.25">
      <c r="A36" s="16"/>
      <c r="B36" s="73" t="s">
        <v>34</v>
      </c>
      <c r="C36" s="116">
        <f>IF(HDRAG_HAS_REC_HBRUN,_xlfn.CEILING.MATH((HDRAG_MAX_ALL/$G2)*C3),"")</f>
        <v>369</v>
      </c>
      <c r="D36" s="116">
        <f>IF(HDRAG_HAS_REC_HBRUN,_xlfn.CEILING.MATH((HDRAG_MAX_ALL/$G2)*D3),"")</f>
        <v>124</v>
      </c>
      <c r="E36" s="116">
        <f>IF(HDRAG_HAS_REC_HBRUN,_xlfn.CEILING.MATH((HDRAG_MAX_ALL/$G2)*E3),"")</f>
        <v>24</v>
      </c>
      <c r="F36" s="116">
        <f>IF(HDRAG_HAS_REC_HBRUN,_xlfn.CEILING.MATH((HDRAG_MAX_ALL/$G2)*F3),"")</f>
        <v>20</v>
      </c>
      <c r="G36" s="121">
        <f>IF(HDRAG_HAS_REC_HBRUN,SUM(C36:F36),"")</f>
        <v>537</v>
      </c>
      <c r="J36" s="308" t="s">
        <v>34</v>
      </c>
      <c r="K36" s="315">
        <f>IF(HDRAG_HAS_REC_HBRUN,_xlfn.CEILING.MATH(($P3/$G$2)*C3),"")</f>
        <v>0</v>
      </c>
      <c r="L36" s="315">
        <f>IF(HDRAG_HAS_REC_HBRUN,_xlfn.CEILING.MATH(($P3/$G$2)*D3),"")</f>
        <v>0</v>
      </c>
      <c r="M36" s="315">
        <f>IF(HDRAG_HAS_REC_HBRUN,_xlfn.CEILING.MATH(($P3/$G$2)*E3),"")</f>
        <v>0</v>
      </c>
      <c r="N36" s="315">
        <f>IF(HDRAG_HAS_REC_HBRUN,_xlfn.CEILING.MATH(($P3/$G$2)*F3),"")</f>
        <v>0</v>
      </c>
      <c r="O36" s="315">
        <f>IF(HDRAG_HAS_REC_HBRUN,SUM(K36:N36),"")</f>
        <v>0</v>
      </c>
      <c r="P36" s="430">
        <f>IFERROR((G36-O36)/G36,"")</f>
        <v>1</v>
      </c>
      <c r="Q36" s="430"/>
      <c r="R36" s="430"/>
    </row>
    <row r="37" spans="1:18" ht="15.75" x14ac:dyDescent="0.25">
      <c r="A37" s="16"/>
      <c r="B37" s="113" t="s">
        <v>46</v>
      </c>
      <c r="C37" s="117">
        <f>IF(HDRAG_HAS_REC_HMERC,_xlfn.CEILING.MATH((HDRAG_MAX_ALL/$G4)*C5),"")</f>
        <v>394</v>
      </c>
      <c r="D37" s="117">
        <f>IF(HDRAG_HAS_REC_HMERC,_xlfn.CEILING.MATH((HDRAG_MAX_ALL/$G4)*D5),"")</f>
        <v>87</v>
      </c>
      <c r="E37" s="117">
        <f>IF(HDRAG_HAS_REC_HMERC,_xlfn.CEILING.MATH((HDRAG_MAX_ALL/$G4)*E5),"")</f>
        <v>35</v>
      </c>
      <c r="F37" s="117">
        <f>IF(HDRAG_HAS_REC_HMERC,_xlfn.CEILING.MATH((HDRAG_MAX_ALL/$G4)*F5),"")</f>
        <v>24</v>
      </c>
      <c r="G37" s="122">
        <f>IF(HDRAG_HAS_REC_HMERC,SUM(C37:F37),"")</f>
        <v>540</v>
      </c>
      <c r="J37" s="113" t="s">
        <v>46</v>
      </c>
      <c r="K37" s="316">
        <f>IF(HDRAG_HAS_REC_HMERC,_xlfn.CEILING.MATH(($P4/$G$4)*C5),"")</f>
        <v>351</v>
      </c>
      <c r="L37" s="316">
        <f>IF(HDRAG_HAS_REC_HMERC,_xlfn.CEILING.MATH(($P4/$G$4)*D5),"")</f>
        <v>78</v>
      </c>
      <c r="M37" s="316">
        <f>IF(HDRAG_HAS_REC_HMERC,_xlfn.CEILING.MATH(($P4/$G$4)*E5),"")</f>
        <v>31</v>
      </c>
      <c r="N37" s="316">
        <f>IF(HDRAG_HAS_REC_HMERC,_xlfn.CEILING.MATH(($P4/$G$4)*F5),"")</f>
        <v>21</v>
      </c>
      <c r="O37" s="316">
        <f>IF(HDRAG_HAS_REC_HMERC,SUM(K37:N37),"")</f>
        <v>481</v>
      </c>
      <c r="P37" s="430">
        <f>IFERROR((G37-O37)/G37,"")</f>
        <v>0.10925925925925926</v>
      </c>
      <c r="Q37" s="430"/>
      <c r="R37" s="430"/>
    </row>
    <row r="38" spans="1:18" ht="15.75" x14ac:dyDescent="0.25">
      <c r="A38" s="16"/>
      <c r="B38" s="114" t="s">
        <v>35</v>
      </c>
      <c r="C38" s="118">
        <f>IF(HDRAG_HAS_REC_HMID,_xlfn.CEILING.MATH((HDRAG_MAX_ALL/$G6)*C7),"")</f>
        <v>330</v>
      </c>
      <c r="D38" s="118">
        <f>IF(HDRAG_HAS_REC_HMID,_xlfn.CEILING.MATH((HDRAG_MAX_ALL/$G6)*D7),"")</f>
        <v>109</v>
      </c>
      <c r="E38" s="118">
        <f>IF(HDRAG_HAS_REC_HMID,_xlfn.CEILING.MATH((HDRAG_MAX_ALL/$G6)*E7),"")</f>
        <v>40</v>
      </c>
      <c r="F38" s="118">
        <f>IF(HDRAG_HAS_REC_HMID,_xlfn.CEILING.MATH((HDRAG_MAX_ALL/$G6)*F7),"")</f>
        <v>32</v>
      </c>
      <c r="G38" s="123">
        <f>IF(HDRAG_HAS_REC_HMID,SUM(C38:F38),"")</f>
        <v>511</v>
      </c>
      <c r="J38" s="114" t="s">
        <v>35</v>
      </c>
      <c r="K38" s="317">
        <f>IF(HDRAG_HAS_REC_HMID,_xlfn.CEILING.MATH(($P5/$G$6)*C7),"")</f>
        <v>0</v>
      </c>
      <c r="L38" s="317">
        <f>IF(HDRAG_HAS_REC_HMID,_xlfn.CEILING.MATH(($P5/$G$6)*D7),"")</f>
        <v>0</v>
      </c>
      <c r="M38" s="317">
        <f>IF(HDRAG_HAS_REC_HMID,_xlfn.CEILING.MATH(($P5/$G$6)*E7),"")</f>
        <v>0</v>
      </c>
      <c r="N38" s="317">
        <f>IF(HDRAG_HAS_REC_HMID,_xlfn.CEILING.MATH(($P5/$G$6)*F7),"")</f>
        <v>0</v>
      </c>
      <c r="O38" s="317">
        <f>IF(HDRAG_HAS_REC_HMID,SUM(K38:N38),"")</f>
        <v>0</v>
      </c>
      <c r="P38" s="430">
        <f>IFERROR((G38-O38)/G38,"")</f>
        <v>1</v>
      </c>
      <c r="Q38" s="430"/>
      <c r="R38" s="430"/>
    </row>
    <row r="39" spans="1:18" ht="15.75" x14ac:dyDescent="0.25">
      <c r="A39" s="16"/>
      <c r="B39" s="115" t="s">
        <v>47</v>
      </c>
      <c r="C39" s="119" t="str">
        <f>IF(HDRAG_HAS_REC_HJUP,_xlfn.CEILING.MATH((HDRAG_MAX_ALL/$G8)*C9),"")</f>
        <v/>
      </c>
      <c r="D39" s="119" t="str">
        <f>IF(HDRAG_HAS_REC_HJUP,_xlfn.CEILING.MATH((HDRAG_MAX_ALL/$G8)*D9),"")</f>
        <v/>
      </c>
      <c r="E39" s="119" t="str">
        <f>IF(HDRAG_HAS_REC_HJUP,_xlfn.CEILING.MATH((HDRAG_MAX_ALL/$G8)*E9),"")</f>
        <v/>
      </c>
      <c r="F39" s="119" t="str">
        <f>IF(HDRAG_HAS_REC_HJUP,_xlfn.CEILING.MATH((HDRAG_MAX_ALL/$G8)*F9),"")</f>
        <v/>
      </c>
      <c r="G39" s="124" t="str">
        <f>IF(HDRAG_HAS_REC_HJUP,SUM(C39:F39),"")</f>
        <v/>
      </c>
      <c r="J39" s="115" t="s">
        <v>47</v>
      </c>
      <c r="K39" s="318" t="str">
        <f>IF(HDRAG_HAS_REC_HJUP,_xlfn.CEILING.MATH(($P6/$G$8)*C9),"")</f>
        <v/>
      </c>
      <c r="L39" s="318" t="str">
        <f>IF(HDRAG_HAS_REC_HJUP,_xlfn.CEILING.MATH(($P6/$G$8)*D9),"")</f>
        <v/>
      </c>
      <c r="M39" s="318" t="str">
        <f>IF(HDRAG_HAS_REC_HJUP,_xlfn.CEILING.MATH(($P6/$G$8)*E9),"")</f>
        <v/>
      </c>
      <c r="N39" s="318" t="str">
        <f>IF(HDRAG_HAS_REC_HJUP,_xlfn.CEILING.MATH(($P6/$G$8)*F9),"")</f>
        <v/>
      </c>
      <c r="O39" s="318" t="str">
        <f>IF(HDRAG_HAS_REC_HJUP,SUM(K39:N39),"")</f>
        <v/>
      </c>
      <c r="P39" s="430" t="str">
        <f>IFERROR((G39-O39)/G39,"")</f>
        <v/>
      </c>
      <c r="Q39" s="430"/>
      <c r="R39" s="430"/>
    </row>
    <row r="40" spans="1:18" ht="15.75" x14ac:dyDescent="0.25">
      <c r="A40" s="16"/>
      <c r="B40" s="74" t="s">
        <v>48</v>
      </c>
      <c r="C40" s="120" t="str">
        <f>IF(HDRAG_HAS_REC_HZOD,_xlfn.CEILING.MATH((HDRAG_MAX_ALL/$G10)*C11),"")</f>
        <v/>
      </c>
      <c r="D40" s="120" t="str">
        <f>IF(HDRAG_HAS_REC_HZOD,_xlfn.CEILING.MATH((HDRAG_MAX_ALL/$G10)*D11),"")</f>
        <v/>
      </c>
      <c r="E40" s="120" t="str">
        <f>IF(HDRAG_HAS_REC_HZOD,_xlfn.CEILING.MATH((HDRAG_MAX_ALL/$G10)*E11),"")</f>
        <v/>
      </c>
      <c r="F40" s="120" t="str">
        <f>IF(HDRAG_HAS_REC_HZOD,_xlfn.CEILING.MATH((HDRAG_MAX_ALL/$G10)*F11),"")</f>
        <v/>
      </c>
      <c r="G40" s="125" t="str">
        <f>IF(HDRAG_HAS_REC_HZOD,SUM(C40:F40),"")</f>
        <v/>
      </c>
      <c r="J40" s="309" t="s">
        <v>48</v>
      </c>
      <c r="K40" s="319" t="str">
        <f>IF(HDRAG_HAS_REC_HZOD,_xlfn.CEILING.MATH(($P7/$G$10)*C11),"")</f>
        <v/>
      </c>
      <c r="L40" s="319" t="str">
        <f>IF(HDRAG_HAS_REC_HZOD,_xlfn.CEILING.MATH(($P7/$G$10)*D11),"")</f>
        <v/>
      </c>
      <c r="M40" s="319" t="str">
        <f>IF(HDRAG_HAS_REC_HZOD,_xlfn.CEILING.MATH(($P7/$G$10)*E11),"")</f>
        <v/>
      </c>
      <c r="N40" s="319" t="str">
        <f>IF(HDRAG_HAS_REC_HZOD,_xlfn.CEILING.MATH(($P7/$G$10)*F11),"")</f>
        <v/>
      </c>
      <c r="O40" s="319" t="str">
        <f>IF(HDRAG_HAS_REC_HZOD,SUM(K40:N40),"")</f>
        <v/>
      </c>
      <c r="P40" s="430" t="str">
        <f>IFERROR((G40-O40)/G40,"")</f>
        <v/>
      </c>
      <c r="Q40" s="430"/>
      <c r="R40" s="430"/>
    </row>
    <row r="41" spans="1:18" x14ac:dyDescent="0.25">
      <c r="A41" s="16"/>
      <c r="B41" s="16"/>
    </row>
    <row r="42" spans="1:18" x14ac:dyDescent="0.25">
      <c r="A42" s="16"/>
      <c r="B42" s="16"/>
    </row>
    <row r="43" spans="1:18" x14ac:dyDescent="0.25">
      <c r="A43" s="16"/>
      <c r="B43" s="16"/>
    </row>
  </sheetData>
  <mergeCells count="52">
    <mergeCell ref="A6:A7"/>
    <mergeCell ref="B6:B7"/>
    <mergeCell ref="A4:A5"/>
    <mergeCell ref="B4:B5"/>
    <mergeCell ref="A2:A3"/>
    <mergeCell ref="B2:B3"/>
    <mergeCell ref="B34:G34"/>
    <mergeCell ref="A10:A11"/>
    <mergeCell ref="B10:B11"/>
    <mergeCell ref="A8:A9"/>
    <mergeCell ref="B8:B9"/>
    <mergeCell ref="B27:G27"/>
    <mergeCell ref="B20:G20"/>
    <mergeCell ref="B13:G13"/>
    <mergeCell ref="R1:T1"/>
    <mergeCell ref="G10:G11"/>
    <mergeCell ref="G8:G9"/>
    <mergeCell ref="G6:G7"/>
    <mergeCell ref="G4:G5"/>
    <mergeCell ref="G2:G3"/>
    <mergeCell ref="Q1:Q2"/>
    <mergeCell ref="J1:J2"/>
    <mergeCell ref="K1:L1"/>
    <mergeCell ref="M1:N1"/>
    <mergeCell ref="K27:R27"/>
    <mergeCell ref="K20:R20"/>
    <mergeCell ref="K13:R13"/>
    <mergeCell ref="P21:R21"/>
    <mergeCell ref="P22:R22"/>
    <mergeCell ref="P23:R23"/>
    <mergeCell ref="P24:R24"/>
    <mergeCell ref="P25:R25"/>
    <mergeCell ref="P26:R26"/>
    <mergeCell ref="P14:R14"/>
    <mergeCell ref="P15:R15"/>
    <mergeCell ref="P16:R16"/>
    <mergeCell ref="P17:R17"/>
    <mergeCell ref="P18:R18"/>
    <mergeCell ref="P19:R19"/>
    <mergeCell ref="P40:R40"/>
    <mergeCell ref="P28:R28"/>
    <mergeCell ref="P29:R29"/>
    <mergeCell ref="P30:R30"/>
    <mergeCell ref="P31:R31"/>
    <mergeCell ref="P32:R32"/>
    <mergeCell ref="P33:R33"/>
    <mergeCell ref="P35:R35"/>
    <mergeCell ref="P36:R36"/>
    <mergeCell ref="P37:R37"/>
    <mergeCell ref="P38:R38"/>
    <mergeCell ref="P39:R39"/>
    <mergeCell ref="K34:R34"/>
  </mergeCells>
  <conditionalFormatting sqref="K1">
    <cfRule type="dataBar" priority="26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{0056DFAE-24A5-405B-A2E1-A2F499662CCA}</x14:id>
        </ext>
      </extLst>
    </cfRule>
  </conditionalFormatting>
  <conditionalFormatting sqref="M1">
    <cfRule type="dataBar" priority="28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{71A13B54-27C1-4A68-9DA5-5272B5C9C1A6}</x14:id>
        </ext>
      </extLst>
    </cfRule>
  </conditionalFormatting>
  <conditionalFormatting sqref="Q1">
    <cfRule type="dataBar" priority="30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{E76542C4-A65B-46E7-A44A-52024589876F}</x14:id>
        </ext>
      </extLst>
    </cfRule>
  </conditionalFormatting>
  <conditionalFormatting sqref="R3:T3">
    <cfRule type="dataBar" priority="2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{180D55D6-69FA-411D-A793-6D974A034317}</x14:id>
        </ext>
      </extLst>
    </cfRule>
  </conditionalFormatting>
  <conditionalFormatting sqref="R4:T4">
    <cfRule type="dataBar" priority="2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{A688F774-7739-43AF-B6DF-D58ACEE232CA}</x14:id>
        </ext>
      </extLst>
    </cfRule>
  </conditionalFormatting>
  <conditionalFormatting sqref="R5:T5">
    <cfRule type="dataBar" priority="2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{EB4AD01C-E76D-42AE-9233-2CC3C02A3571}</x14:id>
        </ext>
      </extLst>
    </cfRule>
  </conditionalFormatting>
  <conditionalFormatting sqref="R6:T6">
    <cfRule type="dataBar" priority="22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{B331CDED-E6DC-4642-B38C-805ACD8F6793}</x14:id>
        </ext>
      </extLst>
    </cfRule>
  </conditionalFormatting>
  <conditionalFormatting sqref="R7:T7">
    <cfRule type="dataBar" priority="21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{63D294E8-9400-4F6F-868B-B48804566345}</x14:id>
        </ext>
      </extLst>
    </cfRule>
  </conditionalFormatting>
  <conditionalFormatting sqref="P15">
    <cfRule type="dataBar" priority="20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{23FDE34A-FFD1-4A02-ADC4-D144B0730B16}</x14:id>
        </ext>
      </extLst>
    </cfRule>
  </conditionalFormatting>
  <conditionalFormatting sqref="P16">
    <cfRule type="dataBar" priority="19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{6BBFAA59-116F-4D35-B341-0324729A60A3}</x14:id>
        </ext>
      </extLst>
    </cfRule>
  </conditionalFormatting>
  <conditionalFormatting sqref="P17">
    <cfRule type="dataBar" priority="18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{B2885A79-C94D-44E5-9327-7A3394732409}</x14:id>
        </ext>
      </extLst>
    </cfRule>
  </conditionalFormatting>
  <conditionalFormatting sqref="P18">
    <cfRule type="dataBar" priority="17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{953BE283-7DDF-4499-B558-F10C55141BB2}</x14:id>
        </ext>
      </extLst>
    </cfRule>
  </conditionalFormatting>
  <conditionalFormatting sqref="P19">
    <cfRule type="dataBar" priority="16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{44CAFD59-541F-4ABA-B6FF-F0B32A33CF27}</x14:id>
        </ext>
      </extLst>
    </cfRule>
  </conditionalFormatting>
  <conditionalFormatting sqref="P22">
    <cfRule type="dataBar" priority="1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{4AF1B20F-F446-428D-B477-2FBFFD9153F1}</x14:id>
        </ext>
      </extLst>
    </cfRule>
  </conditionalFormatting>
  <conditionalFormatting sqref="P23">
    <cfRule type="dataBar" priority="1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{EF638F43-1911-44A4-B751-2E8AE3AC29D8}</x14:id>
        </ext>
      </extLst>
    </cfRule>
  </conditionalFormatting>
  <conditionalFormatting sqref="P24">
    <cfRule type="dataBar" priority="1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{35F1B57D-A455-463A-98DD-BD91EDA7D2D5}</x14:id>
        </ext>
      </extLst>
    </cfRule>
  </conditionalFormatting>
  <conditionalFormatting sqref="P25">
    <cfRule type="dataBar" priority="12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{00A9CE74-8E49-415E-9ADE-5790C2F9365C}</x14:id>
        </ext>
      </extLst>
    </cfRule>
  </conditionalFormatting>
  <conditionalFormatting sqref="P26">
    <cfRule type="dataBar" priority="11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{F3917113-48AC-45D0-8CFB-B85DE6473CEA}</x14:id>
        </ext>
      </extLst>
    </cfRule>
  </conditionalFormatting>
  <conditionalFormatting sqref="P29">
    <cfRule type="dataBar" priority="10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{66D55E34-D251-4B7B-8B7B-52507483F74C}</x14:id>
        </ext>
      </extLst>
    </cfRule>
  </conditionalFormatting>
  <conditionalFormatting sqref="P30">
    <cfRule type="dataBar" priority="9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{963AC8BA-4AA8-4F4C-8180-345ECA276559}</x14:id>
        </ext>
      </extLst>
    </cfRule>
  </conditionalFormatting>
  <conditionalFormatting sqref="P31">
    <cfRule type="dataBar" priority="8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{84723150-ABE0-4592-9CE7-C01263B739BD}</x14:id>
        </ext>
      </extLst>
    </cfRule>
  </conditionalFormatting>
  <conditionalFormatting sqref="P32">
    <cfRule type="dataBar" priority="7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{48B92046-F56E-46C0-AA42-3A45CB793A86}</x14:id>
        </ext>
      </extLst>
    </cfRule>
  </conditionalFormatting>
  <conditionalFormatting sqref="P33">
    <cfRule type="dataBar" priority="6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{66F134FF-0A93-4A71-973A-43CA694D5CF9}</x14:id>
        </ext>
      </extLst>
    </cfRule>
  </conditionalFormatting>
  <conditionalFormatting sqref="P36">
    <cfRule type="dataBar" priority="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{3390BA82-FE5F-4200-9C87-06B6028548B7}</x14:id>
        </ext>
      </extLst>
    </cfRule>
  </conditionalFormatting>
  <conditionalFormatting sqref="P37">
    <cfRule type="dataBar" priority="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{0CAF94CB-E7B8-450E-A78E-7800D3B43DD6}</x14:id>
        </ext>
      </extLst>
    </cfRule>
  </conditionalFormatting>
  <conditionalFormatting sqref="P38">
    <cfRule type="dataBar" priority="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{EB11CCE3-F9C3-4CB4-A9B6-9A4730FACA19}</x14:id>
        </ext>
      </extLst>
    </cfRule>
  </conditionalFormatting>
  <conditionalFormatting sqref="P39">
    <cfRule type="dataBar" priority="2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{2397C74D-7E3E-4743-84F7-02B88E1E31E6}</x14:id>
        </ext>
      </extLst>
    </cfRule>
  </conditionalFormatting>
  <conditionalFormatting sqref="P40">
    <cfRule type="dataBar" priority="1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{733977E7-CC28-4BED-98E5-FCC3E89F0A74}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56DFAE-24A5-405B-A2E1-A2F499662CC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K1</xm:sqref>
        </x14:conditionalFormatting>
        <x14:conditionalFormatting xmlns:xm="http://schemas.microsoft.com/office/excel/2006/main">
          <x14:cfRule type="dataBar" id="{71A13B54-27C1-4A68-9DA5-5272B5C9C1A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M1</xm:sqref>
        </x14:conditionalFormatting>
        <x14:conditionalFormatting xmlns:xm="http://schemas.microsoft.com/office/excel/2006/main">
          <x14:cfRule type="dataBar" id="{E76542C4-A65B-46E7-A44A-52024589876F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180D55D6-69FA-411D-A793-6D974A03431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R3:T3</xm:sqref>
        </x14:conditionalFormatting>
        <x14:conditionalFormatting xmlns:xm="http://schemas.microsoft.com/office/excel/2006/main">
          <x14:cfRule type="dataBar" id="{A688F774-7739-43AF-B6DF-D58ACEE232C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R4:T4</xm:sqref>
        </x14:conditionalFormatting>
        <x14:conditionalFormatting xmlns:xm="http://schemas.microsoft.com/office/excel/2006/main">
          <x14:cfRule type="dataBar" id="{EB4AD01C-E76D-42AE-9233-2CC3C02A357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R5:T5</xm:sqref>
        </x14:conditionalFormatting>
        <x14:conditionalFormatting xmlns:xm="http://schemas.microsoft.com/office/excel/2006/main">
          <x14:cfRule type="dataBar" id="{B331CDED-E6DC-4642-B38C-805ACD8F679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R6:T6</xm:sqref>
        </x14:conditionalFormatting>
        <x14:conditionalFormatting xmlns:xm="http://schemas.microsoft.com/office/excel/2006/main">
          <x14:cfRule type="dataBar" id="{63D294E8-9400-4F6F-868B-B48804566345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R7:T7</xm:sqref>
        </x14:conditionalFormatting>
        <x14:conditionalFormatting xmlns:xm="http://schemas.microsoft.com/office/excel/2006/main">
          <x14:cfRule type="dataBar" id="{23FDE34A-FFD1-4A02-ADC4-D144B0730B1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P15</xm:sqref>
        </x14:conditionalFormatting>
        <x14:conditionalFormatting xmlns:xm="http://schemas.microsoft.com/office/excel/2006/main">
          <x14:cfRule type="dataBar" id="{6BBFAA59-116F-4D35-B341-0324729A60A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P16</xm:sqref>
        </x14:conditionalFormatting>
        <x14:conditionalFormatting xmlns:xm="http://schemas.microsoft.com/office/excel/2006/main">
          <x14:cfRule type="dataBar" id="{B2885A79-C94D-44E5-9327-7A339473240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P17</xm:sqref>
        </x14:conditionalFormatting>
        <x14:conditionalFormatting xmlns:xm="http://schemas.microsoft.com/office/excel/2006/main">
          <x14:cfRule type="dataBar" id="{953BE283-7DDF-4499-B558-F10C55141BB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P18</xm:sqref>
        </x14:conditionalFormatting>
        <x14:conditionalFormatting xmlns:xm="http://schemas.microsoft.com/office/excel/2006/main">
          <x14:cfRule type="dataBar" id="{44CAFD59-541F-4ABA-B6FF-F0B32A33CF2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P19</xm:sqref>
        </x14:conditionalFormatting>
        <x14:conditionalFormatting xmlns:xm="http://schemas.microsoft.com/office/excel/2006/main">
          <x14:cfRule type="dataBar" id="{4AF1B20F-F446-428D-B477-2FBFFD9153F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P22</xm:sqref>
        </x14:conditionalFormatting>
        <x14:conditionalFormatting xmlns:xm="http://schemas.microsoft.com/office/excel/2006/main">
          <x14:cfRule type="dataBar" id="{EF638F43-1911-44A4-B751-2E8AE3AC29D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P23</xm:sqref>
        </x14:conditionalFormatting>
        <x14:conditionalFormatting xmlns:xm="http://schemas.microsoft.com/office/excel/2006/main">
          <x14:cfRule type="dataBar" id="{35F1B57D-A455-463A-98DD-BD91EDA7D2D5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P24</xm:sqref>
        </x14:conditionalFormatting>
        <x14:conditionalFormatting xmlns:xm="http://schemas.microsoft.com/office/excel/2006/main">
          <x14:cfRule type="dataBar" id="{00A9CE74-8E49-415E-9ADE-5790C2F9365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P25</xm:sqref>
        </x14:conditionalFormatting>
        <x14:conditionalFormatting xmlns:xm="http://schemas.microsoft.com/office/excel/2006/main">
          <x14:cfRule type="dataBar" id="{F3917113-48AC-45D0-8CFB-B85DE6473CE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P26</xm:sqref>
        </x14:conditionalFormatting>
        <x14:conditionalFormatting xmlns:xm="http://schemas.microsoft.com/office/excel/2006/main">
          <x14:cfRule type="dataBar" id="{66D55E34-D251-4B7B-8B7B-52507483F74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P29</xm:sqref>
        </x14:conditionalFormatting>
        <x14:conditionalFormatting xmlns:xm="http://schemas.microsoft.com/office/excel/2006/main">
          <x14:cfRule type="dataBar" id="{963AC8BA-4AA8-4F4C-8180-345ECA27655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P30</xm:sqref>
        </x14:conditionalFormatting>
        <x14:conditionalFormatting xmlns:xm="http://schemas.microsoft.com/office/excel/2006/main">
          <x14:cfRule type="dataBar" id="{84723150-ABE0-4592-9CE7-C01263B739BD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P31</xm:sqref>
        </x14:conditionalFormatting>
        <x14:conditionalFormatting xmlns:xm="http://schemas.microsoft.com/office/excel/2006/main">
          <x14:cfRule type="dataBar" id="{48B92046-F56E-46C0-AA42-3A45CB793A8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P32</xm:sqref>
        </x14:conditionalFormatting>
        <x14:conditionalFormatting xmlns:xm="http://schemas.microsoft.com/office/excel/2006/main">
          <x14:cfRule type="dataBar" id="{66F134FF-0A93-4A71-973A-43CA694D5CF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P33</xm:sqref>
        </x14:conditionalFormatting>
        <x14:conditionalFormatting xmlns:xm="http://schemas.microsoft.com/office/excel/2006/main">
          <x14:cfRule type="dataBar" id="{3390BA82-FE5F-4200-9C87-06B6028548B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P36</xm:sqref>
        </x14:conditionalFormatting>
        <x14:conditionalFormatting xmlns:xm="http://schemas.microsoft.com/office/excel/2006/main">
          <x14:cfRule type="dataBar" id="{0CAF94CB-E7B8-450E-A78E-7800D3B43DD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P37</xm:sqref>
        </x14:conditionalFormatting>
        <x14:conditionalFormatting xmlns:xm="http://schemas.microsoft.com/office/excel/2006/main">
          <x14:cfRule type="dataBar" id="{EB11CCE3-F9C3-4CB4-A9B6-9A4730FACA1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P38</xm:sqref>
        </x14:conditionalFormatting>
        <x14:conditionalFormatting xmlns:xm="http://schemas.microsoft.com/office/excel/2006/main">
          <x14:cfRule type="dataBar" id="{2397C74D-7E3E-4743-84F7-02B88E1E31E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P39</xm:sqref>
        </x14:conditionalFormatting>
        <x14:conditionalFormatting xmlns:xm="http://schemas.microsoft.com/office/excel/2006/main">
          <x14:cfRule type="dataBar" id="{733977E7-CC28-4BED-98E5-FCC3E89F0A7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P40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3A600-DCA6-49F5-831E-ACD6AC06071D}">
  <sheetPr codeName="Sheet6">
    <tabColor theme="5" tint="0.59999389629810485"/>
  </sheetPr>
  <dimension ref="A1:D32"/>
  <sheetViews>
    <sheetView workbookViewId="0">
      <selection activeCell="E12" sqref="E12"/>
    </sheetView>
  </sheetViews>
  <sheetFormatPr defaultColWidth="9.140625" defaultRowHeight="15" x14ac:dyDescent="0.25"/>
  <cols>
    <col min="1" max="16384" width="9.140625" style="1"/>
  </cols>
  <sheetData>
    <row r="1" spans="1:4" x14ac:dyDescent="0.25">
      <c r="A1" s="1" t="s">
        <v>43</v>
      </c>
      <c r="B1" s="1" t="s">
        <v>167</v>
      </c>
      <c r="C1" s="1" t="s">
        <v>44</v>
      </c>
    </row>
    <row r="2" spans="1:4" x14ac:dyDescent="0.25">
      <c r="A2" s="1">
        <v>816</v>
      </c>
      <c r="B2" s="1">
        <v>800</v>
      </c>
      <c r="C2" s="1">
        <v>485</v>
      </c>
      <c r="D2" s="324"/>
    </row>
    <row r="3" spans="1:4" x14ac:dyDescent="0.25">
      <c r="A3" s="1">
        <v>786</v>
      </c>
      <c r="B3" s="1">
        <v>800</v>
      </c>
      <c r="C3" s="1">
        <v>480</v>
      </c>
      <c r="D3" s="324"/>
    </row>
    <row r="4" spans="1:4" x14ac:dyDescent="0.25">
      <c r="A4" s="1">
        <v>783</v>
      </c>
      <c r="B4" s="1">
        <v>800</v>
      </c>
      <c r="C4" s="1">
        <f>C3-120</f>
        <v>360</v>
      </c>
      <c r="D4" s="324"/>
    </row>
    <row r="5" spans="1:4" x14ac:dyDescent="0.25">
      <c r="A5" s="1">
        <v>780</v>
      </c>
      <c r="B5" s="1">
        <v>800</v>
      </c>
      <c r="C5" s="1">
        <f>C4-120</f>
        <v>240</v>
      </c>
      <c r="D5" s="324"/>
    </row>
    <row r="6" spans="1:4" x14ac:dyDescent="0.25">
      <c r="A6" s="1">
        <v>775</v>
      </c>
      <c r="B6" s="1">
        <v>800</v>
      </c>
      <c r="C6" s="1">
        <f>C5-120</f>
        <v>120</v>
      </c>
      <c r="D6" s="324"/>
    </row>
    <row r="7" spans="1:4" x14ac:dyDescent="0.25">
      <c r="A7" s="1">
        <v>770</v>
      </c>
      <c r="B7" s="1">
        <v>790</v>
      </c>
      <c r="C7" s="1">
        <f>C6-120</f>
        <v>0</v>
      </c>
      <c r="D7" s="324"/>
    </row>
    <row r="8" spans="1:4" x14ac:dyDescent="0.25">
      <c r="A8" s="1">
        <v>763</v>
      </c>
      <c r="B8" s="1">
        <v>780</v>
      </c>
      <c r="D8" s="324"/>
    </row>
    <row r="9" spans="1:4" x14ac:dyDescent="0.25">
      <c r="A9" s="1">
        <v>756</v>
      </c>
      <c r="B9" s="1">
        <v>770</v>
      </c>
      <c r="D9" s="324"/>
    </row>
    <row r="10" spans="1:4" x14ac:dyDescent="0.25">
      <c r="A10" s="1">
        <v>749</v>
      </c>
      <c r="B10" s="1">
        <v>760</v>
      </c>
      <c r="D10" s="324"/>
    </row>
    <row r="11" spans="1:4" x14ac:dyDescent="0.25">
      <c r="A11" s="1">
        <v>739</v>
      </c>
      <c r="B11" s="1">
        <v>750</v>
      </c>
      <c r="D11" s="324"/>
    </row>
    <row r="12" spans="1:4" x14ac:dyDescent="0.25">
      <c r="A12" s="1">
        <v>729</v>
      </c>
      <c r="B12" s="1">
        <v>730</v>
      </c>
      <c r="D12" s="324"/>
    </row>
    <row r="13" spans="1:4" x14ac:dyDescent="0.25">
      <c r="A13" s="1">
        <v>717</v>
      </c>
      <c r="B13" s="1">
        <v>710</v>
      </c>
      <c r="D13" s="324"/>
    </row>
    <row r="14" spans="1:4" x14ac:dyDescent="0.25">
      <c r="A14" s="1">
        <v>705</v>
      </c>
      <c r="B14" s="1">
        <v>690</v>
      </c>
      <c r="D14" s="324"/>
    </row>
    <row r="15" spans="1:4" x14ac:dyDescent="0.25">
      <c r="A15" s="1">
        <v>690</v>
      </c>
      <c r="B15" s="1">
        <v>670</v>
      </c>
      <c r="D15" s="324"/>
    </row>
    <row r="16" spans="1:4" x14ac:dyDescent="0.25">
      <c r="A16" s="1">
        <v>675</v>
      </c>
      <c r="B16" s="1">
        <v>650</v>
      </c>
      <c r="D16" s="324"/>
    </row>
    <row r="17" spans="1:4" x14ac:dyDescent="0.25">
      <c r="A17" s="1">
        <v>660</v>
      </c>
      <c r="B17" s="1">
        <v>620</v>
      </c>
      <c r="D17" s="324"/>
    </row>
    <row r="18" spans="1:4" x14ac:dyDescent="0.25">
      <c r="A18" s="1">
        <v>640</v>
      </c>
      <c r="B18" s="1">
        <v>590</v>
      </c>
      <c r="D18" s="324"/>
    </row>
    <row r="19" spans="1:4" x14ac:dyDescent="0.25">
      <c r="A19" s="1">
        <v>620</v>
      </c>
      <c r="B19" s="1">
        <v>560</v>
      </c>
      <c r="D19" s="324"/>
    </row>
    <row r="20" spans="1:4" x14ac:dyDescent="0.25">
      <c r="A20" s="1">
        <v>600</v>
      </c>
      <c r="B20" s="1">
        <v>530</v>
      </c>
      <c r="D20" s="324"/>
    </row>
    <row r="21" spans="1:4" x14ac:dyDescent="0.25">
      <c r="A21" s="1">
        <v>570</v>
      </c>
      <c r="B21" s="1">
        <v>500</v>
      </c>
      <c r="D21" s="324"/>
    </row>
    <row r="22" spans="1:4" x14ac:dyDescent="0.25">
      <c r="A22" s="1">
        <v>540</v>
      </c>
      <c r="B22" s="1">
        <v>460</v>
      </c>
      <c r="D22" s="324"/>
    </row>
    <row r="23" spans="1:4" x14ac:dyDescent="0.25">
      <c r="A23" s="1">
        <v>500</v>
      </c>
      <c r="B23" s="1">
        <v>420</v>
      </c>
      <c r="D23" s="324"/>
    </row>
    <row r="24" spans="1:4" x14ac:dyDescent="0.25">
      <c r="A24" s="1">
        <v>460</v>
      </c>
      <c r="B24" s="1">
        <v>380</v>
      </c>
      <c r="D24" s="324"/>
    </row>
    <row r="25" spans="1:4" x14ac:dyDescent="0.25">
      <c r="A25" s="1">
        <v>420</v>
      </c>
      <c r="B25" s="1">
        <v>340</v>
      </c>
      <c r="D25" s="324"/>
    </row>
    <row r="26" spans="1:4" x14ac:dyDescent="0.25">
      <c r="A26" s="1">
        <v>370</v>
      </c>
      <c r="B26" s="1">
        <v>300</v>
      </c>
      <c r="D26" s="324"/>
    </row>
    <row r="27" spans="1:4" x14ac:dyDescent="0.25">
      <c r="A27" s="1">
        <v>320</v>
      </c>
      <c r="B27" s="1">
        <v>240</v>
      </c>
      <c r="D27" s="324"/>
    </row>
    <row r="28" spans="1:4" x14ac:dyDescent="0.25">
      <c r="A28" s="1">
        <v>260</v>
      </c>
      <c r="B28" s="1">
        <v>180</v>
      </c>
      <c r="D28" s="324"/>
    </row>
    <row r="29" spans="1:4" x14ac:dyDescent="0.25">
      <c r="A29" s="1">
        <v>200</v>
      </c>
      <c r="B29" s="1">
        <v>120</v>
      </c>
      <c r="D29" s="324"/>
    </row>
    <row r="30" spans="1:4" x14ac:dyDescent="0.25">
      <c r="A30" s="1">
        <v>140</v>
      </c>
      <c r="B30" s="1">
        <v>60</v>
      </c>
      <c r="D30" s="324"/>
    </row>
    <row r="31" spans="1:4" x14ac:dyDescent="0.25">
      <c r="A31" s="1">
        <v>70</v>
      </c>
      <c r="B31" s="1">
        <v>0</v>
      </c>
    </row>
    <row r="32" spans="1:4" x14ac:dyDescent="0.25">
      <c r="A32" s="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0CDF-D24A-4FB8-9671-F01C933B841B}">
  <sheetPr codeName="Sheet7">
    <tabColor theme="5"/>
  </sheetPr>
  <dimension ref="A1:AE20"/>
  <sheetViews>
    <sheetView workbookViewId="0">
      <selection activeCell="M6" sqref="M6"/>
    </sheetView>
  </sheetViews>
  <sheetFormatPr defaultColWidth="2.85546875" defaultRowHeight="15" customHeight="1" x14ac:dyDescent="0.25"/>
  <cols>
    <col min="1" max="16384" width="2.85546875" style="1"/>
  </cols>
  <sheetData>
    <row r="1" spans="1:31" ht="15" customHeight="1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3</v>
      </c>
      <c r="G1" s="1">
        <v>4</v>
      </c>
      <c r="H1" s="1">
        <v>2</v>
      </c>
      <c r="I1" s="1">
        <v>2</v>
      </c>
      <c r="J1" s="1">
        <v>5</v>
      </c>
      <c r="K1" s="1">
        <v>2</v>
      </c>
      <c r="L1" s="1">
        <v>2</v>
      </c>
      <c r="M1" s="1">
        <v>3</v>
      </c>
      <c r="N1" s="1">
        <v>2</v>
      </c>
    </row>
    <row r="2" spans="1:31" ht="15" customHeight="1" x14ac:dyDescent="0.25">
      <c r="A2" s="1">
        <v>3</v>
      </c>
      <c r="B2" s="1">
        <v>2</v>
      </c>
      <c r="C2" s="1">
        <v>2</v>
      </c>
      <c r="D2" s="1">
        <v>3</v>
      </c>
      <c r="E2" s="1">
        <v>2</v>
      </c>
      <c r="F2" s="1">
        <v>4</v>
      </c>
      <c r="G2" s="1">
        <v>3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</row>
    <row r="3" spans="1:31" ht="15" customHeight="1" x14ac:dyDescent="0.25">
      <c r="A3" s="1">
        <v>2</v>
      </c>
      <c r="B3" s="1">
        <v>3</v>
      </c>
      <c r="C3" s="1">
        <v>2</v>
      </c>
      <c r="D3" s="1">
        <v>2</v>
      </c>
      <c r="E3" s="1">
        <v>2</v>
      </c>
      <c r="F3" s="1">
        <v>2</v>
      </c>
      <c r="G3" s="1">
        <v>3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3</v>
      </c>
    </row>
    <row r="4" spans="1:31" ht="15" customHeight="1" x14ac:dyDescent="0.25">
      <c r="A4" s="1">
        <v>2</v>
      </c>
      <c r="B4" s="1">
        <v>2</v>
      </c>
      <c r="C4" s="1">
        <v>3</v>
      </c>
      <c r="D4" s="1">
        <v>4</v>
      </c>
      <c r="E4" s="1">
        <v>3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3</v>
      </c>
      <c r="L4" s="1">
        <v>2</v>
      </c>
      <c r="M4" s="1">
        <v>4</v>
      </c>
    </row>
    <row r="5" spans="1:31" ht="15" customHeight="1" x14ac:dyDescent="0.25">
      <c r="A5" s="1">
        <v>2</v>
      </c>
      <c r="B5" s="1">
        <v>5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3</v>
      </c>
      <c r="I5" s="1">
        <v>2</v>
      </c>
      <c r="J5" s="1">
        <v>2</v>
      </c>
      <c r="K5" s="1">
        <v>3</v>
      </c>
      <c r="L5" s="1">
        <v>3</v>
      </c>
      <c r="M5" s="1">
        <v>3</v>
      </c>
    </row>
    <row r="6" spans="1:31" ht="15" customHeight="1" x14ac:dyDescent="0.25">
      <c r="A6" s="1">
        <v>3</v>
      </c>
      <c r="B6" s="1">
        <v>2</v>
      </c>
      <c r="C6" s="1">
        <v>2</v>
      </c>
      <c r="D6" s="1">
        <v>2</v>
      </c>
      <c r="E6" s="1">
        <v>2</v>
      </c>
      <c r="F6" s="1">
        <v>3</v>
      </c>
      <c r="G6" s="1">
        <v>3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</row>
    <row r="7" spans="1:31" ht="15" customHeight="1" x14ac:dyDescent="0.25">
      <c r="A7" s="1">
        <v>2</v>
      </c>
      <c r="B7" s="1">
        <v>2</v>
      </c>
      <c r="C7" s="1">
        <v>2</v>
      </c>
      <c r="D7" s="1">
        <v>3</v>
      </c>
      <c r="E7" s="1">
        <v>2</v>
      </c>
      <c r="F7" s="1">
        <v>3</v>
      </c>
      <c r="G7" s="1">
        <v>3</v>
      </c>
      <c r="H7" s="1">
        <v>2</v>
      </c>
      <c r="I7" s="1">
        <v>2</v>
      </c>
      <c r="J7" s="1">
        <v>2</v>
      </c>
      <c r="K7" s="1">
        <v>2</v>
      </c>
      <c r="L7" s="1">
        <v>3</v>
      </c>
      <c r="M7" s="1">
        <v>2</v>
      </c>
    </row>
    <row r="8" spans="1:31" ht="15" customHeight="1" x14ac:dyDescent="0.25">
      <c r="A8" s="1">
        <v>2</v>
      </c>
      <c r="B8" s="1">
        <v>2</v>
      </c>
      <c r="C8" s="1">
        <v>3</v>
      </c>
      <c r="D8" s="1">
        <v>3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5</v>
      </c>
      <c r="M8" s="1">
        <v>2</v>
      </c>
    </row>
    <row r="9" spans="1:31" ht="15" customHeight="1" x14ac:dyDescent="0.25">
      <c r="A9" s="1">
        <v>2</v>
      </c>
      <c r="B9" s="1">
        <v>3</v>
      </c>
      <c r="C9" s="1">
        <v>2</v>
      </c>
      <c r="D9" s="1">
        <v>2</v>
      </c>
      <c r="E9" s="1">
        <v>2</v>
      </c>
      <c r="F9" s="1">
        <v>2</v>
      </c>
      <c r="G9" s="1">
        <v>4</v>
      </c>
      <c r="H9" s="1">
        <v>4</v>
      </c>
      <c r="I9" s="1">
        <v>2</v>
      </c>
      <c r="J9" s="1">
        <v>2</v>
      </c>
      <c r="K9" s="1">
        <v>3</v>
      </c>
      <c r="L9" s="1">
        <v>3</v>
      </c>
      <c r="M9" s="1">
        <v>3</v>
      </c>
    </row>
    <row r="10" spans="1:31" ht="15" customHeight="1" x14ac:dyDescent="0.25">
      <c r="A10" s="1">
        <v>2</v>
      </c>
      <c r="B10" s="1">
        <v>2</v>
      </c>
      <c r="C10" s="1">
        <v>3</v>
      </c>
      <c r="D10" s="1">
        <v>2</v>
      </c>
      <c r="E10" s="1">
        <v>2</v>
      </c>
      <c r="F10" s="1">
        <v>3</v>
      </c>
      <c r="G10" s="1">
        <v>2</v>
      </c>
      <c r="H10" s="1">
        <v>2</v>
      </c>
      <c r="I10" s="1">
        <v>3</v>
      </c>
      <c r="J10" s="1">
        <v>2</v>
      </c>
      <c r="K10" s="1">
        <v>2</v>
      </c>
      <c r="L10" s="1">
        <v>2</v>
      </c>
      <c r="M10" s="1">
        <v>2</v>
      </c>
    </row>
    <row r="11" spans="1:31" ht="15" customHeight="1" x14ac:dyDescent="0.25">
      <c r="A11" s="1">
        <v>2</v>
      </c>
      <c r="B11" s="1">
        <v>2</v>
      </c>
      <c r="C11" s="1">
        <v>2</v>
      </c>
      <c r="D11" s="1">
        <v>2</v>
      </c>
      <c r="E11" s="1">
        <v>4</v>
      </c>
      <c r="F11" s="1">
        <v>5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</row>
    <row r="12" spans="1:31" ht="15" customHeight="1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3</v>
      </c>
      <c r="G12" s="1">
        <v>2</v>
      </c>
      <c r="H12" s="1">
        <v>2</v>
      </c>
      <c r="I12" s="1">
        <v>2</v>
      </c>
      <c r="J12" s="1">
        <v>3</v>
      </c>
      <c r="K12" s="1">
        <v>2</v>
      </c>
      <c r="L12" s="1">
        <v>3</v>
      </c>
      <c r="M12" s="1">
        <v>3</v>
      </c>
      <c r="N12" s="1">
        <v>2</v>
      </c>
    </row>
    <row r="13" spans="1:31" ht="15" customHeight="1" x14ac:dyDescent="0.25">
      <c r="A13" s="1">
        <v>2</v>
      </c>
      <c r="B13" s="1">
        <v>3</v>
      </c>
      <c r="C13" s="1">
        <v>2</v>
      </c>
      <c r="D13" s="21">
        <v>2</v>
      </c>
      <c r="E13" s="1">
        <v>2</v>
      </c>
      <c r="F13" s="1">
        <v>2</v>
      </c>
      <c r="G13" s="1">
        <v>2</v>
      </c>
      <c r="H13" s="1">
        <v>2</v>
      </c>
      <c r="I13" s="1">
        <v>3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3</v>
      </c>
      <c r="P13" s="1">
        <v>3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3</v>
      </c>
      <c r="W13" s="1">
        <v>3</v>
      </c>
      <c r="X13" s="1">
        <v>2</v>
      </c>
      <c r="Y13" s="1">
        <v>2</v>
      </c>
      <c r="Z13" s="1">
        <v>5</v>
      </c>
      <c r="AA13" s="1">
        <v>3</v>
      </c>
      <c r="AB13" s="1">
        <v>2</v>
      </c>
      <c r="AC13" s="1">
        <v>2</v>
      </c>
      <c r="AD13" s="1">
        <v>3</v>
      </c>
      <c r="AE13" s="1">
        <v>2</v>
      </c>
    </row>
    <row r="14" spans="1:31" ht="15" customHeight="1" x14ac:dyDescent="0.25">
      <c r="A14" s="1">
        <v>2</v>
      </c>
      <c r="B14" s="1">
        <v>3</v>
      </c>
      <c r="C14" s="1">
        <v>4</v>
      </c>
      <c r="D14" s="21">
        <v>2</v>
      </c>
      <c r="E14" s="1">
        <v>2</v>
      </c>
      <c r="F14" s="1">
        <v>2</v>
      </c>
      <c r="G14" s="1">
        <v>2</v>
      </c>
      <c r="H14" s="1">
        <v>2</v>
      </c>
      <c r="I14" s="1">
        <v>3</v>
      </c>
      <c r="J14" s="1">
        <v>2</v>
      </c>
      <c r="K14" s="1">
        <v>2</v>
      </c>
      <c r="L14" s="1">
        <v>2</v>
      </c>
      <c r="M14" s="1">
        <v>2</v>
      </c>
      <c r="N14" s="1">
        <v>3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3</v>
      </c>
    </row>
    <row r="15" spans="1:31" ht="15" customHeight="1" x14ac:dyDescent="0.25">
      <c r="A15" s="1">
        <v>2</v>
      </c>
      <c r="B15" s="1">
        <v>4</v>
      </c>
      <c r="C15" s="1">
        <v>3</v>
      </c>
      <c r="D15" s="1">
        <v>3</v>
      </c>
      <c r="E15" s="1">
        <v>5</v>
      </c>
      <c r="F15" s="1">
        <v>2</v>
      </c>
      <c r="G15" s="1">
        <v>3</v>
      </c>
      <c r="H15" s="1">
        <v>2</v>
      </c>
      <c r="I15" s="1">
        <v>2</v>
      </c>
      <c r="J15" s="1">
        <v>2</v>
      </c>
      <c r="K15" s="1">
        <v>3</v>
      </c>
      <c r="L15" s="1">
        <v>2</v>
      </c>
      <c r="M15" s="1">
        <v>3</v>
      </c>
      <c r="N15" s="1">
        <v>5</v>
      </c>
      <c r="O15" s="1">
        <v>4</v>
      </c>
      <c r="P15" s="1">
        <v>2</v>
      </c>
      <c r="Q15" s="1">
        <v>2</v>
      </c>
      <c r="R15" s="1">
        <v>2</v>
      </c>
      <c r="S15" s="1">
        <v>4</v>
      </c>
    </row>
    <row r="16" spans="1:31" ht="15" customHeight="1" x14ac:dyDescent="0.25">
      <c r="A16" s="1">
        <v>2</v>
      </c>
      <c r="B16" s="1">
        <v>3</v>
      </c>
      <c r="C16" s="1">
        <v>2</v>
      </c>
      <c r="D16" s="1">
        <v>2</v>
      </c>
      <c r="E16" s="1">
        <v>3</v>
      </c>
      <c r="F16" s="1">
        <v>2</v>
      </c>
      <c r="G16" s="1">
        <v>2</v>
      </c>
      <c r="H16" s="1">
        <v>2</v>
      </c>
      <c r="I16" s="1">
        <v>2</v>
      </c>
      <c r="J16" s="1">
        <v>3</v>
      </c>
      <c r="K16" s="1">
        <v>4</v>
      </c>
      <c r="L16" s="1">
        <v>3</v>
      </c>
      <c r="M16" s="1">
        <v>3</v>
      </c>
    </row>
    <row r="17" spans="1:13" ht="15" customHeight="1" x14ac:dyDescent="0.25">
      <c r="A17" s="1">
        <v>2</v>
      </c>
      <c r="B17" s="1">
        <v>2</v>
      </c>
      <c r="C17" s="1">
        <v>3</v>
      </c>
      <c r="D17" s="1">
        <v>5</v>
      </c>
      <c r="E17" s="1">
        <v>2</v>
      </c>
      <c r="F17" s="1">
        <v>2</v>
      </c>
      <c r="G17" s="1">
        <v>2</v>
      </c>
      <c r="H17" s="1">
        <v>5</v>
      </c>
      <c r="I17" s="1">
        <v>3</v>
      </c>
      <c r="J17" s="1">
        <v>2</v>
      </c>
      <c r="K17" s="1">
        <v>2</v>
      </c>
      <c r="L17" s="1">
        <v>2</v>
      </c>
      <c r="M17" s="1">
        <v>2</v>
      </c>
    </row>
    <row r="18" spans="1:13" ht="15" customHeight="1" x14ac:dyDescent="0.25">
      <c r="A18" s="1">
        <v>2</v>
      </c>
      <c r="B18" s="1">
        <v>3</v>
      </c>
      <c r="C18" s="1">
        <v>2</v>
      </c>
      <c r="D18" s="1">
        <v>2</v>
      </c>
      <c r="E18" s="1">
        <v>3</v>
      </c>
      <c r="F18" s="1">
        <v>3</v>
      </c>
      <c r="G18" s="1">
        <v>3</v>
      </c>
      <c r="H18" s="1">
        <v>3</v>
      </c>
      <c r="I18" s="1">
        <v>2</v>
      </c>
      <c r="J18" s="1">
        <v>5</v>
      </c>
      <c r="K18" s="1">
        <v>2</v>
      </c>
      <c r="L18" s="1">
        <v>3</v>
      </c>
      <c r="M18" s="1">
        <v>2</v>
      </c>
    </row>
    <row r="19" spans="1:13" ht="15" customHeight="1" x14ac:dyDescent="0.25">
      <c r="A19" s="1">
        <v>2</v>
      </c>
      <c r="B19" s="1">
        <v>2</v>
      </c>
      <c r="C19" s="1">
        <v>2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3</v>
      </c>
      <c r="J19" s="1">
        <v>2</v>
      </c>
      <c r="K19" s="1">
        <v>3</v>
      </c>
      <c r="L19" s="1">
        <v>2</v>
      </c>
      <c r="M19" s="1">
        <v>2</v>
      </c>
    </row>
    <row r="20" spans="1:13" ht="15" customHeight="1" x14ac:dyDescent="0.25">
      <c r="A20" s="1">
        <v>2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5</v>
      </c>
      <c r="J20" s="1">
        <v>4</v>
      </c>
      <c r="K20" s="1">
        <v>2</v>
      </c>
      <c r="L20" s="1">
        <v>3</v>
      </c>
      <c r="M20" s="1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C20F-FF2F-4963-89B7-F435E6497A7A}">
  <sheetPr>
    <tabColor theme="5"/>
  </sheetPr>
  <dimension ref="A1:E20"/>
  <sheetViews>
    <sheetView workbookViewId="0">
      <selection activeCell="E15" sqref="E15"/>
    </sheetView>
  </sheetViews>
  <sheetFormatPr defaultColWidth="2.85546875" defaultRowHeight="15" customHeight="1" x14ac:dyDescent="0.25"/>
  <cols>
    <col min="1" max="16384" width="2.85546875" style="1"/>
  </cols>
  <sheetData>
    <row r="1" spans="1:5" ht="15" customHeight="1" x14ac:dyDescent="0.25">
      <c r="A1" s="1">
        <v>2</v>
      </c>
      <c r="B1" s="1">
        <v>2</v>
      </c>
      <c r="C1" s="1">
        <v>2</v>
      </c>
      <c r="D1" s="1">
        <v>2</v>
      </c>
      <c r="E1" s="1">
        <v>3</v>
      </c>
    </row>
    <row r="2" spans="1:5" ht="15" customHeight="1" x14ac:dyDescent="0.25">
      <c r="A2" s="1">
        <v>3</v>
      </c>
      <c r="B2" s="1">
        <v>4</v>
      </c>
      <c r="C2" s="1">
        <v>2</v>
      </c>
      <c r="D2" s="1">
        <v>2</v>
      </c>
      <c r="E2" s="1">
        <v>5</v>
      </c>
    </row>
    <row r="3" spans="1:5" ht="15" customHeight="1" x14ac:dyDescent="0.25">
      <c r="A3" s="1">
        <v>2</v>
      </c>
      <c r="B3" s="1">
        <v>2</v>
      </c>
      <c r="C3" s="1">
        <v>3</v>
      </c>
      <c r="D3" s="1">
        <v>2</v>
      </c>
      <c r="E3" s="1">
        <v>2</v>
      </c>
    </row>
    <row r="4" spans="1:5" ht="15" customHeight="1" x14ac:dyDescent="0.25">
      <c r="A4" s="1">
        <v>2</v>
      </c>
      <c r="B4" s="1">
        <v>2</v>
      </c>
      <c r="C4" s="1">
        <v>5</v>
      </c>
      <c r="D4" s="1">
        <v>2</v>
      </c>
      <c r="E4" s="1">
        <v>2</v>
      </c>
    </row>
    <row r="5" spans="1:5" ht="15" customHeight="1" x14ac:dyDescent="0.25">
      <c r="A5" s="1">
        <v>2</v>
      </c>
      <c r="B5" s="1">
        <v>2</v>
      </c>
      <c r="C5" s="1">
        <v>3</v>
      </c>
      <c r="D5" s="1">
        <v>3</v>
      </c>
      <c r="E5" s="1">
        <v>4</v>
      </c>
    </row>
    <row r="6" spans="1:5" ht="15" customHeight="1" x14ac:dyDescent="0.25">
      <c r="A6" s="1">
        <v>2</v>
      </c>
      <c r="B6" s="1">
        <v>2</v>
      </c>
      <c r="C6" s="1">
        <v>2</v>
      </c>
      <c r="D6" s="1">
        <v>3</v>
      </c>
      <c r="E6" s="1">
        <v>5</v>
      </c>
    </row>
    <row r="7" spans="1:5" ht="15" customHeight="1" x14ac:dyDescent="0.25">
      <c r="A7" s="1">
        <v>2</v>
      </c>
      <c r="B7" s="1">
        <v>2</v>
      </c>
      <c r="C7" s="1">
        <v>2</v>
      </c>
      <c r="D7" s="1">
        <v>2</v>
      </c>
      <c r="E7" s="1">
        <v>2</v>
      </c>
    </row>
    <row r="8" spans="1:5" ht="15" customHeight="1" x14ac:dyDescent="0.25">
      <c r="A8" s="1">
        <v>2</v>
      </c>
      <c r="B8" s="1">
        <v>2</v>
      </c>
      <c r="C8" s="1">
        <v>2</v>
      </c>
      <c r="D8" s="1">
        <v>2</v>
      </c>
      <c r="E8" s="1">
        <v>4</v>
      </c>
    </row>
    <row r="9" spans="1:5" ht="15" customHeight="1" x14ac:dyDescent="0.25">
      <c r="A9" s="1">
        <v>2</v>
      </c>
      <c r="B9" s="1">
        <v>3</v>
      </c>
      <c r="C9" s="1">
        <v>2</v>
      </c>
      <c r="D9" s="1">
        <v>3</v>
      </c>
      <c r="E9" s="1">
        <v>2</v>
      </c>
    </row>
    <row r="10" spans="1:5" ht="15" customHeight="1" x14ac:dyDescent="0.25">
      <c r="A10" s="1">
        <v>2</v>
      </c>
      <c r="B10" s="1">
        <v>3</v>
      </c>
      <c r="C10" s="1">
        <v>2</v>
      </c>
      <c r="D10" s="1">
        <v>2</v>
      </c>
      <c r="E10" s="1">
        <v>4</v>
      </c>
    </row>
    <row r="11" spans="1:5" ht="15" customHeight="1" x14ac:dyDescent="0.25">
      <c r="A11" s="1">
        <v>2</v>
      </c>
      <c r="B11" s="1">
        <v>2</v>
      </c>
      <c r="C11" s="1">
        <v>2</v>
      </c>
      <c r="D11" s="1">
        <v>3</v>
      </c>
      <c r="E11" s="1">
        <v>3</v>
      </c>
    </row>
    <row r="12" spans="1:5" ht="15" customHeight="1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</row>
    <row r="13" spans="1:5" ht="15" customHeight="1" x14ac:dyDescent="0.25">
      <c r="A13" s="1">
        <v>2</v>
      </c>
      <c r="B13" s="1">
        <v>2</v>
      </c>
      <c r="C13" s="1">
        <v>4</v>
      </c>
      <c r="D13" s="1">
        <v>2</v>
      </c>
    </row>
    <row r="14" spans="1:5" ht="15" customHeight="1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</row>
    <row r="15" spans="1:5" ht="15" customHeight="1" x14ac:dyDescent="0.25">
      <c r="A15" s="1">
        <v>2</v>
      </c>
      <c r="B15" s="1">
        <v>2</v>
      </c>
      <c r="C15" s="1">
        <v>2</v>
      </c>
      <c r="D15" s="1">
        <v>3</v>
      </c>
    </row>
    <row r="16" spans="1:5" ht="15" customHeight="1" x14ac:dyDescent="0.25">
      <c r="A16" s="1">
        <v>2</v>
      </c>
      <c r="B16" s="1">
        <v>2</v>
      </c>
      <c r="C16" s="1">
        <v>4</v>
      </c>
      <c r="D16" s="1">
        <v>2</v>
      </c>
    </row>
    <row r="17" spans="1:4" ht="15" customHeight="1" x14ac:dyDescent="0.25">
      <c r="A17" s="1">
        <v>3</v>
      </c>
      <c r="B17" s="1">
        <v>2</v>
      </c>
      <c r="C17" s="1">
        <v>2</v>
      </c>
      <c r="D17" s="1">
        <v>2</v>
      </c>
    </row>
    <row r="18" spans="1:4" ht="15" customHeight="1" x14ac:dyDescent="0.25">
      <c r="A18" s="1">
        <v>2</v>
      </c>
      <c r="B18" s="1">
        <v>2</v>
      </c>
      <c r="C18" s="1">
        <v>3</v>
      </c>
      <c r="D18" s="1">
        <v>2</v>
      </c>
    </row>
    <row r="19" spans="1:4" ht="15" customHeight="1" x14ac:dyDescent="0.25">
      <c r="A19" s="1">
        <v>2</v>
      </c>
      <c r="B19" s="1">
        <v>5</v>
      </c>
      <c r="C19" s="1">
        <v>2</v>
      </c>
      <c r="D19" s="1">
        <v>2</v>
      </c>
    </row>
    <row r="20" spans="1:4" ht="15" customHeight="1" x14ac:dyDescent="0.25">
      <c r="A20" s="1">
        <v>3</v>
      </c>
      <c r="B20" s="1">
        <v>2</v>
      </c>
      <c r="C20" s="1">
        <v>2</v>
      </c>
      <c r="D20" s="1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D310-33CE-46A2-B35D-DF129779300D}">
  <sheetPr>
    <tabColor theme="5"/>
  </sheetPr>
  <dimension ref="A1:BF29"/>
  <sheetViews>
    <sheetView workbookViewId="0">
      <selection activeCell="AI8" sqref="AI8"/>
    </sheetView>
  </sheetViews>
  <sheetFormatPr defaultColWidth="2.85546875" defaultRowHeight="15" x14ac:dyDescent="0.25"/>
  <cols>
    <col min="1" max="16384" width="2.85546875" style="15"/>
  </cols>
  <sheetData>
    <row r="1" spans="1:58" x14ac:dyDescent="0.25">
      <c r="A1" s="21">
        <v>3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x14ac:dyDescent="0.25">
      <c r="A2" s="21">
        <v>4</v>
      </c>
      <c r="B2" s="1">
        <v>2</v>
      </c>
      <c r="C2" s="1">
        <v>2</v>
      </c>
      <c r="D2" s="1">
        <v>5</v>
      </c>
      <c r="E2" s="1">
        <v>5</v>
      </c>
      <c r="F2" s="1">
        <v>2</v>
      </c>
      <c r="G2" s="1">
        <v>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25">
      <c r="A3" s="21">
        <v>2</v>
      </c>
      <c r="B3" s="1">
        <v>2</v>
      </c>
      <c r="C3" s="1">
        <v>2</v>
      </c>
      <c r="D3" s="1">
        <v>3</v>
      </c>
      <c r="E3" s="1">
        <v>2</v>
      </c>
      <c r="F3" s="1">
        <v>2</v>
      </c>
      <c r="G3" s="1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x14ac:dyDescent="0.25">
      <c r="A4" s="21">
        <v>2</v>
      </c>
      <c r="B4" s="1">
        <v>2</v>
      </c>
      <c r="C4" s="1">
        <v>2</v>
      </c>
      <c r="D4" s="1">
        <v>2</v>
      </c>
      <c r="E4" s="1">
        <v>4</v>
      </c>
      <c r="F4" s="1">
        <v>2</v>
      </c>
      <c r="G4" s="1">
        <v>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x14ac:dyDescent="0.25">
      <c r="A5" s="21">
        <v>2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x14ac:dyDescent="0.25">
      <c r="A6" s="21">
        <v>2</v>
      </c>
      <c r="B6" s="1">
        <v>5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x14ac:dyDescent="0.25">
      <c r="A7" s="21">
        <v>2</v>
      </c>
      <c r="B7" s="1">
        <v>2</v>
      </c>
      <c r="C7" s="1">
        <v>2</v>
      </c>
      <c r="D7" s="1">
        <v>2</v>
      </c>
      <c r="E7" s="1">
        <v>2</v>
      </c>
      <c r="F7" s="1">
        <v>3</v>
      </c>
      <c r="G7" s="1">
        <v>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x14ac:dyDescent="0.25">
      <c r="A8" s="21">
        <v>2</v>
      </c>
      <c r="B8" s="1">
        <v>4</v>
      </c>
      <c r="C8" s="1">
        <v>3</v>
      </c>
      <c r="D8" s="1">
        <v>3</v>
      </c>
      <c r="E8" s="1">
        <v>2</v>
      </c>
      <c r="F8" s="1">
        <v>2</v>
      </c>
      <c r="G8" s="1">
        <v>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 t="s">
        <v>139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x14ac:dyDescent="0.25">
      <c r="A9" s="21">
        <v>2</v>
      </c>
      <c r="B9" s="1">
        <v>2</v>
      </c>
      <c r="C9" s="1">
        <v>2</v>
      </c>
      <c r="D9" s="1">
        <v>3</v>
      </c>
      <c r="E9" s="1">
        <v>2</v>
      </c>
      <c r="F9" s="1">
        <v>2</v>
      </c>
      <c r="G9" s="1">
        <v>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25">
      <c r="A10" s="21">
        <v>2</v>
      </c>
      <c r="B10" s="1">
        <v>4</v>
      </c>
      <c r="C10" s="1">
        <v>2</v>
      </c>
      <c r="D10" s="1">
        <v>3</v>
      </c>
      <c r="E10" s="1">
        <v>2</v>
      </c>
      <c r="F10" s="1">
        <v>2</v>
      </c>
      <c r="G10" s="1">
        <v>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 x14ac:dyDescent="0.25">
      <c r="A11" s="21">
        <v>3</v>
      </c>
      <c r="B11" s="1">
        <v>2</v>
      </c>
      <c r="C11" s="1">
        <v>5</v>
      </c>
      <c r="D11" s="1">
        <v>2</v>
      </c>
      <c r="E11" s="1">
        <v>3</v>
      </c>
      <c r="F11" s="1">
        <v>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x14ac:dyDescent="0.25">
      <c r="A12" s="21">
        <v>2</v>
      </c>
      <c r="B12" s="1">
        <v>3</v>
      </c>
      <c r="C12" s="1">
        <v>3</v>
      </c>
      <c r="D12" s="1">
        <v>5</v>
      </c>
      <c r="E12" s="1">
        <v>4</v>
      </c>
      <c r="F12" s="1">
        <v>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x14ac:dyDescent="0.25">
      <c r="A13" s="21">
        <v>5</v>
      </c>
      <c r="B13" s="1">
        <v>2</v>
      </c>
      <c r="C13" s="1">
        <v>4</v>
      </c>
      <c r="D13" s="1">
        <v>2</v>
      </c>
      <c r="E13" s="1">
        <v>2</v>
      </c>
      <c r="F13" s="1">
        <v>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spans="1:58" x14ac:dyDescent="0.25">
      <c r="A14" s="21">
        <v>2</v>
      </c>
      <c r="B14" s="1">
        <v>3</v>
      </c>
      <c r="C14" s="1">
        <v>2</v>
      </c>
      <c r="D14" s="1">
        <v>3</v>
      </c>
      <c r="E14" s="1">
        <v>2</v>
      </c>
      <c r="F14" s="1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spans="1:58" x14ac:dyDescent="0.25">
      <c r="A15" s="21">
        <v>2</v>
      </c>
      <c r="B15" s="1">
        <v>2</v>
      </c>
      <c r="C15" s="1">
        <v>4</v>
      </c>
      <c r="D15" s="1">
        <v>2</v>
      </c>
      <c r="E15" s="1">
        <v>2</v>
      </c>
      <c r="F15" s="1">
        <v>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spans="1:58" x14ac:dyDescent="0.25">
      <c r="A16" s="21">
        <v>3</v>
      </c>
      <c r="B16" s="1">
        <v>5</v>
      </c>
      <c r="C16" s="1">
        <v>4</v>
      </c>
      <c r="D16" s="1">
        <v>5</v>
      </c>
      <c r="E16" s="1">
        <v>4</v>
      </c>
      <c r="F16" s="1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1:58" x14ac:dyDescent="0.25">
      <c r="A17" s="21">
        <v>2</v>
      </c>
      <c r="B17" s="1">
        <v>3</v>
      </c>
      <c r="C17" s="1">
        <v>2</v>
      </c>
      <c r="D17" s="1">
        <v>2</v>
      </c>
      <c r="E17" s="1">
        <v>2</v>
      </c>
      <c r="F17" s="1">
        <v>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spans="1:58" x14ac:dyDescent="0.25">
      <c r="A18" s="21">
        <v>2</v>
      </c>
      <c r="B18" s="1">
        <v>3</v>
      </c>
      <c r="C18" s="1">
        <v>2</v>
      </c>
      <c r="D18" s="1">
        <v>2</v>
      </c>
      <c r="E18" s="1">
        <v>2</v>
      </c>
      <c r="F18" s="1">
        <v>4</v>
      </c>
      <c r="G18" s="1">
        <v>2</v>
      </c>
      <c r="H18" s="1">
        <v>2</v>
      </c>
      <c r="I18" s="1">
        <v>3</v>
      </c>
      <c r="J18" s="21">
        <v>2</v>
      </c>
      <c r="K18" s="1">
        <v>2</v>
      </c>
      <c r="L18" s="1">
        <v>2</v>
      </c>
      <c r="M18" s="1">
        <v>3</v>
      </c>
      <c r="N18" s="1">
        <v>2</v>
      </c>
      <c r="O18" s="1">
        <v>2</v>
      </c>
      <c r="P18" s="1">
        <v>2</v>
      </c>
      <c r="Q18" s="1">
        <v>2</v>
      </c>
      <c r="R18" s="21">
        <v>2</v>
      </c>
      <c r="S18" s="1">
        <v>2</v>
      </c>
      <c r="T18" s="1">
        <v>3</v>
      </c>
      <c r="U18" s="1">
        <v>3</v>
      </c>
      <c r="V18" s="1">
        <v>3</v>
      </c>
      <c r="W18" s="1">
        <v>2</v>
      </c>
      <c r="X18" s="1">
        <v>2</v>
      </c>
      <c r="Y18" s="1">
        <v>2</v>
      </c>
      <c r="Z18" s="1">
        <v>4</v>
      </c>
      <c r="AA18" s="1">
        <v>3</v>
      </c>
      <c r="AB18" s="1">
        <v>3</v>
      </c>
      <c r="AC18" s="1">
        <v>2</v>
      </c>
      <c r="AD18" s="1">
        <v>4</v>
      </c>
      <c r="AE18" s="1">
        <v>2</v>
      </c>
      <c r="AF18" s="1">
        <v>2</v>
      </c>
      <c r="AG18" s="1">
        <v>2</v>
      </c>
      <c r="AH18" s="1">
        <v>2</v>
      </c>
      <c r="AI18" s="1">
        <v>2</v>
      </c>
      <c r="AJ18" s="1">
        <v>3</v>
      </c>
      <c r="AK18" s="1">
        <v>2</v>
      </c>
      <c r="AL18" s="1">
        <v>2</v>
      </c>
      <c r="AM18" s="1">
        <v>3</v>
      </c>
      <c r="AN18" s="1">
        <v>2</v>
      </c>
      <c r="AO18" s="1">
        <v>2</v>
      </c>
      <c r="AP18" s="1">
        <v>2</v>
      </c>
      <c r="AQ18" s="1">
        <v>2</v>
      </c>
      <c r="AR18" s="1">
        <v>3</v>
      </c>
      <c r="AS18" s="1">
        <v>3</v>
      </c>
      <c r="AT18" s="1">
        <v>2</v>
      </c>
      <c r="AU18" s="1">
        <v>4</v>
      </c>
      <c r="AV18" s="1">
        <v>4</v>
      </c>
      <c r="AW18" s="1">
        <v>3</v>
      </c>
      <c r="AX18" s="1">
        <v>2</v>
      </c>
      <c r="AY18" s="1">
        <v>2</v>
      </c>
      <c r="AZ18" s="1">
        <v>2</v>
      </c>
      <c r="BA18" s="1">
        <v>2</v>
      </c>
      <c r="BB18" s="1">
        <v>3</v>
      </c>
      <c r="BC18" s="1">
        <v>3</v>
      </c>
      <c r="BD18" s="1">
        <v>4</v>
      </c>
      <c r="BE18" s="1">
        <v>4</v>
      </c>
      <c r="BF18" s="1">
        <v>2</v>
      </c>
    </row>
    <row r="19" spans="1:58" x14ac:dyDescent="0.25">
      <c r="A19" s="21">
        <v>3</v>
      </c>
      <c r="B19" s="1">
        <v>3</v>
      </c>
      <c r="C19" s="1">
        <v>2</v>
      </c>
      <c r="D19" s="1">
        <v>2</v>
      </c>
      <c r="E19" s="1">
        <v>2</v>
      </c>
      <c r="F19" s="1">
        <v>3</v>
      </c>
      <c r="G19" s="1">
        <v>2</v>
      </c>
      <c r="H19" s="1">
        <v>3</v>
      </c>
      <c r="I19" s="1">
        <v>2</v>
      </c>
      <c r="J19" s="21">
        <v>2</v>
      </c>
      <c r="K19" s="1">
        <v>2</v>
      </c>
      <c r="L19" s="1">
        <v>2</v>
      </c>
      <c r="M19" s="1">
        <v>2</v>
      </c>
      <c r="N19" s="1">
        <v>3</v>
      </c>
      <c r="O19" s="1">
        <v>2</v>
      </c>
      <c r="P19" s="1">
        <v>2</v>
      </c>
      <c r="Q19" s="1">
        <v>2</v>
      </c>
      <c r="R19" s="1">
        <v>4</v>
      </c>
      <c r="S19" s="1">
        <v>3</v>
      </c>
      <c r="T19" s="1">
        <v>2</v>
      </c>
      <c r="U19" s="1">
        <v>3</v>
      </c>
      <c r="V19" s="1">
        <v>3</v>
      </c>
      <c r="W19" s="1">
        <v>2</v>
      </c>
      <c r="X19" s="1">
        <v>2</v>
      </c>
      <c r="Y19" s="1">
        <v>2</v>
      </c>
      <c r="Z19" s="1">
        <v>3</v>
      </c>
      <c r="AA19" s="1">
        <v>2</v>
      </c>
      <c r="AB19" s="1">
        <v>2</v>
      </c>
      <c r="AC19" s="1">
        <v>3</v>
      </c>
      <c r="AD19" s="1">
        <v>2</v>
      </c>
      <c r="AE19" s="1">
        <v>2</v>
      </c>
      <c r="AF19" s="1">
        <v>3</v>
      </c>
      <c r="AG19" s="1">
        <v>2</v>
      </c>
      <c r="AH19" s="1">
        <v>3</v>
      </c>
      <c r="AI19" s="1">
        <v>2</v>
      </c>
      <c r="AJ19" s="1">
        <v>2</v>
      </c>
      <c r="AK19" s="1">
        <v>4</v>
      </c>
      <c r="AL19" s="1">
        <v>2</v>
      </c>
      <c r="AM19" s="1">
        <v>2</v>
      </c>
      <c r="AN19" s="1">
        <v>3</v>
      </c>
      <c r="AO19" s="1">
        <v>2</v>
      </c>
      <c r="AP19" s="1">
        <v>2</v>
      </c>
      <c r="AQ19" s="1">
        <v>2</v>
      </c>
      <c r="AR19" s="1">
        <v>3</v>
      </c>
      <c r="AS19" s="1">
        <v>2</v>
      </c>
      <c r="AT19" s="1">
        <v>3</v>
      </c>
      <c r="AU19" s="1">
        <v>2</v>
      </c>
      <c r="AV19" s="1">
        <v>2</v>
      </c>
      <c r="AW19" s="1">
        <v>2</v>
      </c>
      <c r="AX19" s="1">
        <v>2</v>
      </c>
      <c r="AY19" s="1">
        <v>2</v>
      </c>
      <c r="AZ19" s="1">
        <v>3</v>
      </c>
      <c r="BA19" s="1">
        <v>2</v>
      </c>
      <c r="BB19" s="1">
        <v>2</v>
      </c>
      <c r="BC19" s="1">
        <v>3</v>
      </c>
      <c r="BD19" s="1">
        <v>3</v>
      </c>
      <c r="BE19" s="1">
        <v>2</v>
      </c>
      <c r="BF19" s="1">
        <v>2</v>
      </c>
    </row>
    <row r="20" spans="1:58" x14ac:dyDescent="0.25">
      <c r="A20" s="21">
        <v>2</v>
      </c>
      <c r="B20" s="1">
        <v>2</v>
      </c>
      <c r="C20" s="1">
        <v>2</v>
      </c>
      <c r="D20" s="1">
        <v>3</v>
      </c>
      <c r="E20" s="1">
        <v>5</v>
      </c>
      <c r="F20" s="1">
        <v>4</v>
      </c>
      <c r="G20" s="1">
        <v>2</v>
      </c>
      <c r="H20" s="1">
        <v>2</v>
      </c>
      <c r="I20" s="1">
        <v>4</v>
      </c>
      <c r="J20" s="21">
        <v>2</v>
      </c>
      <c r="K20" s="1">
        <v>2</v>
      </c>
      <c r="L20" s="1">
        <v>2</v>
      </c>
      <c r="M20" s="1">
        <v>2</v>
      </c>
      <c r="N20" s="1">
        <v>3</v>
      </c>
      <c r="O20" s="1">
        <v>5</v>
      </c>
      <c r="P20" s="1">
        <v>2</v>
      </c>
      <c r="Q20" s="1">
        <v>4</v>
      </c>
      <c r="R20" s="1">
        <v>2</v>
      </c>
      <c r="S20" s="1">
        <v>2</v>
      </c>
      <c r="T20" s="1">
        <v>2</v>
      </c>
      <c r="U20" s="1">
        <v>2</v>
      </c>
      <c r="V20" s="1">
        <v>4</v>
      </c>
      <c r="W20" s="1">
        <v>3</v>
      </c>
      <c r="X20" s="1">
        <v>2</v>
      </c>
      <c r="Y20" s="1">
        <v>3</v>
      </c>
      <c r="Z20" s="1">
        <v>3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3</v>
      </c>
      <c r="AH20" s="1">
        <v>5</v>
      </c>
      <c r="AI20" s="1">
        <v>2</v>
      </c>
      <c r="AJ20" s="1">
        <v>2</v>
      </c>
      <c r="AK20" s="1">
        <v>2</v>
      </c>
      <c r="AL20" s="1">
        <v>4</v>
      </c>
      <c r="AM20" s="1">
        <v>3</v>
      </c>
      <c r="AN20" s="1">
        <v>2</v>
      </c>
      <c r="AO20" s="1">
        <v>2</v>
      </c>
      <c r="AP20" s="1">
        <v>3</v>
      </c>
      <c r="AQ20" s="1">
        <v>5</v>
      </c>
      <c r="AR20" s="1">
        <v>2</v>
      </c>
      <c r="AS20" s="1">
        <v>2</v>
      </c>
      <c r="AT20" s="1">
        <v>3</v>
      </c>
      <c r="AU20" s="1">
        <v>2</v>
      </c>
      <c r="AV20" s="1">
        <v>2</v>
      </c>
      <c r="AW20" s="1">
        <v>4</v>
      </c>
      <c r="AX20" s="1">
        <v>2</v>
      </c>
      <c r="AY20" s="1">
        <v>3</v>
      </c>
      <c r="AZ20" s="1">
        <v>2</v>
      </c>
      <c r="BA20" s="1">
        <v>2</v>
      </c>
      <c r="BB20" s="1">
        <v>2</v>
      </c>
      <c r="BC20" s="1">
        <v>3</v>
      </c>
      <c r="BD20" s="1">
        <v>3</v>
      </c>
      <c r="BE20" s="1">
        <v>2</v>
      </c>
      <c r="BF20" s="1">
        <v>2</v>
      </c>
    </row>
    <row r="21" spans="1:58" x14ac:dyDescent="0.25">
      <c r="A21" s="21">
        <v>5</v>
      </c>
      <c r="B21" s="1">
        <v>2</v>
      </c>
      <c r="C21" s="1">
        <v>2</v>
      </c>
      <c r="D21" s="1">
        <v>5</v>
      </c>
      <c r="E21" s="1">
        <v>4</v>
      </c>
      <c r="F21" s="1">
        <v>3</v>
      </c>
      <c r="G21" s="1">
        <v>4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5</v>
      </c>
      <c r="N21" s="1">
        <v>3</v>
      </c>
      <c r="O21" s="1">
        <v>2</v>
      </c>
      <c r="P21" s="1">
        <v>2</v>
      </c>
      <c r="Q21" s="1">
        <v>2</v>
      </c>
      <c r="R21" s="1">
        <v>3</v>
      </c>
      <c r="S21" s="1">
        <v>3</v>
      </c>
      <c r="T21" s="1">
        <v>3</v>
      </c>
      <c r="U21" s="1">
        <v>4</v>
      </c>
      <c r="V21" s="1">
        <v>2</v>
      </c>
      <c r="W21" s="1">
        <v>5</v>
      </c>
      <c r="X21" s="1">
        <v>2</v>
      </c>
      <c r="Y21" s="1">
        <v>2</v>
      </c>
      <c r="Z21" s="1">
        <v>2</v>
      </c>
      <c r="AA21" s="1">
        <v>5</v>
      </c>
      <c r="AB21" s="1">
        <v>2</v>
      </c>
      <c r="AC21" s="1">
        <v>2</v>
      </c>
      <c r="AD21" s="1">
        <v>2</v>
      </c>
      <c r="AE21" s="1">
        <v>5</v>
      </c>
      <c r="AF21" s="1">
        <v>3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  <c r="AM21" s="1">
        <v>5</v>
      </c>
      <c r="AN21" s="1">
        <v>5</v>
      </c>
      <c r="AO21" s="1">
        <v>2</v>
      </c>
      <c r="AP21" s="1">
        <v>2</v>
      </c>
      <c r="AQ21" s="1">
        <v>2</v>
      </c>
      <c r="AR21" s="1">
        <v>3</v>
      </c>
      <c r="AS21" s="1">
        <v>2</v>
      </c>
      <c r="AT21" s="1">
        <v>2</v>
      </c>
      <c r="AU21" s="1">
        <v>5</v>
      </c>
      <c r="AV21" s="1">
        <v>2</v>
      </c>
      <c r="AW21" s="1">
        <v>2</v>
      </c>
      <c r="AX21" s="1">
        <v>2</v>
      </c>
      <c r="AY21" s="1">
        <v>2</v>
      </c>
      <c r="AZ21" s="1">
        <v>3</v>
      </c>
      <c r="BA21" s="1">
        <v>2</v>
      </c>
      <c r="BB21" s="1">
        <v>2</v>
      </c>
      <c r="BC21" s="1">
        <v>2</v>
      </c>
      <c r="BD21" s="1">
        <v>2</v>
      </c>
      <c r="BE21" s="1">
        <v>3</v>
      </c>
      <c r="BF21" s="1">
        <v>3</v>
      </c>
    </row>
    <row r="22" spans="1:58" x14ac:dyDescent="0.25">
      <c r="A22" s="21">
        <v>4</v>
      </c>
      <c r="B22" s="1">
        <v>2</v>
      </c>
      <c r="C22" s="1">
        <v>3</v>
      </c>
      <c r="D22" s="1">
        <v>2</v>
      </c>
      <c r="E22" s="1">
        <v>2</v>
      </c>
      <c r="F22" s="1">
        <v>3</v>
      </c>
      <c r="G22" s="1">
        <v>3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3</v>
      </c>
      <c r="N22" s="1">
        <v>2</v>
      </c>
      <c r="O22" s="1">
        <v>2</v>
      </c>
      <c r="P22" s="1">
        <v>2</v>
      </c>
      <c r="Q22" s="1">
        <v>2</v>
      </c>
      <c r="R22" s="1">
        <v>3</v>
      </c>
      <c r="S22" s="1">
        <v>2</v>
      </c>
      <c r="T22" s="1">
        <v>3</v>
      </c>
      <c r="U22" s="1">
        <v>3</v>
      </c>
      <c r="V22" s="1">
        <v>2</v>
      </c>
      <c r="W22" s="1">
        <v>2</v>
      </c>
      <c r="X22" s="1">
        <v>3</v>
      </c>
      <c r="Y22" s="1">
        <v>5</v>
      </c>
      <c r="Z22" s="1">
        <v>2</v>
      </c>
      <c r="AA22" s="1">
        <v>3</v>
      </c>
      <c r="AB22" s="1">
        <v>2</v>
      </c>
      <c r="AC22" s="1">
        <v>4</v>
      </c>
      <c r="AD22" s="1">
        <v>2</v>
      </c>
      <c r="AE22" s="1">
        <v>3</v>
      </c>
      <c r="AF22" s="1">
        <v>3</v>
      </c>
      <c r="AG22" s="1">
        <v>2</v>
      </c>
      <c r="AH22" s="1">
        <v>2</v>
      </c>
      <c r="AI22" s="1">
        <v>2</v>
      </c>
      <c r="AJ22" s="1">
        <v>3</v>
      </c>
      <c r="AK22" s="1">
        <v>2</v>
      </c>
      <c r="AL22" s="1">
        <v>2</v>
      </c>
      <c r="AM22" s="1">
        <v>4</v>
      </c>
      <c r="AN22" s="1">
        <v>2</v>
      </c>
      <c r="AO22" s="1">
        <v>2</v>
      </c>
      <c r="AP22" s="1">
        <v>3</v>
      </c>
      <c r="AQ22" s="1">
        <v>2</v>
      </c>
      <c r="AR22" s="1">
        <v>2</v>
      </c>
      <c r="AS22" s="1">
        <v>5</v>
      </c>
      <c r="AT22" s="1">
        <v>2</v>
      </c>
      <c r="AU22" s="1">
        <v>2</v>
      </c>
      <c r="AV22" s="1">
        <v>3</v>
      </c>
      <c r="AW22" s="1">
        <v>2</v>
      </c>
      <c r="AX22" s="1">
        <v>2</v>
      </c>
      <c r="AY22" s="1">
        <v>3</v>
      </c>
      <c r="AZ22" s="1">
        <v>2</v>
      </c>
      <c r="BA22" s="1">
        <v>2</v>
      </c>
      <c r="BB22" s="1">
        <v>2</v>
      </c>
      <c r="BC22" s="1">
        <v>5</v>
      </c>
      <c r="BD22" s="1">
        <v>3</v>
      </c>
      <c r="BE22" s="1">
        <v>2</v>
      </c>
      <c r="BF22" s="1"/>
    </row>
    <row r="23" spans="1:58" x14ac:dyDescent="0.25">
      <c r="A23" s="21">
        <v>2</v>
      </c>
      <c r="B23" s="1">
        <v>2</v>
      </c>
      <c r="C23" s="1">
        <v>2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5</v>
      </c>
      <c r="J23" s="1">
        <v>3</v>
      </c>
      <c r="K23" s="1">
        <v>2</v>
      </c>
      <c r="L23" s="1">
        <v>2</v>
      </c>
      <c r="M23" s="1">
        <v>2</v>
      </c>
      <c r="N23" s="1">
        <v>3</v>
      </c>
      <c r="O23" s="1">
        <v>2</v>
      </c>
      <c r="P23" s="1">
        <v>3</v>
      </c>
      <c r="Q23" s="1">
        <v>3</v>
      </c>
      <c r="R23" s="1">
        <v>2</v>
      </c>
      <c r="S23" s="1">
        <v>3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3</v>
      </c>
      <c r="Z23" s="1">
        <v>2</v>
      </c>
      <c r="AA23" s="1">
        <v>2</v>
      </c>
      <c r="AB23" s="1">
        <v>2</v>
      </c>
      <c r="AC23" s="1">
        <v>3</v>
      </c>
      <c r="AD23" s="1">
        <v>2</v>
      </c>
      <c r="AE23" s="1">
        <v>2</v>
      </c>
      <c r="AF23" s="1">
        <v>2</v>
      </c>
      <c r="AG23" s="1">
        <v>3</v>
      </c>
      <c r="AH23" s="1">
        <v>2</v>
      </c>
      <c r="AI23" s="1">
        <v>2</v>
      </c>
      <c r="AJ23" s="1">
        <v>2</v>
      </c>
      <c r="AK23" s="1">
        <v>2</v>
      </c>
      <c r="AL23" s="1">
        <v>2</v>
      </c>
      <c r="AM23" s="1">
        <v>3</v>
      </c>
      <c r="AN23" s="1">
        <v>5</v>
      </c>
      <c r="AO23" s="1">
        <v>3</v>
      </c>
      <c r="AP23" s="1">
        <v>3</v>
      </c>
      <c r="AQ23" s="1">
        <v>2</v>
      </c>
      <c r="AR23" s="1">
        <v>3</v>
      </c>
      <c r="AS23" s="1">
        <v>2</v>
      </c>
      <c r="AT23" s="1">
        <v>2</v>
      </c>
      <c r="AU23" s="1">
        <v>2</v>
      </c>
      <c r="AV23" s="1">
        <v>3</v>
      </c>
      <c r="AW23" s="1">
        <v>5</v>
      </c>
      <c r="AX23" s="1">
        <v>2</v>
      </c>
      <c r="AY23" s="1">
        <v>3</v>
      </c>
      <c r="AZ23" s="1">
        <v>2</v>
      </c>
      <c r="BA23" s="1">
        <v>3</v>
      </c>
      <c r="BB23" s="1">
        <v>5</v>
      </c>
      <c r="BC23" s="1">
        <v>3</v>
      </c>
      <c r="BD23" s="1">
        <v>2</v>
      </c>
      <c r="BE23" s="1">
        <v>3</v>
      </c>
      <c r="BF23" s="1"/>
    </row>
    <row r="24" spans="1:58" x14ac:dyDescent="0.25">
      <c r="A24" s="21">
        <v>3</v>
      </c>
      <c r="B24" s="1">
        <v>2</v>
      </c>
      <c r="C24" s="1">
        <v>2</v>
      </c>
      <c r="D24" s="1">
        <v>3</v>
      </c>
      <c r="E24" s="1">
        <v>3</v>
      </c>
      <c r="F24" s="1">
        <v>5</v>
      </c>
      <c r="G24" s="1">
        <v>2</v>
      </c>
      <c r="H24" s="1">
        <v>2</v>
      </c>
      <c r="I24" s="1">
        <v>5</v>
      </c>
      <c r="J24" s="1">
        <v>2</v>
      </c>
      <c r="K24" s="1">
        <v>3</v>
      </c>
      <c r="L24" s="1">
        <v>4</v>
      </c>
      <c r="M24" s="1">
        <v>2</v>
      </c>
      <c r="N24" s="1">
        <v>2</v>
      </c>
      <c r="O24" s="1">
        <v>2</v>
      </c>
      <c r="P24" s="1">
        <v>3</v>
      </c>
      <c r="Q24" s="1">
        <v>3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5</v>
      </c>
      <c r="X24" s="1">
        <v>2</v>
      </c>
      <c r="Y24" s="1">
        <v>2</v>
      </c>
      <c r="Z24" s="1">
        <v>2</v>
      </c>
      <c r="AA24" s="1">
        <v>3</v>
      </c>
      <c r="AB24" s="1">
        <v>3</v>
      </c>
      <c r="AC24" s="1">
        <v>2</v>
      </c>
      <c r="AD24" s="1">
        <v>3</v>
      </c>
      <c r="AE24" s="1">
        <v>2</v>
      </c>
      <c r="AF24" s="1">
        <v>2</v>
      </c>
      <c r="AG24" s="1">
        <v>4</v>
      </c>
      <c r="AH24" s="1">
        <v>2</v>
      </c>
      <c r="AI24" s="1">
        <v>3</v>
      </c>
      <c r="AJ24" s="1">
        <v>4</v>
      </c>
      <c r="AK24" s="1">
        <v>3</v>
      </c>
      <c r="AL24" s="1">
        <v>3</v>
      </c>
      <c r="AM24" s="1">
        <v>2</v>
      </c>
      <c r="AN24" s="1">
        <v>3</v>
      </c>
      <c r="AO24" s="1">
        <v>2</v>
      </c>
      <c r="AP24" s="1">
        <v>2</v>
      </c>
      <c r="AQ24" s="1">
        <v>2</v>
      </c>
      <c r="AR24" s="1">
        <v>3</v>
      </c>
      <c r="AS24" s="1">
        <v>2</v>
      </c>
      <c r="AT24" s="1">
        <v>3</v>
      </c>
      <c r="AU24" s="1">
        <v>2</v>
      </c>
      <c r="AV24" s="1">
        <v>2</v>
      </c>
      <c r="AW24" s="1">
        <v>3</v>
      </c>
      <c r="AX24" s="1">
        <v>4</v>
      </c>
      <c r="AY24" s="1">
        <v>2</v>
      </c>
      <c r="AZ24" s="1">
        <v>2</v>
      </c>
      <c r="BA24" s="1">
        <v>3</v>
      </c>
      <c r="BB24" s="1">
        <v>2</v>
      </c>
      <c r="BC24" s="1">
        <v>3</v>
      </c>
      <c r="BD24" s="1">
        <v>2</v>
      </c>
      <c r="BE24" s="1">
        <v>5</v>
      </c>
      <c r="BF24" s="1"/>
    </row>
    <row r="25" spans="1:58" x14ac:dyDescent="0.25">
      <c r="A25" s="21">
        <v>2</v>
      </c>
      <c r="B25" s="1">
        <v>2</v>
      </c>
      <c r="C25" s="1">
        <v>2</v>
      </c>
      <c r="D25" s="1">
        <v>5</v>
      </c>
      <c r="E25" s="1">
        <v>4</v>
      </c>
      <c r="F25" s="1">
        <v>2</v>
      </c>
      <c r="G25" s="1">
        <v>5</v>
      </c>
      <c r="H25" s="1">
        <v>2</v>
      </c>
      <c r="I25" s="1">
        <v>2</v>
      </c>
      <c r="J25" s="21">
        <v>2</v>
      </c>
      <c r="K25" s="1">
        <v>5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4</v>
      </c>
      <c r="W25" s="1">
        <v>2</v>
      </c>
      <c r="X25" s="1">
        <v>2</v>
      </c>
      <c r="Y25" s="1">
        <v>2</v>
      </c>
      <c r="Z25" s="1">
        <v>3</v>
      </c>
      <c r="AA25" s="1">
        <v>2</v>
      </c>
      <c r="AB25" s="1">
        <v>3</v>
      </c>
      <c r="AC25" s="1">
        <v>2</v>
      </c>
      <c r="AD25" s="1">
        <v>4</v>
      </c>
      <c r="AE25" s="1">
        <v>2</v>
      </c>
      <c r="AF25" s="1">
        <v>2</v>
      </c>
      <c r="AG25" s="1">
        <v>3</v>
      </c>
      <c r="AH25" s="1">
        <v>2</v>
      </c>
      <c r="AI25" s="1">
        <v>3</v>
      </c>
      <c r="AJ25" s="1">
        <v>3</v>
      </c>
      <c r="AK25" s="1">
        <v>3</v>
      </c>
      <c r="AL25" s="1">
        <v>2</v>
      </c>
      <c r="AM25" s="1">
        <v>3</v>
      </c>
      <c r="AN25" s="1">
        <v>3</v>
      </c>
      <c r="AO25" s="1">
        <v>2</v>
      </c>
      <c r="AP25" s="1">
        <v>2</v>
      </c>
      <c r="AQ25" s="1">
        <v>3</v>
      </c>
      <c r="AR25" s="1">
        <v>5</v>
      </c>
      <c r="AS25" s="1">
        <v>2</v>
      </c>
      <c r="AT25" s="1">
        <v>2</v>
      </c>
      <c r="AU25" s="1">
        <v>2</v>
      </c>
      <c r="AV25" s="1">
        <v>3</v>
      </c>
      <c r="AW25" s="1">
        <v>3</v>
      </c>
      <c r="AX25" s="1">
        <v>4</v>
      </c>
      <c r="AY25" s="1">
        <v>2</v>
      </c>
      <c r="AZ25" s="1">
        <v>4</v>
      </c>
      <c r="BA25" s="1">
        <v>2</v>
      </c>
      <c r="BB25" s="1">
        <v>2</v>
      </c>
      <c r="BC25" s="1">
        <v>2</v>
      </c>
      <c r="BD25" s="1">
        <v>2</v>
      </c>
      <c r="BE25" s="1">
        <v>2</v>
      </c>
      <c r="BF25" s="1"/>
    </row>
    <row r="26" spans="1:58" x14ac:dyDescent="0.25">
      <c r="A26" s="21">
        <v>2</v>
      </c>
      <c r="B26" s="1">
        <v>2</v>
      </c>
      <c r="C26" s="1">
        <v>2</v>
      </c>
      <c r="D26" s="1">
        <v>4</v>
      </c>
      <c r="E26" s="1">
        <v>2</v>
      </c>
      <c r="F26" s="1">
        <v>5</v>
      </c>
      <c r="G26" s="1">
        <v>2</v>
      </c>
      <c r="H26" s="1">
        <v>5</v>
      </c>
      <c r="I26" s="1">
        <v>3</v>
      </c>
      <c r="J26" s="21">
        <v>2</v>
      </c>
      <c r="K26" s="1">
        <v>4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3</v>
      </c>
      <c r="W26" s="1">
        <v>2</v>
      </c>
      <c r="X26" s="1">
        <v>4</v>
      </c>
      <c r="Y26" s="1">
        <v>2</v>
      </c>
      <c r="Z26" s="1">
        <v>2</v>
      </c>
      <c r="AA26" s="1">
        <v>3</v>
      </c>
      <c r="AB26" s="1">
        <v>4</v>
      </c>
      <c r="AC26" s="1">
        <v>2</v>
      </c>
      <c r="AD26" s="1">
        <v>3</v>
      </c>
      <c r="AE26" s="1">
        <v>3</v>
      </c>
      <c r="AF26" s="1">
        <v>3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  <c r="AL26" s="1">
        <v>2</v>
      </c>
      <c r="AM26" s="1">
        <v>4</v>
      </c>
      <c r="AN26" s="1">
        <v>2</v>
      </c>
      <c r="AO26" s="1">
        <v>3</v>
      </c>
      <c r="AP26" s="1">
        <v>2</v>
      </c>
      <c r="AQ26" s="1">
        <v>2</v>
      </c>
      <c r="AR26" s="1">
        <v>2</v>
      </c>
      <c r="AS26" s="1">
        <v>3</v>
      </c>
      <c r="AT26" s="1">
        <v>3</v>
      </c>
      <c r="AU26" s="1">
        <v>2</v>
      </c>
      <c r="AV26" s="1">
        <v>2</v>
      </c>
      <c r="AW26" s="1">
        <v>2</v>
      </c>
      <c r="AX26" s="1">
        <v>2</v>
      </c>
      <c r="AY26" s="1">
        <v>5</v>
      </c>
      <c r="AZ26" s="1">
        <v>4</v>
      </c>
      <c r="BA26" s="1">
        <v>2</v>
      </c>
      <c r="BB26" s="1">
        <v>2</v>
      </c>
      <c r="BC26" s="1">
        <v>2</v>
      </c>
      <c r="BD26" s="1">
        <v>2</v>
      </c>
      <c r="BE26" s="1">
        <v>2</v>
      </c>
      <c r="BF26" s="1"/>
    </row>
    <row r="27" spans="1:58" x14ac:dyDescent="0.25">
      <c r="A27" s="21">
        <v>2</v>
      </c>
      <c r="B27" s="1">
        <v>2</v>
      </c>
      <c r="C27" s="1">
        <v>3</v>
      </c>
      <c r="D27" s="1">
        <v>3</v>
      </c>
      <c r="E27" s="1">
        <v>5</v>
      </c>
      <c r="F27" s="1">
        <v>2</v>
      </c>
      <c r="G27" s="1">
        <v>2</v>
      </c>
      <c r="H27" s="1">
        <v>2</v>
      </c>
      <c r="I27" s="1">
        <v>2</v>
      </c>
      <c r="J27" s="21">
        <v>3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4</v>
      </c>
      <c r="Q27" s="1">
        <v>2</v>
      </c>
      <c r="R27" s="1">
        <v>2</v>
      </c>
      <c r="S27" s="1">
        <v>2</v>
      </c>
      <c r="T27" s="1">
        <v>3</v>
      </c>
      <c r="U27" s="1">
        <v>3</v>
      </c>
      <c r="V27" s="1">
        <v>2</v>
      </c>
      <c r="W27" s="1">
        <v>4</v>
      </c>
      <c r="X27" s="1">
        <v>3</v>
      </c>
      <c r="Y27" s="1">
        <v>2</v>
      </c>
      <c r="Z27" s="1">
        <v>3</v>
      </c>
      <c r="AA27" s="1">
        <v>2</v>
      </c>
      <c r="AB27" s="1">
        <v>3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3</v>
      </c>
      <c r="AM27" s="1">
        <v>4</v>
      </c>
      <c r="AN27" s="1">
        <v>2</v>
      </c>
      <c r="AO27" s="1">
        <v>2</v>
      </c>
      <c r="AP27" s="1">
        <v>4</v>
      </c>
      <c r="AQ27" s="1">
        <v>2</v>
      </c>
      <c r="AR27" s="1">
        <v>3</v>
      </c>
      <c r="AS27" s="1">
        <v>5</v>
      </c>
      <c r="AT27" s="1">
        <v>2</v>
      </c>
      <c r="AU27" s="1">
        <v>2</v>
      </c>
      <c r="AV27" s="1">
        <v>2</v>
      </c>
      <c r="AW27" s="1">
        <v>4</v>
      </c>
      <c r="AX27" s="1">
        <v>2</v>
      </c>
      <c r="AY27" s="1">
        <v>2</v>
      </c>
      <c r="AZ27" s="1">
        <v>2</v>
      </c>
      <c r="BA27" s="1">
        <v>2</v>
      </c>
      <c r="BB27" s="1">
        <v>4</v>
      </c>
      <c r="BC27" s="1">
        <v>4</v>
      </c>
      <c r="BD27" s="1">
        <v>2</v>
      </c>
      <c r="BE27" s="1">
        <v>2</v>
      </c>
      <c r="BF27" s="1"/>
    </row>
    <row r="28" spans="1:58" x14ac:dyDescent="0.25">
      <c r="A28" s="21">
        <v>2</v>
      </c>
      <c r="B28" s="1">
        <v>2</v>
      </c>
      <c r="C28" s="1">
        <v>2</v>
      </c>
      <c r="D28" s="1">
        <v>3</v>
      </c>
      <c r="E28" s="1">
        <v>4</v>
      </c>
      <c r="F28" s="1">
        <v>5</v>
      </c>
      <c r="G28" s="1">
        <v>2</v>
      </c>
      <c r="H28" s="1">
        <v>2</v>
      </c>
      <c r="I28" s="1">
        <v>2</v>
      </c>
      <c r="J28" s="21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3</v>
      </c>
      <c r="AB28" s="1">
        <v>2</v>
      </c>
      <c r="AC28" s="1">
        <v>3</v>
      </c>
      <c r="AD28" s="1">
        <v>3</v>
      </c>
      <c r="AE28" s="1">
        <v>2</v>
      </c>
      <c r="AF28" s="1">
        <v>2</v>
      </c>
      <c r="AG28" s="1">
        <v>4</v>
      </c>
      <c r="AH28" s="1">
        <v>2</v>
      </c>
      <c r="AI28" s="1">
        <v>5</v>
      </c>
      <c r="AJ28" s="1">
        <v>3</v>
      </c>
      <c r="AK28" s="1">
        <v>2</v>
      </c>
      <c r="AL28" s="1">
        <v>2</v>
      </c>
      <c r="AM28" s="1">
        <v>3</v>
      </c>
      <c r="AN28" s="1">
        <v>2</v>
      </c>
      <c r="AO28" s="1">
        <v>2</v>
      </c>
      <c r="AP28" s="1">
        <v>5</v>
      </c>
      <c r="AQ28" s="1">
        <v>2</v>
      </c>
      <c r="AR28" s="1">
        <v>2</v>
      </c>
      <c r="AS28" s="1">
        <v>2</v>
      </c>
      <c r="AT28" s="1">
        <v>2</v>
      </c>
      <c r="AU28" s="1">
        <v>2</v>
      </c>
      <c r="AV28" s="1">
        <v>2</v>
      </c>
      <c r="AW28" s="1">
        <v>2</v>
      </c>
      <c r="AX28" s="1">
        <v>2</v>
      </c>
      <c r="AY28" s="1">
        <v>2</v>
      </c>
      <c r="AZ28" s="1">
        <v>4</v>
      </c>
      <c r="BA28" s="1">
        <v>3</v>
      </c>
      <c r="BB28" s="1">
        <v>2</v>
      </c>
      <c r="BC28" s="1">
        <v>5</v>
      </c>
      <c r="BD28" s="1">
        <v>2</v>
      </c>
      <c r="BE28" s="1">
        <v>2</v>
      </c>
      <c r="BF28" s="1"/>
    </row>
    <row r="29" spans="1:58" x14ac:dyDescent="0.25">
      <c r="A29" s="21">
        <v>2</v>
      </c>
      <c r="B29" s="1">
        <v>2</v>
      </c>
      <c r="C29" s="1">
        <v>2</v>
      </c>
      <c r="D29" s="1">
        <v>2</v>
      </c>
      <c r="E29" s="1">
        <v>4</v>
      </c>
      <c r="F29" s="1">
        <v>2</v>
      </c>
      <c r="G29" s="1">
        <v>3</v>
      </c>
      <c r="H29" s="1">
        <v>2</v>
      </c>
      <c r="I29" s="1">
        <v>2</v>
      </c>
      <c r="J29" s="21">
        <v>3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4</v>
      </c>
      <c r="Q29" s="1">
        <v>3</v>
      </c>
      <c r="R29" s="1">
        <v>4</v>
      </c>
      <c r="S29" s="1">
        <v>2</v>
      </c>
      <c r="T29" s="1">
        <v>3</v>
      </c>
      <c r="U29" s="1">
        <v>2</v>
      </c>
      <c r="V29" s="1">
        <v>2</v>
      </c>
      <c r="W29" s="1">
        <v>2</v>
      </c>
      <c r="X29" s="1">
        <v>4</v>
      </c>
      <c r="Y29" s="1">
        <v>3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5</v>
      </c>
      <c r="AF29" s="1">
        <v>2</v>
      </c>
      <c r="AG29" s="1">
        <v>2</v>
      </c>
      <c r="AH29" s="1">
        <v>2</v>
      </c>
      <c r="AI29" s="1">
        <v>5</v>
      </c>
      <c r="AJ29" s="1">
        <v>2</v>
      </c>
      <c r="AK29" s="1">
        <v>2</v>
      </c>
      <c r="AL29" s="1">
        <v>5</v>
      </c>
      <c r="AM29" s="1">
        <v>3</v>
      </c>
      <c r="AN29" s="1">
        <v>2</v>
      </c>
      <c r="AO29" s="1">
        <v>2</v>
      </c>
      <c r="AP29" s="1">
        <v>2</v>
      </c>
      <c r="AQ29" s="1">
        <v>2</v>
      </c>
      <c r="AR29" s="1">
        <v>2</v>
      </c>
      <c r="AS29" s="1">
        <v>3</v>
      </c>
      <c r="AT29" s="1">
        <v>2</v>
      </c>
      <c r="AU29" s="1">
        <v>5</v>
      </c>
      <c r="AV29" s="1">
        <v>2</v>
      </c>
      <c r="AW29" s="1">
        <v>2</v>
      </c>
      <c r="AX29" s="1">
        <v>2</v>
      </c>
      <c r="AY29" s="1">
        <v>2</v>
      </c>
      <c r="AZ29" s="1">
        <v>2</v>
      </c>
      <c r="BA29" s="1">
        <v>2</v>
      </c>
      <c r="BB29" s="1">
        <v>2</v>
      </c>
      <c r="BC29" s="1">
        <v>4</v>
      </c>
      <c r="BD29" s="1">
        <v>2</v>
      </c>
      <c r="BE29" s="1">
        <v>2</v>
      </c>
      <c r="BF29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3DDB-749F-4B41-A9B1-4DD9836EDC31}">
  <sheetPr>
    <tabColor theme="5"/>
  </sheetPr>
  <dimension ref="A1"/>
  <sheetViews>
    <sheetView workbookViewId="0">
      <selection sqref="A1:XFD1048576"/>
    </sheetView>
  </sheetViews>
  <sheetFormatPr defaultColWidth="2.85546875" defaultRowHeight="15" x14ac:dyDescent="0.25"/>
  <cols>
    <col min="1" max="16384" width="2.85546875" style="1"/>
  </cols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AFC9C-A4C0-4709-8639-7097D9F704B6}">
  <sheetPr>
    <tabColor theme="5"/>
  </sheetPr>
  <dimension ref="A1"/>
  <sheetViews>
    <sheetView workbookViewId="0">
      <selection sqref="A1:XFD1048576"/>
    </sheetView>
  </sheetViews>
  <sheetFormatPr defaultColWidth="2.85546875" defaultRowHeight="15" x14ac:dyDescent="0.25"/>
  <cols>
    <col min="1" max="16384" width="2.8554687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0E02-6FBB-4CB6-AB14-C8ED71D76AE9}">
  <sheetPr>
    <tabColor rgb="FF00B050"/>
  </sheetPr>
  <dimension ref="A1:AI16"/>
  <sheetViews>
    <sheetView zoomScaleNormal="100" zoomScaleSheetLayoutView="100" workbookViewId="0">
      <selection activeCell="Q7" sqref="Q7"/>
    </sheetView>
  </sheetViews>
  <sheetFormatPr defaultColWidth="8.5703125" defaultRowHeight="15" x14ac:dyDescent="0.25"/>
  <cols>
    <col min="1" max="1" width="4.85546875" style="39" customWidth="1"/>
    <col min="2" max="2" width="6.140625" style="39" customWidth="1"/>
    <col min="3" max="3" width="6.28515625" style="72" customWidth="1"/>
    <col min="4" max="4" width="6.85546875" style="139" customWidth="1"/>
    <col min="5" max="5" width="5.5703125" style="139" customWidth="1"/>
    <col min="6" max="6" width="6.28515625" style="139" customWidth="1"/>
    <col min="7" max="9" width="6.28515625" style="39" customWidth="1"/>
    <col min="10" max="10" width="5.85546875" style="39" customWidth="1"/>
    <col min="11" max="11" width="7.7109375" style="139" customWidth="1"/>
    <col min="12" max="12" width="6.85546875" style="139" customWidth="1"/>
    <col min="13" max="13" width="5.5703125" style="139" customWidth="1"/>
    <col min="14" max="14" width="6.7109375" style="70" customWidth="1"/>
    <col min="15" max="15" width="23.7109375" style="39" customWidth="1"/>
    <col min="16" max="16" width="6.28515625" style="39" customWidth="1"/>
    <col min="17" max="17" width="6.85546875" style="39" customWidth="1"/>
    <col min="18" max="18" width="7.5703125" style="39" customWidth="1"/>
    <col min="19" max="19" width="8.28515625" style="39" customWidth="1"/>
    <col min="20" max="20" width="7.140625" style="171" customWidth="1"/>
    <col min="21" max="21" width="8.5703125" style="39"/>
    <col min="22" max="38" width="7.140625" style="39" customWidth="1"/>
    <col min="39" max="16384" width="8.5703125" style="39"/>
  </cols>
  <sheetData>
    <row r="1" spans="1:35" ht="15" customHeight="1" x14ac:dyDescent="0.25">
      <c r="A1" s="205"/>
      <c r="B1" s="206"/>
      <c r="C1" s="207" t="s">
        <v>26</v>
      </c>
      <c r="D1" s="208" t="s">
        <v>125</v>
      </c>
      <c r="E1" s="208" t="s">
        <v>126</v>
      </c>
      <c r="F1" s="209" t="s">
        <v>110</v>
      </c>
      <c r="G1" s="210" t="s">
        <v>111</v>
      </c>
      <c r="H1" s="210" t="s">
        <v>112</v>
      </c>
      <c r="I1" s="211" t="s">
        <v>74</v>
      </c>
      <c r="J1" s="212" t="s">
        <v>113</v>
      </c>
      <c r="K1" s="208" t="s">
        <v>123</v>
      </c>
      <c r="L1" s="208" t="s">
        <v>125</v>
      </c>
      <c r="M1" s="208" t="s">
        <v>126</v>
      </c>
      <c r="N1" s="213" t="s">
        <v>27</v>
      </c>
      <c r="O1" s="206" t="s">
        <v>28</v>
      </c>
      <c r="P1" s="206" t="s">
        <v>29</v>
      </c>
      <c r="Q1" s="214" t="s">
        <v>75</v>
      </c>
      <c r="R1" s="206" t="s">
        <v>31</v>
      </c>
      <c r="S1" s="206" t="s">
        <v>32</v>
      </c>
      <c r="T1" s="215" t="s">
        <v>33</v>
      </c>
      <c r="V1" s="82"/>
      <c r="W1" s="46" t="s">
        <v>31</v>
      </c>
      <c r="X1" s="46" t="s">
        <v>106</v>
      </c>
      <c r="Y1" s="46" t="s">
        <v>108</v>
      </c>
      <c r="Z1" s="46" t="s">
        <v>107</v>
      </c>
      <c r="AA1" s="46" t="s">
        <v>118</v>
      </c>
      <c r="AB1" s="46" t="s">
        <v>119</v>
      </c>
      <c r="AC1" s="46" t="s">
        <v>120</v>
      </c>
    </row>
    <row r="2" spans="1:35" ht="15" customHeight="1" x14ac:dyDescent="0.25">
      <c r="A2" s="370" t="s">
        <v>14</v>
      </c>
      <c r="B2" s="194" t="s">
        <v>108</v>
      </c>
      <c r="C2" s="195">
        <v>973</v>
      </c>
      <c r="D2" s="198">
        <f>(C2-MIN(DATA_IO_OWNED_SMALL))/(MAX(DATA_IO_OWNED_SMALL)-MIN(DATA_IO_OWNED_SMALL))</f>
        <v>0.26075504828797191</v>
      </c>
      <c r="E2" s="195">
        <f>C2-MAX(DATA_IO_OWNED_SMALL)</f>
        <v>-2526</v>
      </c>
      <c r="F2" s="196">
        <f>VLOOKUP($W$9,DATA_IO,5,TRUE)+VLOOKUP($W$10,DATA_IO,5,TRUE)+VLOOKUP($AC$9,DATA_IO,5,TRUE)+VLOOKUP($AC$10,DATA_IO,5,TRUE)</f>
        <v>0</v>
      </c>
      <c r="G2" s="197">
        <f t="shared" ref="G2:G11" si="0">H2-N2</f>
        <v>5720</v>
      </c>
      <c r="H2" s="197">
        <f>D迎擊!$AQ$3*4</f>
        <v>5720</v>
      </c>
      <c r="I2" s="195">
        <f>IF(F2-C2 &lt;= 0,ABS(F2-C2),"")</f>
        <v>973</v>
      </c>
      <c r="J2" s="195">
        <f>IFERROR(FLOOR(I2/IO_WEAPON_434,1),"")</f>
        <v>3</v>
      </c>
      <c r="K2" s="195">
        <f>I2+I3*IO_EXCHANGE_BIG_TO_SMALL</f>
        <v>5062</v>
      </c>
      <c r="L2" s="198">
        <f>(K2-MIN(DATA_IO_EXTRA_EXCHANGED_SMALL))/(MAX(DATA_IO_EXTRA_EXCHANGED_SMALL)-MIN(DATA_IO_EXTRA_EXCHANGED_SMALL))</f>
        <v>0.11211959423384944</v>
      </c>
      <c r="M2" s="195">
        <f>K2-MAX(DATA_IO_EXTRA_EXCHANGED_SMALL)</f>
        <v>-4989</v>
      </c>
      <c r="N2" s="195">
        <f t="shared" ref="N2:N11" si="1">IF(F2-C2 &lt; 0,0,F2-C2)</f>
        <v>0</v>
      </c>
      <c r="O2" s="199">
        <f t="shared" ref="O2:O16" si="2">IF(G2/H2 &gt; 1,100%,G2/H2)</f>
        <v>1</v>
      </c>
      <c r="P2" s="200">
        <f t="shared" ref="P2:P9" si="3">IFERROR(ROUND(N2/S2,0),0)</f>
        <v>0</v>
      </c>
      <c r="Q2" s="200">
        <f>IFERROR(ROUND(N2/$S$12,0),0)</f>
        <v>0</v>
      </c>
      <c r="R2" s="201">
        <f>Q2/(WINGS_RECOVER_NUM/WINGS_CONSUME_IO)*WINGS_RECOVER_DIAMS</f>
        <v>0</v>
      </c>
      <c r="S2" s="202">
        <f>IFERROR(SUMPRODUCT(D迎擊!A:A,D迎擊!C:C)/SUM(D迎擊!C:C),0)</f>
        <v>3.5347793567688854</v>
      </c>
      <c r="T2" s="203">
        <f>SUM(D迎擊!C:C)</f>
        <v>1337</v>
      </c>
      <c r="V2" s="46" t="s">
        <v>57</v>
      </c>
      <c r="W2" s="89">
        <v>67611</v>
      </c>
      <c r="X2" s="89">
        <v>12</v>
      </c>
      <c r="Y2" s="89">
        <v>3531</v>
      </c>
      <c r="Z2" s="89">
        <v>383</v>
      </c>
      <c r="AA2" s="89">
        <v>7163</v>
      </c>
      <c r="AB2" s="89">
        <v>10018</v>
      </c>
      <c r="AC2" s="89">
        <v>81708</v>
      </c>
    </row>
    <row r="3" spans="1:35" ht="15" customHeight="1" x14ac:dyDescent="0.25">
      <c r="A3" s="371"/>
      <c r="B3" s="175" t="s">
        <v>107</v>
      </c>
      <c r="C3" s="176">
        <v>1363</v>
      </c>
      <c r="D3" s="179">
        <f>(C3-MIN(DATA_IO_OWNED_BIG))/(MAX(DATA_IO_OWNED_BIG)-MIN(DATA_IO_OWNED_BIG))</f>
        <v>0.4658990256864482</v>
      </c>
      <c r="E3" s="176">
        <f>C3-MAX(DATA_IO_OWNED_BIG)</f>
        <v>-1206</v>
      </c>
      <c r="F3" s="177">
        <f>VLOOKUP($W$9,DATA_IO,6,TRUE)+VLOOKUP($W$10,DATA_IO,6,TRUE)+VLOOKUP($AC$9,DATA_IO,6,TRUE)+VLOOKUP($AC$10,DATA_IO,6,TRUE)</f>
        <v>0</v>
      </c>
      <c r="G3" s="178">
        <f t="shared" si="0"/>
        <v>800</v>
      </c>
      <c r="H3" s="178">
        <f>D迎擊!$AR$3*4</f>
        <v>800</v>
      </c>
      <c r="I3" s="176">
        <f t="shared" ref="I3:I11" si="4">IF(F3-C3 &lt;= 0,ABS(F3-C3),"")</f>
        <v>1363</v>
      </c>
      <c r="J3" s="176">
        <f>IFERROR(FLOOR(I3/IO_WEAPON_530,1),"")</f>
        <v>6</v>
      </c>
      <c r="K3" s="176">
        <f>I3+I2*IO_EXCHANGE_SMALL_TO_BIG</f>
        <v>1525.1666666666667</v>
      </c>
      <c r="L3" s="179">
        <f>(K3-MIN(DATA_IO_EXTRA_EXCHANGED_BIG))/(MAX(DATA_IO_EXTRA_EXCHANGED_BIG)-MIN(DATA_IO_EXTRA_EXCHANGED_BIG))</f>
        <v>0.30549503752118135</v>
      </c>
      <c r="M3" s="176">
        <f>K3-MAX(DATA_IO_EXTRA_EXCHANGED_BIG)</f>
        <v>-1434.4999999999998</v>
      </c>
      <c r="N3" s="176">
        <f t="shared" si="1"/>
        <v>0</v>
      </c>
      <c r="O3" s="180">
        <f t="shared" si="2"/>
        <v>1</v>
      </c>
      <c r="P3" s="181">
        <f t="shared" si="3"/>
        <v>0</v>
      </c>
      <c r="Q3" s="181">
        <f>IFERROR(ROUND(N3/$S$13,0),0)</f>
        <v>0</v>
      </c>
      <c r="R3" s="182">
        <f t="shared" ref="R3:R11" si="5">Q3/(WINGS_RECOVER_NUM/WINGS_CONSUME_IO)*WINGS_RECOVER_DIAMS</f>
        <v>0</v>
      </c>
      <c r="S3" s="183">
        <f>IFERROR(SUMPRODUCT(D迎擊!D:D,D迎擊!F:F)/$T3,0)</f>
        <v>0</v>
      </c>
      <c r="T3" s="204">
        <f>SUM(D迎擊!F:F)</f>
        <v>0</v>
      </c>
      <c r="V3" s="46" t="s">
        <v>58</v>
      </c>
      <c r="W3" s="89">
        <v>67611</v>
      </c>
      <c r="X3" s="89">
        <v>0</v>
      </c>
      <c r="Y3" s="89">
        <v>3551</v>
      </c>
      <c r="Z3" s="89">
        <v>391</v>
      </c>
      <c r="AA3" s="89">
        <v>7175</v>
      </c>
      <c r="AB3" s="89">
        <v>10029</v>
      </c>
      <c r="AC3" s="89">
        <v>81782</v>
      </c>
    </row>
    <row r="4" spans="1:35" x14ac:dyDescent="0.25">
      <c r="A4" s="376" t="s">
        <v>12</v>
      </c>
      <c r="B4" s="216" t="s">
        <v>108</v>
      </c>
      <c r="C4" s="195">
        <v>82</v>
      </c>
      <c r="D4" s="198">
        <f>(C4-MIN(DATA_IO_OWNED_SMALL))/(MAX(DATA_IO_OWNED_SMALL)-MIN(DATA_IO_OWNED_SMALL))</f>
        <v>0</v>
      </c>
      <c r="E4" s="195">
        <f>C4-MAX(DATA_IO_OWNED_SMALL)</f>
        <v>-3417</v>
      </c>
      <c r="F4" s="196">
        <f>VLOOKUP($W$11,DATA_IO,5,TRUE)+VLOOKUP($W$12,DATA_IO,5,TRUE)+VLOOKUP($AC$11,DATA_IO,5,TRUE)+VLOOKUP($AC$12,DATA_IO,5,TRUE)</f>
        <v>0</v>
      </c>
      <c r="G4" s="197">
        <f t="shared" si="0"/>
        <v>5720</v>
      </c>
      <c r="H4" s="197">
        <f>D迎擊!$AQ$3*4</f>
        <v>5720</v>
      </c>
      <c r="I4" s="195">
        <f>IF(F4-C4 &lt;= 0,ABS(F4-C4),"")</f>
        <v>82</v>
      </c>
      <c r="J4" s="195">
        <f>IFERROR(FLOOR(I4/IO_WEAPON_434,1),"")</f>
        <v>0</v>
      </c>
      <c r="K4" s="195">
        <f>I4+I5*IO_EXCHANGE_BIG_TO_SMALL</f>
        <v>7771</v>
      </c>
      <c r="L4" s="198">
        <f>(K4-MIN(DATA_IO_EXTRA_EXCHANGED_SMALL))/(MAX(DATA_IO_EXTRA_EXCHANGED_SMALL)-MIN(DATA_IO_EXTRA_EXCHANGED_SMALL))</f>
        <v>0.59423384943940205</v>
      </c>
      <c r="M4" s="195">
        <f>K4-MAX(DATA_IO_EXTRA_EXCHANGED_SMALL)</f>
        <v>-2280</v>
      </c>
      <c r="N4" s="195">
        <f t="shared" si="1"/>
        <v>0</v>
      </c>
      <c r="O4" s="199">
        <f t="shared" si="2"/>
        <v>1</v>
      </c>
      <c r="P4" s="217">
        <f t="shared" si="3"/>
        <v>0</v>
      </c>
      <c r="Q4" s="217">
        <f>IFERROR(ROUND(N4/$S$12,0),0)</f>
        <v>0</v>
      </c>
      <c r="R4" s="218">
        <f>Q4/(WINGS_RECOVER_NUM/WINGS_CONSUME_IO)*WINGS_RECOVER_DIAMS</f>
        <v>0</v>
      </c>
      <c r="S4" s="219">
        <f>IFERROR(SUMPRODUCT(D迎擊!G:G,D迎擊!I:I)/SUM(D迎擊!I:I),0)</f>
        <v>3.4778660612939842</v>
      </c>
      <c r="T4" s="220">
        <f>SUM(D迎擊!I:I)</f>
        <v>881</v>
      </c>
    </row>
    <row r="5" spans="1:35" x14ac:dyDescent="0.25">
      <c r="A5" s="377"/>
      <c r="B5" s="221" t="s">
        <v>107</v>
      </c>
      <c r="C5" s="176">
        <v>2563</v>
      </c>
      <c r="D5" s="179">
        <f>(C5-MIN(DATA_IO_OWNED_BIG))/(MAX(DATA_IO_OWNED_BIG)-MIN(DATA_IO_OWNED_BIG))</f>
        <v>0.99734278122232067</v>
      </c>
      <c r="E5" s="176">
        <f>C5-MAX(DATA_IO_OWNED_BIG)</f>
        <v>-6</v>
      </c>
      <c r="F5" s="177">
        <f>VLOOKUP($W$11,DATA_IO,6,TRUE)+VLOOKUP($W$12,DATA_IO,6,TRUE)+VLOOKUP($AC$11,DATA_IO,6,TRUE)+VLOOKUP($AC$12,DATA_IO,6,TRUE)</f>
        <v>0</v>
      </c>
      <c r="G5" s="178">
        <f t="shared" si="0"/>
        <v>800</v>
      </c>
      <c r="H5" s="178">
        <f>D迎擊!$AR$3*4</f>
        <v>800</v>
      </c>
      <c r="I5" s="176">
        <f t="shared" si="4"/>
        <v>2563</v>
      </c>
      <c r="J5" s="176">
        <f>IFERROR(FLOOR(I5/IO_WEAPON_530,1),"")</f>
        <v>12</v>
      </c>
      <c r="K5" s="176">
        <f>I5+I4*IO_EXCHANGE_SMALL_TO_BIG</f>
        <v>2576.6666666666665</v>
      </c>
      <c r="L5" s="179">
        <f>(K5-MIN(DATA_IO_EXTRA_EXCHANGED_BIG))/(MAX(DATA_IO_EXTRA_EXCHANGED_BIG)-MIN(DATA_IO_EXTRA_EXCHANGED_BIG))</f>
        <v>0.81457274267731783</v>
      </c>
      <c r="M5" s="176">
        <f>K5-MAX(DATA_IO_EXTRA_EXCHANGED_BIG)</f>
        <v>-383</v>
      </c>
      <c r="N5" s="176">
        <f t="shared" si="1"/>
        <v>0</v>
      </c>
      <c r="O5" s="180">
        <f t="shared" si="2"/>
        <v>1</v>
      </c>
      <c r="P5" s="222">
        <f t="shared" si="3"/>
        <v>0</v>
      </c>
      <c r="Q5" s="222">
        <f>IFERROR(ROUND(N5/$S$13,0),0)</f>
        <v>0</v>
      </c>
      <c r="R5" s="223">
        <f t="shared" si="5"/>
        <v>0</v>
      </c>
      <c r="S5" s="224">
        <f>IFERROR(SUMPRODUCT(D迎擊!J:J,D迎擊!L:L)/$T5,0)</f>
        <v>0</v>
      </c>
      <c r="T5" s="225">
        <f>SUM(D迎擊!L:L)</f>
        <v>0</v>
      </c>
      <c r="V5" s="46" t="s">
        <v>29</v>
      </c>
      <c r="X5" s="46" t="s">
        <v>64</v>
      </c>
      <c r="Y5" s="19">
        <f>Y3-Y2</f>
        <v>20</v>
      </c>
      <c r="Z5" s="19">
        <f>Z3-Z2</f>
        <v>8</v>
      </c>
      <c r="AA5" s="19">
        <f>AA3-AA2</f>
        <v>12</v>
      </c>
      <c r="AB5" s="19">
        <f>AB3-AB2</f>
        <v>11</v>
      </c>
      <c r="AC5" s="19">
        <f>AC3-AC2</f>
        <v>74</v>
      </c>
    </row>
    <row r="6" spans="1:35" ht="15.75" x14ac:dyDescent="0.25">
      <c r="A6" s="372" t="s">
        <v>11</v>
      </c>
      <c r="B6" s="226" t="s">
        <v>108</v>
      </c>
      <c r="C6" s="195">
        <v>3499</v>
      </c>
      <c r="D6" s="198">
        <f>(C6-MIN(DATA_IO_OWNED_SMALL))/(MAX(DATA_IO_OWNED_SMALL)-MIN(DATA_IO_OWNED_SMALL))</f>
        <v>1</v>
      </c>
      <c r="E6" s="195">
        <f>C6-MAX(DATA_IO_OWNED_SMALL)</f>
        <v>0</v>
      </c>
      <c r="F6" s="196">
        <f>VLOOKUP($W$13,DATA_IO,5,TRUE)+VLOOKUP($W$14,DATA_IO,5,TRUE)+VLOOKUP($AC$13,DATA_IO,5,TRUE)+VLOOKUP($AC$14,DATA_IO,5,TRUE)</f>
        <v>0</v>
      </c>
      <c r="G6" s="197">
        <f t="shared" si="0"/>
        <v>5720</v>
      </c>
      <c r="H6" s="197">
        <f>D迎擊!$AQ$3*4</f>
        <v>5720</v>
      </c>
      <c r="I6" s="195">
        <f>IF(F6-C6 &lt;= 0,ABS(F6-C6),"")</f>
        <v>3499</v>
      </c>
      <c r="J6" s="195">
        <f>IFERROR(FLOOR(I6/IO_WEAPON_434,1),"")</f>
        <v>13</v>
      </c>
      <c r="K6" s="195">
        <f>I6+I7*IO_EXCHANGE_BIG_TO_SMALL</f>
        <v>4432</v>
      </c>
      <c r="L6" s="198">
        <f>(K6-MIN(DATA_IO_EXTRA_EXCHANGED_SMALL))/(MAX(DATA_IO_EXTRA_EXCHANGED_SMALL)-MIN(DATA_IO_EXTRA_EXCHANGED_SMALL))</f>
        <v>0</v>
      </c>
      <c r="M6" s="195">
        <f>K6-MAX(DATA_IO_EXTRA_EXCHANGED_SMALL)</f>
        <v>-5619</v>
      </c>
      <c r="N6" s="195">
        <f t="shared" si="1"/>
        <v>0</v>
      </c>
      <c r="O6" s="199">
        <f t="shared" si="2"/>
        <v>1</v>
      </c>
      <c r="P6" s="227">
        <f t="shared" si="3"/>
        <v>0</v>
      </c>
      <c r="Q6" s="227">
        <f>IFERROR(ROUND(N6/$S$12,0),0)</f>
        <v>0</v>
      </c>
      <c r="R6" s="228">
        <f>Q6/(WINGS_RECOVER_NUM/WINGS_CONSUME_IO)*WINGS_RECOVER_DIAMS</f>
        <v>0</v>
      </c>
      <c r="S6" s="229">
        <f>IFERROR(SUMPRODUCT(D迎擊!M:M,D迎擊!O:O)/SUM(D迎擊!O:O),0)</f>
        <v>3.4935064935064934</v>
      </c>
      <c r="T6" s="230">
        <f>SUM(D迎擊!O:O)</f>
        <v>154</v>
      </c>
      <c r="V6" s="81">
        <f>(W2-W3)/WINGS_RECOVER_DIAMS*6 + (X2-X3)/WINGS_CONSUME_VOID</f>
        <v>6</v>
      </c>
      <c r="X6" s="46" t="s">
        <v>32</v>
      </c>
      <c r="Y6" s="19">
        <f>IFERROR(Y5/$V$6,"")</f>
        <v>3.3333333333333335</v>
      </c>
      <c r="Z6" s="19">
        <f>IFERROR(Z5/$V$6,"")</f>
        <v>1.3333333333333333</v>
      </c>
      <c r="AA6" s="19">
        <f>IFERROR(AA5/$V$6,"")</f>
        <v>2</v>
      </c>
      <c r="AB6" s="19">
        <f>IFERROR(AB5/$V$6,"")</f>
        <v>1.8333333333333333</v>
      </c>
      <c r="AC6" s="19">
        <f>IFERROR(AC5/$V$6,"")</f>
        <v>12.333333333333334</v>
      </c>
    </row>
    <row r="7" spans="1:35" x14ac:dyDescent="0.25">
      <c r="A7" s="373"/>
      <c r="B7" s="231" t="s">
        <v>107</v>
      </c>
      <c r="C7" s="176">
        <v>311</v>
      </c>
      <c r="D7" s="179">
        <f>(C7-MIN(DATA_IO_OWNED_BIG))/(MAX(DATA_IO_OWNED_BIG)-MIN(DATA_IO_OWNED_BIG))</f>
        <v>0</v>
      </c>
      <c r="E7" s="176">
        <f>C7-MAX(DATA_IO_OWNED_BIG)</f>
        <v>-2258</v>
      </c>
      <c r="F7" s="177">
        <f>VLOOKUP($W$13,DATA_IO,6,TRUE)+VLOOKUP($W$14,DATA_IO,6,TRUE)+VLOOKUP($AC$13,DATA_IO,6,TRUE)+VLOOKUP($AC$14,DATA_IO,6,TRUE)</f>
        <v>0</v>
      </c>
      <c r="G7" s="178">
        <f t="shared" si="0"/>
        <v>800</v>
      </c>
      <c r="H7" s="178">
        <f>D迎擊!$AR$3*4</f>
        <v>800</v>
      </c>
      <c r="I7" s="176">
        <f t="shared" si="4"/>
        <v>311</v>
      </c>
      <c r="J7" s="176">
        <f>IFERROR(FLOOR(I7/IO_WEAPON_530,1),"")</f>
        <v>1</v>
      </c>
      <c r="K7" s="176">
        <f>I7+I6*IO_EXCHANGE_SMALL_TO_BIG</f>
        <v>894.16666666666663</v>
      </c>
      <c r="L7" s="179">
        <f>(K7-MIN(DATA_IO_EXTRA_EXCHANGED_BIG))/(MAX(DATA_IO_EXTRA_EXCHANGED_BIG)-MIN(DATA_IO_EXTRA_EXCHANGED_BIG))</f>
        <v>0</v>
      </c>
      <c r="M7" s="176">
        <f>K7-MAX(DATA_IO_EXTRA_EXCHANGED_BIG)</f>
        <v>-2065.5</v>
      </c>
      <c r="N7" s="176">
        <f t="shared" si="1"/>
        <v>0</v>
      </c>
      <c r="O7" s="180">
        <f t="shared" si="2"/>
        <v>1</v>
      </c>
      <c r="P7" s="232">
        <f t="shared" si="3"/>
        <v>0</v>
      </c>
      <c r="Q7" s="232">
        <f>IFERROR(ROUND(N7/$S$13,0),0)</f>
        <v>0</v>
      </c>
      <c r="R7" s="233">
        <f t="shared" si="5"/>
        <v>0</v>
      </c>
      <c r="S7" s="234">
        <f>IFERROR(SUMPRODUCT(D迎擊!P:P,D迎擊!R:R)/$T7,0)</f>
        <v>1.3333333333333333</v>
      </c>
      <c r="T7" s="235">
        <f>SUM(D迎擊!R:R)</f>
        <v>12</v>
      </c>
      <c r="AI7" s="62"/>
    </row>
    <row r="8" spans="1:35" x14ac:dyDescent="0.25">
      <c r="A8" s="378" t="s">
        <v>9</v>
      </c>
      <c r="B8" s="236" t="s">
        <v>108</v>
      </c>
      <c r="C8" s="195">
        <v>2344</v>
      </c>
      <c r="D8" s="198">
        <f>(C8-MIN(DATA_IO_OWNED_SMALL))/(MAX(DATA_IO_OWNED_SMALL)-MIN(DATA_IO_OWNED_SMALL))</f>
        <v>0.66198419666374009</v>
      </c>
      <c r="E8" s="195">
        <f>C8-MAX(DATA_IO_OWNED_SMALL)</f>
        <v>-1155</v>
      </c>
      <c r="F8" s="196">
        <f>VLOOKUP($W$15,DATA_IO,5,TRUE)+VLOOKUP($W$16,DATA_IO,5,TRUE)</f>
        <v>0</v>
      </c>
      <c r="G8" s="197">
        <f t="shared" si="0"/>
        <v>2860</v>
      </c>
      <c r="H8" s="197">
        <f>D迎擊!$AQ$3*2</f>
        <v>2860</v>
      </c>
      <c r="I8" s="195">
        <f>IF(F8-C8 &lt;= 0,ABS(F8-C8),"")</f>
        <v>2344</v>
      </c>
      <c r="J8" s="195">
        <f>IFERROR(FLOOR(I8/IO_WEAPON_434,1),"")</f>
        <v>9</v>
      </c>
      <c r="K8" s="195">
        <f>I8+I9*IO_EXCHANGE_BIG_TO_SMALL</f>
        <v>10051</v>
      </c>
      <c r="L8" s="198">
        <f>(K8-MIN(DATA_IO_EXTRA_EXCHANGED_SMALL))/(MAX(DATA_IO_EXTRA_EXCHANGED_SMALL)-MIN(DATA_IO_EXTRA_EXCHANGED_SMALL))</f>
        <v>1</v>
      </c>
      <c r="M8" s="195">
        <f>K8-MAX(DATA_IO_EXTRA_EXCHANGED_SMALL)</f>
        <v>0</v>
      </c>
      <c r="N8" s="195">
        <f t="shared" si="1"/>
        <v>0</v>
      </c>
      <c r="O8" s="199">
        <f t="shared" si="2"/>
        <v>1</v>
      </c>
      <c r="P8" s="237">
        <f t="shared" si="3"/>
        <v>0</v>
      </c>
      <c r="Q8" s="237">
        <f>IFERROR(ROUND(N8/$S$12,0),0)</f>
        <v>0</v>
      </c>
      <c r="R8" s="238">
        <f>Q8/(WINGS_RECOVER_NUM/WINGS_CONSUME_IO)*WINGS_RECOVER_DIAMS</f>
        <v>0</v>
      </c>
      <c r="S8" s="239">
        <f>IFERROR(SUMPRODUCT(D迎擊!S:S,D迎擊!U:U)/T$8,0)</f>
        <v>3.5164960182025027</v>
      </c>
      <c r="T8" s="240">
        <f>SUM(D迎擊!U:U)</f>
        <v>879</v>
      </c>
      <c r="V8" s="46" t="s">
        <v>22</v>
      </c>
      <c r="W8" s="83" t="s">
        <v>19</v>
      </c>
      <c r="X8" s="357" t="s">
        <v>21</v>
      </c>
      <c r="Y8" s="357"/>
      <c r="Z8" s="7" t="s">
        <v>23</v>
      </c>
      <c r="AA8" s="46" t="s">
        <v>24</v>
      </c>
      <c r="AB8" s="18" t="s">
        <v>22</v>
      </c>
      <c r="AC8" s="83" t="s">
        <v>19</v>
      </c>
      <c r="AD8" s="48" t="s">
        <v>21</v>
      </c>
      <c r="AE8" s="135"/>
      <c r="AF8" s="49"/>
      <c r="AG8" s="7" t="s">
        <v>23</v>
      </c>
      <c r="AH8" s="57" t="s">
        <v>24</v>
      </c>
      <c r="AI8" s="62"/>
    </row>
    <row r="9" spans="1:35" x14ac:dyDescent="0.25">
      <c r="A9" s="379"/>
      <c r="B9" s="241" t="s">
        <v>107</v>
      </c>
      <c r="C9" s="176">
        <v>2569</v>
      </c>
      <c r="D9" s="179">
        <f>(C9-MIN(DATA_IO_OWNED_BIG))/(MAX(DATA_IO_OWNED_BIG)-MIN(DATA_IO_OWNED_BIG))</f>
        <v>1</v>
      </c>
      <c r="E9" s="176">
        <f>C9-MAX(DATA_IO_OWNED_BIG)</f>
        <v>0</v>
      </c>
      <c r="F9" s="177">
        <f>VLOOKUP($W$15,DATA_IO,6,TRUE)+VLOOKUP($W$16,DATA_IO,6,TRUE)</f>
        <v>0</v>
      </c>
      <c r="G9" s="178">
        <f t="shared" si="0"/>
        <v>400</v>
      </c>
      <c r="H9" s="178">
        <f>D迎擊!$AR$3*2</f>
        <v>400</v>
      </c>
      <c r="I9" s="176">
        <f t="shared" si="4"/>
        <v>2569</v>
      </c>
      <c r="J9" s="176">
        <f>IFERROR(FLOOR(I9/IO_WEAPON_530,1),"")</f>
        <v>12</v>
      </c>
      <c r="K9" s="176">
        <f>I9+I8*IO_EXCHANGE_SMALL_TO_BIG</f>
        <v>2959.6666666666665</v>
      </c>
      <c r="L9" s="179">
        <f>(K9-MIN(DATA_IO_EXTRA_EXCHANGED_BIG))/(MAX(DATA_IO_EXTRA_EXCHANGED_BIG)-MIN(DATA_IO_EXTRA_EXCHANGED_BIG))</f>
        <v>1</v>
      </c>
      <c r="M9" s="176">
        <f>K9-MAX(DATA_IO_EXTRA_EXCHANGED_BIG)</f>
        <v>0</v>
      </c>
      <c r="N9" s="176">
        <f t="shared" si="1"/>
        <v>0</v>
      </c>
      <c r="O9" s="180">
        <f t="shared" si="2"/>
        <v>1</v>
      </c>
      <c r="P9" s="242">
        <f t="shared" si="3"/>
        <v>0</v>
      </c>
      <c r="Q9" s="242">
        <f>IFERROR(ROUND(N9/$S$13,0),0)</f>
        <v>0</v>
      </c>
      <c r="R9" s="243">
        <f t="shared" si="5"/>
        <v>0</v>
      </c>
      <c r="S9" s="244">
        <f>IFERROR(SUMPRODUCT(D迎擊!V:V,D迎擊!X:X)/T$9,0)</f>
        <v>1.5298804780876494</v>
      </c>
      <c r="T9" s="245">
        <f>SUM(D迎擊!X:X)</f>
        <v>502</v>
      </c>
      <c r="V9" s="368" t="s">
        <v>20</v>
      </c>
      <c r="W9" s="84">
        <v>30</v>
      </c>
      <c r="X9" s="53" t="s">
        <v>1</v>
      </c>
      <c r="Y9" s="8">
        <f>VLOOKUP(W9,DATA_IO,7)+VLOOKUP(W10,DATA_IO,7)</f>
        <v>23</v>
      </c>
      <c r="Z9" s="90" t="str">
        <f t="shared" ref="Z9:Z16" si="6">IF(VLOOKUP(W9,DATA_IO,9)=0,"",VLOOKUP(W9,DATA_IO,9))</f>
        <v/>
      </c>
      <c r="AA9" s="47" t="str">
        <f t="shared" ref="AA9:AA16" si="7">IFERROR(Z9*BOOST_PRICE,"")</f>
        <v/>
      </c>
      <c r="AB9" s="369" t="s">
        <v>13</v>
      </c>
      <c r="AC9" s="84">
        <v>30</v>
      </c>
      <c r="AD9" s="53" t="s">
        <v>1</v>
      </c>
      <c r="AE9" s="58"/>
      <c r="AF9" s="8">
        <f>VLOOKUP(AC9,DATA_IO,7)+VLOOKUP(AC10,DATA_IO,7)</f>
        <v>23</v>
      </c>
      <c r="AG9" s="91" t="str">
        <f t="shared" ref="AG9:AG16" si="8">IF(VLOOKUP(AC9,DATA_IO,9)=0,"",VLOOKUP(AC9,DATA_IO,9))</f>
        <v/>
      </c>
      <c r="AH9" s="58" t="str">
        <f t="shared" ref="AH9:AH16" si="9">IFERROR(AG9*BOOST_PRICE,"")</f>
        <v/>
      </c>
      <c r="AI9" s="62"/>
    </row>
    <row r="10" spans="1:35" x14ac:dyDescent="0.25">
      <c r="A10" s="374" t="s">
        <v>8</v>
      </c>
      <c r="B10" s="246" t="s">
        <v>108</v>
      </c>
      <c r="C10" s="195">
        <v>2297</v>
      </c>
      <c r="D10" s="198">
        <f>(C10-MIN(DATA_IO_OWNED_SMALL))/(MAX(DATA_IO_OWNED_SMALL)-MIN(DATA_IO_OWNED_SMALL))</f>
        <v>0.64822944103014335</v>
      </c>
      <c r="E10" s="195">
        <f>C10-MAX(DATA_IO_OWNED_SMALL)</f>
        <v>-1202</v>
      </c>
      <c r="F10" s="196">
        <f>VLOOKUP($AC$15,DATA_IO,5,TRUE)+VLOOKUP($AC$16,DATA_IO,5,TRUE)</f>
        <v>0</v>
      </c>
      <c r="G10" s="197">
        <f t="shared" si="0"/>
        <v>2860</v>
      </c>
      <c r="H10" s="197">
        <f>D迎擊!$AQ$3*2</f>
        <v>2860</v>
      </c>
      <c r="I10" s="195">
        <f>IF(F10-C10 &lt;= 0,ABS(F10-C10),"")</f>
        <v>2297</v>
      </c>
      <c r="J10" s="195">
        <f>IFERROR(FLOOR(I10/IO_WEAPON_434,1),"")</f>
        <v>9</v>
      </c>
      <c r="K10" s="195">
        <f>I10+I11*IO_EXCHANGE_BIG_TO_SMALL</f>
        <v>7688</v>
      </c>
      <c r="L10" s="198">
        <f>(K10-MIN(DATA_IO_EXTRA_EXCHANGED_SMALL))/(MAX(DATA_IO_EXTRA_EXCHANGED_SMALL)-MIN(DATA_IO_EXTRA_EXCHANGED_SMALL))</f>
        <v>0.57946253781811707</v>
      </c>
      <c r="M10" s="195">
        <f>K10-MAX(DATA_IO_EXTRA_EXCHANGED_SMALL)</f>
        <v>-2363</v>
      </c>
      <c r="N10" s="195">
        <f t="shared" si="1"/>
        <v>0</v>
      </c>
      <c r="O10" s="199">
        <f t="shared" si="2"/>
        <v>1</v>
      </c>
      <c r="P10" s="247">
        <f>IFERROR(ROUND(N10/S10,0),0)</f>
        <v>0</v>
      </c>
      <c r="Q10" s="247">
        <f>IFERROR(ROUND(N10/$S$12,0),0)</f>
        <v>0</v>
      </c>
      <c r="R10" s="248">
        <f>Q10/(WINGS_RECOVER_NUM/WINGS_CONSUME_IO)*WINGS_RECOVER_DIAMS</f>
        <v>0</v>
      </c>
      <c r="S10" s="249">
        <f>IFERROR(SUMPRODUCT(D迎擊!Y:Y,D迎擊!AA:AA)/T$10,"")</f>
        <v>3.532258064516129</v>
      </c>
      <c r="T10" s="250">
        <f>SUM(D迎擊!AA:AA)</f>
        <v>372</v>
      </c>
      <c r="V10" s="368"/>
      <c r="W10" s="84">
        <v>30</v>
      </c>
      <c r="X10" s="53" t="s">
        <v>0</v>
      </c>
      <c r="Y10" s="8">
        <f>VLOOKUP(W9,DATA_IO,8)+VLOOKUP(W10,DATA_IO,8)</f>
        <v>23</v>
      </c>
      <c r="Z10" s="91" t="str">
        <f t="shared" si="6"/>
        <v/>
      </c>
      <c r="AA10" s="47" t="str">
        <f t="shared" si="7"/>
        <v/>
      </c>
      <c r="AB10" s="369"/>
      <c r="AC10" s="84">
        <v>30</v>
      </c>
      <c r="AD10" s="53" t="s">
        <v>0</v>
      </c>
      <c r="AE10" s="58"/>
      <c r="AF10" s="8">
        <f>VLOOKUP(AC9,DATA_IO,8)+VLOOKUP(AC10,DATA_IO,8)</f>
        <v>23</v>
      </c>
      <c r="AG10" s="91" t="str">
        <f t="shared" si="8"/>
        <v/>
      </c>
      <c r="AH10" s="58" t="str">
        <f t="shared" si="9"/>
        <v/>
      </c>
      <c r="AI10" s="62"/>
    </row>
    <row r="11" spans="1:35" x14ac:dyDescent="0.25">
      <c r="A11" s="375"/>
      <c r="B11" s="251" t="s">
        <v>107</v>
      </c>
      <c r="C11" s="176">
        <v>1797</v>
      </c>
      <c r="D11" s="179">
        <f>(C11-MIN(DATA_IO_OWNED_BIG))/(MAX(DATA_IO_OWNED_BIG)-MIN(DATA_IO_OWNED_BIG))</f>
        <v>0.6581045172719221</v>
      </c>
      <c r="E11" s="176">
        <f>C11-MAX(DATA_IO_OWNED_BIG)</f>
        <v>-772</v>
      </c>
      <c r="F11" s="177">
        <f>VLOOKUP($AC$15,DATA_IO,6,TRUE)+VLOOKUP($AC$16,DATA_IO,6,TRUE)</f>
        <v>0</v>
      </c>
      <c r="G11" s="178">
        <f t="shared" si="0"/>
        <v>400</v>
      </c>
      <c r="H11" s="178">
        <f>D迎擊!$AR$3*2</f>
        <v>400</v>
      </c>
      <c r="I11" s="176">
        <f t="shared" si="4"/>
        <v>1797</v>
      </c>
      <c r="J11" s="176">
        <f>IFERROR(FLOOR(I11/IO_WEAPON_530,1),"")</f>
        <v>8</v>
      </c>
      <c r="K11" s="176">
        <f>I11+I10*IO_EXCHANGE_SMALL_TO_BIG</f>
        <v>2179.8333333333335</v>
      </c>
      <c r="L11" s="179">
        <f>(K11-MIN(DATA_IO_EXTRA_EXCHANGED_BIG))/(MAX(DATA_IO_EXTRA_EXCHANGED_BIG)-MIN(DATA_IO_EXTRA_EXCHANGED_BIG))</f>
        <v>0.62244815621721949</v>
      </c>
      <c r="M11" s="176">
        <f>K11-MAX(DATA_IO_EXTRA_EXCHANGED_BIG)</f>
        <v>-779.83333333333303</v>
      </c>
      <c r="N11" s="176">
        <f t="shared" si="1"/>
        <v>0</v>
      </c>
      <c r="O11" s="180">
        <f t="shared" si="2"/>
        <v>1</v>
      </c>
      <c r="P11" s="252">
        <f>IFERROR(ROUND(N11/S11,0),0)</f>
        <v>0</v>
      </c>
      <c r="Q11" s="252">
        <f>IFERROR(ROUND(N11/$S$13,0),0)</f>
        <v>0</v>
      </c>
      <c r="R11" s="253">
        <f t="shared" si="5"/>
        <v>0</v>
      </c>
      <c r="S11" s="254">
        <f>IFERROR(SUMPRODUCT(D迎擊!AB:AB,D迎擊!AD:AD)/T$11,0)</f>
        <v>1.5056179775280898</v>
      </c>
      <c r="T11" s="255">
        <f>SUM(D迎擊!AD:AD)</f>
        <v>89</v>
      </c>
      <c r="V11" s="367" t="s">
        <v>10</v>
      </c>
      <c r="W11" s="85">
        <v>30</v>
      </c>
      <c r="X11" s="52" t="s">
        <v>1</v>
      </c>
      <c r="Y11" s="9">
        <f>VLOOKUP(W11,DATA_IO,7)+VLOOKUP(W12,DATA_IO,7)</f>
        <v>23</v>
      </c>
      <c r="Z11" s="92" t="str">
        <f t="shared" si="6"/>
        <v/>
      </c>
      <c r="AA11" s="45" t="str">
        <f t="shared" si="7"/>
        <v/>
      </c>
      <c r="AB11" s="358" t="s">
        <v>7</v>
      </c>
      <c r="AC11" s="85">
        <v>30</v>
      </c>
      <c r="AD11" s="52" t="s">
        <v>1</v>
      </c>
      <c r="AE11" s="59"/>
      <c r="AF11" s="9">
        <f>VLOOKUP(AC11,DATA_IO,7)+VLOOKUP(AC12,DATA_IO,7)</f>
        <v>23</v>
      </c>
      <c r="AG11" s="92" t="str">
        <f t="shared" si="8"/>
        <v/>
      </c>
      <c r="AH11" s="59" t="str">
        <f t="shared" si="9"/>
        <v/>
      </c>
      <c r="AI11" s="62"/>
    </row>
    <row r="12" spans="1:35" x14ac:dyDescent="0.25">
      <c r="A12" s="380" t="s">
        <v>6</v>
      </c>
      <c r="B12" s="256" t="s">
        <v>108</v>
      </c>
      <c r="C12" s="257">
        <f t="shared" ref="C12:N13" si="10">SUM(C2,C4,C6,C8,C10)</f>
        <v>9195</v>
      </c>
      <c r="D12" s="258"/>
      <c r="E12" s="258"/>
      <c r="F12" s="196">
        <f t="shared" si="10"/>
        <v>0</v>
      </c>
      <c r="G12" s="197">
        <f t="shared" si="10"/>
        <v>22880</v>
      </c>
      <c r="H12" s="197">
        <f t="shared" si="10"/>
        <v>22880</v>
      </c>
      <c r="I12" s="259">
        <f t="shared" si="10"/>
        <v>9195</v>
      </c>
      <c r="J12" s="259">
        <f t="shared" si="10"/>
        <v>34</v>
      </c>
      <c r="K12" s="258">
        <f>I12+I13*IO_EXCHANGE_BIG_TO_SMALL</f>
        <v>35004</v>
      </c>
      <c r="L12" s="258"/>
      <c r="M12" s="258"/>
      <c r="N12" s="260">
        <f t="shared" si="10"/>
        <v>0</v>
      </c>
      <c r="O12" s="199">
        <f t="shared" si="2"/>
        <v>1</v>
      </c>
      <c r="P12" s="362">
        <f>MAX(SUM(P2,P4,P6,P8,P10),SUM(P3,P5,P7,P9,P11),P14,P15,P16)</f>
        <v>0</v>
      </c>
      <c r="Q12" s="362">
        <f>MAX(SUM(Q2,Q4,Q6,Q8,Q10),SUM(Q3,Q5,Q7,Q9,Q11),P14,P15,P16)</f>
        <v>0</v>
      </c>
      <c r="R12" s="360">
        <f>MAX(SUM(R2,R4,R6,R8,R10),SUM(R3,R5,R7,R9,R11),R14,R15,R16)</f>
        <v>0</v>
      </c>
      <c r="S12" s="261">
        <f>(S2*T2+S4*T4+S6*T6+S8*T8+S10*T10) / T$12</f>
        <v>3.5144907535191829</v>
      </c>
      <c r="T12" s="262">
        <f>SUM(T2,T4,T6,T8,T10)</f>
        <v>3623</v>
      </c>
      <c r="V12" s="367"/>
      <c r="W12" s="85">
        <v>30</v>
      </c>
      <c r="X12" s="52" t="s">
        <v>0</v>
      </c>
      <c r="Y12" s="9">
        <f>VLOOKUP(W11,DATA_IO,8)+VLOOKUP(W12,DATA_IO,8)</f>
        <v>23</v>
      </c>
      <c r="Z12" s="92" t="str">
        <f t="shared" si="6"/>
        <v/>
      </c>
      <c r="AA12" s="45" t="str">
        <f t="shared" si="7"/>
        <v/>
      </c>
      <c r="AB12" s="358"/>
      <c r="AC12" s="85">
        <v>30</v>
      </c>
      <c r="AD12" s="52" t="s">
        <v>0</v>
      </c>
      <c r="AE12" s="59"/>
      <c r="AF12" s="9">
        <f>VLOOKUP(AC11,DATA_IO,8)+VLOOKUP(AC12,DATA_IO,8)</f>
        <v>23</v>
      </c>
      <c r="AG12" s="92" t="str">
        <f t="shared" si="8"/>
        <v/>
      </c>
      <c r="AH12" s="59" t="str">
        <f t="shared" si="9"/>
        <v/>
      </c>
      <c r="AI12" s="62"/>
    </row>
    <row r="13" spans="1:35" x14ac:dyDescent="0.25">
      <c r="A13" s="381"/>
      <c r="B13" s="57" t="s">
        <v>107</v>
      </c>
      <c r="C13" s="187">
        <f t="shared" si="10"/>
        <v>8603</v>
      </c>
      <c r="D13" s="188"/>
      <c r="E13" s="188"/>
      <c r="F13" s="184">
        <f t="shared" si="10"/>
        <v>0</v>
      </c>
      <c r="G13" s="185">
        <f t="shared" si="10"/>
        <v>3200</v>
      </c>
      <c r="H13" s="185">
        <f t="shared" si="10"/>
        <v>3200</v>
      </c>
      <c r="I13" s="189">
        <f t="shared" si="10"/>
        <v>8603</v>
      </c>
      <c r="J13" s="189">
        <f t="shared" si="10"/>
        <v>39</v>
      </c>
      <c r="K13" s="188">
        <f>I13+I12*IO_EXCHANGE_SMALL_TO_BIG</f>
        <v>10135.5</v>
      </c>
      <c r="L13" s="188"/>
      <c r="M13" s="188"/>
      <c r="N13" s="190">
        <f t="shared" si="10"/>
        <v>0</v>
      </c>
      <c r="O13" s="186">
        <f t="shared" si="2"/>
        <v>1</v>
      </c>
      <c r="P13" s="363"/>
      <c r="Q13" s="363"/>
      <c r="R13" s="361"/>
      <c r="S13" s="191">
        <f>(S3*T3+S5*T5+S7*T7+S9*T9+S11*T11) / T$13</f>
        <v>1.5223880597014925</v>
      </c>
      <c r="T13" s="263">
        <f>SUM(T3,T5,T7,T9,T11)</f>
        <v>603</v>
      </c>
      <c r="V13" s="366" t="s">
        <v>5</v>
      </c>
      <c r="W13" s="86">
        <v>30</v>
      </c>
      <c r="X13" s="51" t="s">
        <v>1</v>
      </c>
      <c r="Y13" s="10">
        <f>VLOOKUP(W13,DATA_IO,7)+VLOOKUP(W14,DATA_IO,7)</f>
        <v>23</v>
      </c>
      <c r="Z13" s="93" t="str">
        <f t="shared" si="6"/>
        <v/>
      </c>
      <c r="AA13" s="44" t="str">
        <f t="shared" si="7"/>
        <v/>
      </c>
      <c r="AB13" s="359" t="s">
        <v>4</v>
      </c>
      <c r="AC13" s="86">
        <v>30</v>
      </c>
      <c r="AD13" s="51" t="s">
        <v>1</v>
      </c>
      <c r="AE13" s="60"/>
      <c r="AF13" s="10">
        <f>VLOOKUP(AC13,DATA_IO,7)+VLOOKUP(AC14,DATA_IO,7)</f>
        <v>23</v>
      </c>
      <c r="AG13" s="93" t="str">
        <f t="shared" si="8"/>
        <v/>
      </c>
      <c r="AH13" s="60" t="str">
        <f t="shared" si="9"/>
        <v/>
      </c>
      <c r="AI13" s="62"/>
    </row>
    <row r="14" spans="1:35" x14ac:dyDescent="0.25">
      <c r="A14" s="381"/>
      <c r="B14" s="57" t="s">
        <v>118</v>
      </c>
      <c r="C14" s="192">
        <v>7148</v>
      </c>
      <c r="D14" s="188"/>
      <c r="E14" s="188"/>
      <c r="F14" s="184">
        <f>SUM(VLOOKUP($W$9,DATA_IO,4,TRUE),VLOOKUP($W$10,DATA_IO,4,TRUE),VLOOKUP($W$11,DATA_IO,4,TRUE),VLOOKUP($W$12,DATA_IO,4,TRUE),VLOOKUP($W$13,DATA_IO,4,TRUE),VLOOKUP($W$14,DATA_IO,4,TRUE),VLOOKUP($W$15,DATA_IO,4,TRUE),VLOOKUP($W$16,DATA_IO,4,TRUE),VLOOKUP($AC$9,DATA_IO,4,TRUE),VLOOKUP($AC$10,DATA_IO,4,TRUE),VLOOKUP($AC$11,DATA_IO,4,TRUE),VLOOKUP($AC$12,DATA_IO,4,TRUE),VLOOKUP($AC$13,DATA_IO,4,TRUE),VLOOKUP($AC$14,DATA_IO,4,TRUE),VLOOKUP($AC$15,DATA_IO,4,TRUE),VLOOKUP($AC$16,DATA_IO,4,TRUE))</f>
        <v>0</v>
      </c>
      <c r="G14" s="185">
        <f>H14-N14</f>
        <v>10400</v>
      </c>
      <c r="H14" s="185">
        <f>D迎擊!$AP$3*16</f>
        <v>10400</v>
      </c>
      <c r="I14" s="189">
        <f>IF(F14-C14 &lt;= 0,ABS(F14-C14),"")</f>
        <v>7148</v>
      </c>
      <c r="J14" s="189"/>
      <c r="K14" s="188"/>
      <c r="L14" s="188"/>
      <c r="M14" s="188"/>
      <c r="N14" s="190">
        <f>IF(F14-C14 &lt; 0,0,F14-C14)</f>
        <v>0</v>
      </c>
      <c r="O14" s="186">
        <f t="shared" si="2"/>
        <v>1</v>
      </c>
      <c r="P14" s="363">
        <f>IFERROR(ROUND(N14/S14,0),0)</f>
        <v>0</v>
      </c>
      <c r="Q14" s="363"/>
      <c r="R14" s="193">
        <f>P14/(WINGS_RECOVER_NUM/WINGS_CONSUME_IO)*WINGS_RECOVER_DIAMS</f>
        <v>0</v>
      </c>
      <c r="S14" s="191">
        <f>IFERROR(SUMPRODUCT(D迎擊!AE:AE,D迎擊!AK:AK)/T$14,"")</f>
        <v>1.7213930348258706</v>
      </c>
      <c r="T14" s="384">
        <f>SUM(D迎擊!AK:AK)</f>
        <v>603</v>
      </c>
      <c r="V14" s="366"/>
      <c r="W14" s="86">
        <v>30</v>
      </c>
      <c r="X14" s="51" t="s">
        <v>0</v>
      </c>
      <c r="Y14" s="10">
        <f>VLOOKUP(W13,DATA_IO,8)+VLOOKUP(W14,DATA_IO,8)</f>
        <v>23</v>
      </c>
      <c r="Z14" s="93" t="str">
        <f t="shared" si="6"/>
        <v/>
      </c>
      <c r="AA14" s="44" t="str">
        <f t="shared" si="7"/>
        <v/>
      </c>
      <c r="AB14" s="359"/>
      <c r="AC14" s="86">
        <v>30</v>
      </c>
      <c r="AD14" s="51" t="s">
        <v>0</v>
      </c>
      <c r="AE14" s="60"/>
      <c r="AF14" s="10">
        <f>VLOOKUP(AC13,DATA_IO,8)+VLOOKUP(AC14,DATA_IO,8)</f>
        <v>23</v>
      </c>
      <c r="AG14" s="93" t="str">
        <f t="shared" si="8"/>
        <v/>
      </c>
      <c r="AH14" s="60" t="str">
        <f t="shared" si="9"/>
        <v/>
      </c>
      <c r="AI14" s="62"/>
    </row>
    <row r="15" spans="1:35" x14ac:dyDescent="0.25">
      <c r="A15" s="381"/>
      <c r="B15" s="57" t="s">
        <v>119</v>
      </c>
      <c r="C15" s="192">
        <v>9941</v>
      </c>
      <c r="D15" s="188"/>
      <c r="E15" s="188"/>
      <c r="F15" s="184">
        <f>SUM(VLOOKUP($W$9,DATA_IO,3,TRUE),VLOOKUP($W$10,DATA_IO,3,TRUE),VLOOKUP($W$11,DATA_IO,3,TRUE),VLOOKUP($W$12,DATA_IO,3,TRUE),VLOOKUP($W$13,DATA_IO,3,TRUE),VLOOKUP($W$14,DATA_IO,3,TRUE),VLOOKUP($W$15,DATA_IO,3,TRUE),VLOOKUP($W$16,DATA_IO,3,TRUE),VLOOKUP($AC$9,DATA_IO,3,TRUE),VLOOKUP($AC$10,DATA_IO,3,TRUE),VLOOKUP($AC$11,DATA_IO,3,TRUE),VLOOKUP($AC$12,DATA_IO,3,TRUE),VLOOKUP($AC$13,DATA_IO,3,TRUE),VLOOKUP($AC$14,DATA_IO,3,TRUE),VLOOKUP($AC$15,DATA_IO,3,TRUE),VLOOKUP($AC$16,DATA_IO,3,TRUE))</f>
        <v>0</v>
      </c>
      <c r="G15" s="185">
        <f>H15-N15</f>
        <v>11440</v>
      </c>
      <c r="H15" s="185">
        <f>D迎擊!$AO$3*16</f>
        <v>11440</v>
      </c>
      <c r="I15" s="189">
        <f>IF(F15-C15 &lt;= 0,ABS(F15-C15),"")</f>
        <v>9941</v>
      </c>
      <c r="J15" s="189"/>
      <c r="K15" s="188"/>
      <c r="L15" s="188"/>
      <c r="M15" s="188"/>
      <c r="N15" s="190">
        <f>IF(F15-C15 &lt; 0,0,F15-C15)</f>
        <v>0</v>
      </c>
      <c r="O15" s="186">
        <f t="shared" si="2"/>
        <v>1</v>
      </c>
      <c r="P15" s="363">
        <f>IFERROR(ROUND(N15/S15,0),0)</f>
        <v>0</v>
      </c>
      <c r="Q15" s="363"/>
      <c r="R15" s="193">
        <f>P15/(WINGS_RECOVER_NUM/WINGS_CONSUME_IO)*WINGS_RECOVER_DIAMS</f>
        <v>0</v>
      </c>
      <c r="S15" s="191">
        <f>IFERROR(SUMPRODUCT(D迎擊!AG:AG,D迎擊!AK:AK)/T$14,"")</f>
        <v>1.9104477611940298</v>
      </c>
      <c r="T15" s="384"/>
      <c r="V15" s="365" t="s">
        <v>3</v>
      </c>
      <c r="W15" s="87">
        <v>30</v>
      </c>
      <c r="X15" s="17" t="s">
        <v>1</v>
      </c>
      <c r="Y15" s="11">
        <f>VLOOKUP(W15,DATA_IO,7)+VLOOKUP(W16,DATA_IO,7)</f>
        <v>23</v>
      </c>
      <c r="Z15" s="94" t="str">
        <f t="shared" si="6"/>
        <v/>
      </c>
      <c r="AA15" s="43" t="str">
        <f t="shared" si="7"/>
        <v/>
      </c>
      <c r="AB15" s="364" t="s">
        <v>2</v>
      </c>
      <c r="AC15" s="88">
        <v>30</v>
      </c>
      <c r="AD15" s="50" t="s">
        <v>1</v>
      </c>
      <c r="AE15" s="61"/>
      <c r="AF15" s="12">
        <f>VLOOKUP(AC15,DATA_IO,7)+VLOOKUP(AC16,DATA_IO,7)</f>
        <v>23</v>
      </c>
      <c r="AG15" s="95" t="str">
        <f t="shared" si="8"/>
        <v/>
      </c>
      <c r="AH15" s="61" t="str">
        <f t="shared" si="9"/>
        <v/>
      </c>
      <c r="AI15" s="62"/>
    </row>
    <row r="16" spans="1:35" x14ac:dyDescent="0.25">
      <c r="A16" s="382"/>
      <c r="B16" s="264" t="s">
        <v>120</v>
      </c>
      <c r="C16" s="265">
        <v>81595</v>
      </c>
      <c r="D16" s="266"/>
      <c r="E16" s="266"/>
      <c r="F16" s="177">
        <f>SUM(VLOOKUP($W$9,DATA_IO,2,TRUE),VLOOKUP($W$10,DATA_IO,2,TRUE),VLOOKUP($W$11,DATA_IO,2,TRUE),VLOOKUP($W$12,DATA_IO,2,TRUE),VLOOKUP($W$13,DATA_IO,2,TRUE),VLOOKUP($W$14,DATA_IO,2,TRUE),VLOOKUP($W$15,DATA_IO,2,TRUE),VLOOKUP($W$16,DATA_IO,2,TRUE),VLOOKUP($AC$9,DATA_IO,2,TRUE),VLOOKUP($AC$10,DATA_IO,2,TRUE),VLOOKUP($AC$11,DATA_IO,2,TRUE),VLOOKUP($AC$12,DATA_IO,2,TRUE),VLOOKUP($AC$13,DATA_IO,2,TRUE),VLOOKUP($AC$14,DATA_IO,2,TRUE),VLOOKUP($AC$15,DATA_IO,2,TRUE),VLOOKUP($AC$16,DATA_IO,2,TRUE))</f>
        <v>0</v>
      </c>
      <c r="G16" s="178">
        <f>H16-N16</f>
        <v>38080</v>
      </c>
      <c r="H16" s="178">
        <f>D迎擊!$AN$3*16</f>
        <v>38080</v>
      </c>
      <c r="I16" s="267">
        <f>IF(F16-C16 &lt;= 0,ABS(F16-C16),"")</f>
        <v>81595</v>
      </c>
      <c r="J16" s="267"/>
      <c r="K16" s="266"/>
      <c r="L16" s="266"/>
      <c r="M16" s="266"/>
      <c r="N16" s="268">
        <f>IF(F16-C16 &lt; 0,0,F16-C16)</f>
        <v>0</v>
      </c>
      <c r="O16" s="180">
        <f t="shared" si="2"/>
        <v>1</v>
      </c>
      <c r="P16" s="383">
        <f>IFERROR(ROUND(N16/S16,0),0)</f>
        <v>0</v>
      </c>
      <c r="Q16" s="383"/>
      <c r="R16" s="269">
        <f>Q16/(WINGS_RECOVER_NUM/WINGS_CONSUME_IO)*WINGS_RECOVER_DIAMS</f>
        <v>0</v>
      </c>
      <c r="S16" s="270">
        <f>IFERROR(SUMPRODUCT(D迎擊!AI:AI,D迎擊!AK:AK)/T$14,"")</f>
        <v>12.344941956882256</v>
      </c>
      <c r="T16" s="385"/>
      <c r="V16" s="365"/>
      <c r="W16" s="87">
        <v>30</v>
      </c>
      <c r="X16" s="17" t="s">
        <v>0</v>
      </c>
      <c r="Y16" s="11">
        <f>VLOOKUP(W15,DATA_IO,8)+VLOOKUP(W16,DATA_IO,8)</f>
        <v>23</v>
      </c>
      <c r="Z16" s="94" t="str">
        <f t="shared" si="6"/>
        <v/>
      </c>
      <c r="AA16" s="43" t="str">
        <f t="shared" si="7"/>
        <v/>
      </c>
      <c r="AB16" s="364"/>
      <c r="AC16" s="88">
        <v>30</v>
      </c>
      <c r="AD16" s="50" t="s">
        <v>0</v>
      </c>
      <c r="AE16" s="61"/>
      <c r="AF16" s="12">
        <f>VLOOKUP(AC15,DATA_IO,8)+VLOOKUP(AC16,DATA_IO,8)</f>
        <v>23</v>
      </c>
      <c r="AG16" s="95" t="str">
        <f t="shared" si="8"/>
        <v/>
      </c>
      <c r="AH16" s="61" t="str">
        <f t="shared" si="9"/>
        <v/>
      </c>
    </row>
  </sheetData>
  <mergeCells count="22">
    <mergeCell ref="A12:A16"/>
    <mergeCell ref="P14:Q14"/>
    <mergeCell ref="P15:Q15"/>
    <mergeCell ref="P16:Q16"/>
    <mergeCell ref="T14:T16"/>
    <mergeCell ref="P12:P13"/>
    <mergeCell ref="A2:A3"/>
    <mergeCell ref="A6:A7"/>
    <mergeCell ref="A10:A11"/>
    <mergeCell ref="A4:A5"/>
    <mergeCell ref="A8:A9"/>
    <mergeCell ref="AB15:AB16"/>
    <mergeCell ref="V15:V16"/>
    <mergeCell ref="V13:V14"/>
    <mergeCell ref="V11:V12"/>
    <mergeCell ref="V9:V10"/>
    <mergeCell ref="AB9:AB10"/>
    <mergeCell ref="X8:Y8"/>
    <mergeCell ref="AB11:AB12"/>
    <mergeCell ref="AB13:AB14"/>
    <mergeCell ref="R12:R13"/>
    <mergeCell ref="Q12:Q13"/>
  </mergeCells>
  <conditionalFormatting sqref="O3">
    <cfRule type="dataBar" priority="23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{D849F316-2EB3-476B-A853-CB121EB32F44}</x14:id>
        </ext>
      </extLst>
    </cfRule>
  </conditionalFormatting>
  <conditionalFormatting sqref="O4:O5">
    <cfRule type="dataBar" priority="2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{CE014E67-50D4-4826-8B66-5E0782459B41}</x14:id>
        </ext>
      </extLst>
    </cfRule>
  </conditionalFormatting>
  <conditionalFormatting sqref="O5:O7">
    <cfRule type="dataBar" priority="25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{B4539DEE-A5A8-4711-B9A1-A727FDC08BC8}</x14:id>
        </ext>
      </extLst>
    </cfRule>
  </conditionalFormatting>
  <conditionalFormatting sqref="O7:O9">
    <cfRule type="dataBar" priority="26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{33A8D5EC-E90C-4644-A754-4D330BE95D48}</x14:id>
        </ext>
      </extLst>
    </cfRule>
  </conditionalFormatting>
  <conditionalFormatting sqref="O9:O12">
    <cfRule type="dataBar" priority="27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{7CC66973-902C-42AA-A7A3-C8F9AF4EC809}</x14:id>
        </ext>
      </extLst>
    </cfRule>
  </conditionalFormatting>
  <conditionalFormatting sqref="O12:O15">
    <cfRule type="dataBar" priority="22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{D1D71DDA-FD04-4BCE-8864-A61B492CD711}</x14:id>
        </ext>
      </extLst>
    </cfRule>
  </conditionalFormatting>
  <conditionalFormatting sqref="O2">
    <cfRule type="dataBar" priority="21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{EED12BB3-5289-4DB9-A705-E71F55558C30}</x14:id>
        </ext>
      </extLst>
    </cfRule>
  </conditionalFormatting>
  <conditionalFormatting sqref="O16">
    <cfRule type="dataBar" priority="1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{1D7F4491-8C2F-441D-95D1-70C0FE1CF4E3}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49F316-2EB3-476B-A853-CB121EB32F4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O3</xm:sqref>
        </x14:conditionalFormatting>
        <x14:conditionalFormatting xmlns:xm="http://schemas.microsoft.com/office/excel/2006/main">
          <x14:cfRule type="dataBar" id="{CE014E67-50D4-4826-8B66-5E0782459B4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O4:O5</xm:sqref>
        </x14:conditionalFormatting>
        <x14:conditionalFormatting xmlns:xm="http://schemas.microsoft.com/office/excel/2006/main">
          <x14:cfRule type="dataBar" id="{B4539DEE-A5A8-4711-B9A1-A727FDC08BC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O5:O7</xm:sqref>
        </x14:conditionalFormatting>
        <x14:conditionalFormatting xmlns:xm="http://schemas.microsoft.com/office/excel/2006/main">
          <x14:cfRule type="dataBar" id="{33A8D5EC-E90C-4644-A754-4D330BE95D4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O7:O9</xm:sqref>
        </x14:conditionalFormatting>
        <x14:conditionalFormatting xmlns:xm="http://schemas.microsoft.com/office/excel/2006/main">
          <x14:cfRule type="dataBar" id="{7CC66973-902C-42AA-A7A3-C8F9AF4EC80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O9:O12</xm:sqref>
        </x14:conditionalFormatting>
        <x14:conditionalFormatting xmlns:xm="http://schemas.microsoft.com/office/excel/2006/main">
          <x14:cfRule type="dataBar" id="{D1D71DDA-FD04-4BCE-8864-A61B492CD71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O12:O15</xm:sqref>
        </x14:conditionalFormatting>
        <x14:conditionalFormatting xmlns:xm="http://schemas.microsoft.com/office/excel/2006/main">
          <x14:cfRule type="dataBar" id="{EED12BB3-5289-4DB9-A705-E71F55558C3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1D7F4491-8C2F-441D-95D1-70C0FE1CF4E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O16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811E-9DE7-44B8-BBD5-1B8820CAF05B}">
  <sheetPr codeName="Sheet4">
    <tabColor rgb="FF00B0F0"/>
  </sheetPr>
  <dimension ref="A1:AU33"/>
  <sheetViews>
    <sheetView topLeftCell="M1" workbookViewId="0">
      <selection activeCell="AI18" sqref="AI17:AI18"/>
    </sheetView>
  </sheetViews>
  <sheetFormatPr defaultColWidth="9.140625" defaultRowHeight="15" x14ac:dyDescent="0.25"/>
  <cols>
    <col min="1" max="1" width="6.85546875" style="64" customWidth="1"/>
    <col min="2" max="2" width="4.85546875" style="147" customWidth="1"/>
    <col min="3" max="3" width="4.85546875" style="76" customWidth="1"/>
    <col min="4" max="4" width="6.85546875" style="64" customWidth="1"/>
    <col min="5" max="5" width="4.85546875" style="147" customWidth="1"/>
    <col min="6" max="6" width="4.85546875" style="76" customWidth="1"/>
    <col min="7" max="7" width="6.85546875" style="65" customWidth="1"/>
    <col min="8" max="8" width="4.85546875" style="154" customWidth="1"/>
    <col min="9" max="9" width="4.85546875" style="77" customWidth="1"/>
    <col min="10" max="10" width="6.85546875" style="5" customWidth="1"/>
    <col min="11" max="11" width="4.85546875" style="3" customWidth="1"/>
    <col min="12" max="12" width="4.85546875" style="77" customWidth="1"/>
    <col min="13" max="13" width="6.85546875" style="66" customWidth="1"/>
    <col min="14" max="14" width="4.85546875" style="145" customWidth="1"/>
    <col min="15" max="15" width="4.85546875" style="78" customWidth="1"/>
    <col min="16" max="16" width="6.85546875" style="66" customWidth="1"/>
    <col min="17" max="17" width="4.85546875" style="145" customWidth="1"/>
    <col min="18" max="18" width="4.85546875" style="78" customWidth="1"/>
    <col min="19" max="19" width="6.85546875" style="67" customWidth="1"/>
    <col min="20" max="20" width="4.85546875" style="143" customWidth="1"/>
    <col min="21" max="21" width="4.85546875" style="79" customWidth="1"/>
    <col min="22" max="22" width="6.85546875" style="67" customWidth="1"/>
    <col min="23" max="23" width="4.85546875" style="143" customWidth="1"/>
    <col min="24" max="24" width="4.85546875" style="79" customWidth="1"/>
    <col min="25" max="25" width="6.85546875" style="68" customWidth="1"/>
    <col min="26" max="26" width="4.85546875" style="156" customWidth="1"/>
    <col min="27" max="27" width="4.85546875" style="80" customWidth="1"/>
    <col min="28" max="28" width="6.85546875" style="68" customWidth="1"/>
    <col min="29" max="29" width="4.85546875" style="156" customWidth="1"/>
    <col min="30" max="30" width="4.85546875" style="80" customWidth="1"/>
    <col min="31" max="31" width="6.85546875" style="151" customWidth="1"/>
    <col min="32" max="32" width="4.85546875" style="158" customWidth="1"/>
    <col min="33" max="33" width="6.85546875" style="138" customWidth="1"/>
    <col min="34" max="34" width="4.85546875" style="160" customWidth="1"/>
    <col min="35" max="35" width="7.7109375" style="141" customWidth="1"/>
    <col min="36" max="36" width="4.85546875" style="162" customWidth="1"/>
    <col min="37" max="37" width="4.85546875" style="172" customWidth="1"/>
    <col min="38" max="38" width="3.5703125" customWidth="1"/>
    <col min="39" max="39" width="4.28515625" style="62" customWidth="1"/>
    <col min="40" max="46" width="5.42578125" style="62" customWidth="1"/>
    <col min="47" max="47" width="9.42578125" style="62" customWidth="1"/>
    <col min="48" max="16384" width="9.140625" style="63"/>
  </cols>
  <sheetData>
    <row r="1" spans="1:47" x14ac:dyDescent="0.25">
      <c r="A1" s="386" t="s">
        <v>108</v>
      </c>
      <c r="B1" s="386"/>
      <c r="C1" s="391" t="s">
        <v>30</v>
      </c>
      <c r="D1" s="391" t="s">
        <v>107</v>
      </c>
      <c r="E1" s="391"/>
      <c r="F1" s="391" t="s">
        <v>30</v>
      </c>
      <c r="G1" s="397" t="s">
        <v>108</v>
      </c>
      <c r="H1" s="397"/>
      <c r="I1" s="392" t="s">
        <v>30</v>
      </c>
      <c r="J1" s="392" t="s">
        <v>107</v>
      </c>
      <c r="K1" s="392"/>
      <c r="L1" s="392" t="s">
        <v>30</v>
      </c>
      <c r="M1" s="396" t="s">
        <v>108</v>
      </c>
      <c r="N1" s="396"/>
      <c r="O1" s="393" t="s">
        <v>30</v>
      </c>
      <c r="P1" s="393" t="s">
        <v>107</v>
      </c>
      <c r="Q1" s="393"/>
      <c r="R1" s="393" t="s">
        <v>30</v>
      </c>
      <c r="S1" s="400" t="s">
        <v>108</v>
      </c>
      <c r="T1" s="400"/>
      <c r="U1" s="394" t="s">
        <v>30</v>
      </c>
      <c r="V1" s="394" t="s">
        <v>107</v>
      </c>
      <c r="W1" s="394"/>
      <c r="X1" s="394" t="s">
        <v>30</v>
      </c>
      <c r="Y1" s="399" t="s">
        <v>108</v>
      </c>
      <c r="Z1" s="399"/>
      <c r="AA1" s="395" t="s">
        <v>30</v>
      </c>
      <c r="AB1" s="395" t="s">
        <v>107</v>
      </c>
      <c r="AC1" s="395"/>
      <c r="AD1" s="395" t="s">
        <v>30</v>
      </c>
      <c r="AE1" s="389" t="s">
        <v>118</v>
      </c>
      <c r="AF1" s="389"/>
      <c r="AG1" s="390" t="s">
        <v>119</v>
      </c>
      <c r="AH1" s="390"/>
      <c r="AI1" s="387" t="s">
        <v>120</v>
      </c>
      <c r="AJ1" s="387"/>
      <c r="AK1" s="388" t="s">
        <v>30</v>
      </c>
      <c r="AM1" s="398" t="s">
        <v>71</v>
      </c>
      <c r="AN1" s="398"/>
      <c r="AO1" s="398"/>
      <c r="AP1" s="398"/>
      <c r="AQ1" s="398"/>
      <c r="AR1" s="398"/>
      <c r="AS1" s="398"/>
      <c r="AT1" s="398"/>
      <c r="AU1" s="398"/>
    </row>
    <row r="2" spans="1:47" x14ac:dyDescent="0.25">
      <c r="A2" s="150" t="s">
        <v>32</v>
      </c>
      <c r="B2" s="152" t="s">
        <v>117</v>
      </c>
      <c r="C2" s="391"/>
      <c r="D2" s="149" t="s">
        <v>32</v>
      </c>
      <c r="E2" s="152" t="s">
        <v>117</v>
      </c>
      <c r="F2" s="391"/>
      <c r="G2" s="130" t="s">
        <v>32</v>
      </c>
      <c r="H2" s="153" t="s">
        <v>117</v>
      </c>
      <c r="I2" s="392"/>
      <c r="J2" s="148" t="s">
        <v>32</v>
      </c>
      <c r="K2" s="146" t="s">
        <v>117</v>
      </c>
      <c r="L2" s="392"/>
      <c r="M2" s="131" t="s">
        <v>32</v>
      </c>
      <c r="N2" s="144" t="s">
        <v>117</v>
      </c>
      <c r="O2" s="393"/>
      <c r="P2" s="131" t="s">
        <v>32</v>
      </c>
      <c r="Q2" s="144" t="s">
        <v>117</v>
      </c>
      <c r="R2" s="393"/>
      <c r="S2" s="132" t="s">
        <v>32</v>
      </c>
      <c r="T2" s="142" t="s">
        <v>117</v>
      </c>
      <c r="U2" s="394"/>
      <c r="V2" s="132" t="s">
        <v>32</v>
      </c>
      <c r="W2" s="142" t="s">
        <v>117</v>
      </c>
      <c r="X2" s="394"/>
      <c r="Y2" s="133" t="s">
        <v>32</v>
      </c>
      <c r="Z2" s="155" t="s">
        <v>117</v>
      </c>
      <c r="AA2" s="395"/>
      <c r="AB2" s="133" t="s">
        <v>32</v>
      </c>
      <c r="AC2" s="155" t="s">
        <v>117</v>
      </c>
      <c r="AD2" s="395"/>
      <c r="AE2" s="136" t="s">
        <v>32</v>
      </c>
      <c r="AF2" s="157" t="s">
        <v>117</v>
      </c>
      <c r="AG2" s="137" t="s">
        <v>32</v>
      </c>
      <c r="AH2" s="159" t="s">
        <v>117</v>
      </c>
      <c r="AI2" s="140" t="s">
        <v>32</v>
      </c>
      <c r="AJ2" s="161" t="s">
        <v>117</v>
      </c>
      <c r="AK2" s="388"/>
      <c r="AM2" s="62" t="s">
        <v>19</v>
      </c>
      <c r="AN2" s="62" t="s">
        <v>18</v>
      </c>
      <c r="AO2" s="62" t="s">
        <v>17</v>
      </c>
      <c r="AP2" s="62" t="s">
        <v>16</v>
      </c>
      <c r="AQ2" s="62" t="s">
        <v>15</v>
      </c>
      <c r="AR2" s="62" t="s">
        <v>95</v>
      </c>
      <c r="AS2" s="62" t="s">
        <v>1</v>
      </c>
      <c r="AT2" s="62" t="s">
        <v>0</v>
      </c>
      <c r="AU2" s="62" t="s">
        <v>25</v>
      </c>
    </row>
    <row r="3" spans="1:47" x14ac:dyDescent="0.25">
      <c r="A3" s="64">
        <f>B3/C3</f>
        <v>3.5363427697016068</v>
      </c>
      <c r="B3" s="147">
        <v>4622</v>
      </c>
      <c r="C3" s="76">
        <v>1307</v>
      </c>
      <c r="E3" s="4"/>
      <c r="G3" s="65">
        <f t="shared" ref="G3:G17" si="0">H3/I3</f>
        <v>3.5274390243902438</v>
      </c>
      <c r="H3" s="154">
        <v>1157</v>
      </c>
      <c r="I3" s="77">
        <v>328</v>
      </c>
      <c r="M3" s="66">
        <f t="shared" ref="M3:M9" si="1">N3/O3</f>
        <v>3.5833333333333335</v>
      </c>
      <c r="N3" s="145">
        <v>172</v>
      </c>
      <c r="O3" s="78">
        <v>48</v>
      </c>
      <c r="P3" s="66">
        <f>Q3/R3</f>
        <v>1.3333333333333333</v>
      </c>
      <c r="Q3" s="145">
        <v>8</v>
      </c>
      <c r="R3" s="78">
        <v>6</v>
      </c>
      <c r="S3" s="67">
        <f t="shared" ref="S3:S10" si="2">T3/U3</f>
        <v>3.5063291139240507</v>
      </c>
      <c r="T3" s="143">
        <v>554</v>
      </c>
      <c r="U3" s="79">
        <v>158</v>
      </c>
      <c r="V3" s="67">
        <f>W3/X3</f>
        <v>1.5205479452054795</v>
      </c>
      <c r="W3" s="143">
        <v>222</v>
      </c>
      <c r="X3" s="79">
        <v>146</v>
      </c>
      <c r="Y3" s="68">
        <f t="shared" ref="Y3:Y10" si="3">Z3/AA3</f>
        <v>3.547945205479452</v>
      </c>
      <c r="Z3" s="156">
        <v>518</v>
      </c>
      <c r="AA3" s="55">
        <v>146</v>
      </c>
      <c r="AB3" s="68">
        <f>AC3/AD3</f>
        <v>1.44</v>
      </c>
      <c r="AC3" s="156">
        <v>72</v>
      </c>
      <c r="AD3" s="80">
        <v>50</v>
      </c>
      <c r="AE3" s="151">
        <f t="shared" ref="AE3:AE9" si="4">AF3/AK3</f>
        <v>1.68</v>
      </c>
      <c r="AF3" s="158">
        <v>84</v>
      </c>
      <c r="AG3" s="138">
        <f t="shared" ref="AG3:AG9" si="5">AH3/AK3</f>
        <v>1.96</v>
      </c>
      <c r="AH3" s="160">
        <v>98</v>
      </c>
      <c r="AI3" s="141">
        <f t="shared" ref="AI3:AI9" si="6">AJ3/AK3</f>
        <v>12.24</v>
      </c>
      <c r="AJ3" s="162">
        <v>612</v>
      </c>
      <c r="AK3" s="172">
        <v>50</v>
      </c>
      <c r="AM3" s="62">
        <v>1</v>
      </c>
      <c r="AN3" s="62">
        <v>2380</v>
      </c>
      <c r="AO3" s="62">
        <v>715</v>
      </c>
      <c r="AP3" s="62">
        <v>650</v>
      </c>
      <c r="AQ3" s="62">
        <v>1430</v>
      </c>
      <c r="AR3" s="62">
        <v>200</v>
      </c>
      <c r="AS3" s="62">
        <v>3</v>
      </c>
      <c r="AT3" s="62">
        <v>3</v>
      </c>
      <c r="AU3" s="69">
        <v>25.6875</v>
      </c>
    </row>
    <row r="4" spans="1:47" x14ac:dyDescent="0.25">
      <c r="A4" s="64">
        <f>B4/C4</f>
        <v>3.4642857142857144</v>
      </c>
      <c r="B4" s="147">
        <v>97</v>
      </c>
      <c r="C4" s="76">
        <v>28</v>
      </c>
      <c r="E4" s="4"/>
      <c r="G4" s="65">
        <f t="shared" si="0"/>
        <v>3.625</v>
      </c>
      <c r="H4" s="154">
        <v>58</v>
      </c>
      <c r="I4" s="77">
        <v>16</v>
      </c>
      <c r="M4" s="66">
        <f t="shared" si="1"/>
        <v>3.4444444444444446</v>
      </c>
      <c r="N4" s="145">
        <v>93</v>
      </c>
      <c r="O4" s="78">
        <v>27</v>
      </c>
      <c r="P4" s="66">
        <f>Q4/R4</f>
        <v>1.3333333333333333</v>
      </c>
      <c r="Q4" s="145">
        <v>8</v>
      </c>
      <c r="R4" s="78">
        <v>6</v>
      </c>
      <c r="S4" s="67">
        <f t="shared" si="2"/>
        <v>3.4966442953020134</v>
      </c>
      <c r="T4" s="143">
        <v>521</v>
      </c>
      <c r="U4" s="79">
        <v>149</v>
      </c>
      <c r="V4" s="67">
        <f>W4/X4</f>
        <v>1.5337078651685394</v>
      </c>
      <c r="W4" s="143">
        <v>546</v>
      </c>
      <c r="X4" s="79">
        <v>356</v>
      </c>
      <c r="Y4" s="68">
        <f t="shared" si="3"/>
        <v>3.3333333333333335</v>
      </c>
      <c r="Z4" s="156">
        <v>10</v>
      </c>
      <c r="AA4" s="55">
        <v>3</v>
      </c>
      <c r="AB4" s="68">
        <f>AC4/AD4</f>
        <v>2</v>
      </c>
      <c r="AC4" s="156">
        <v>2</v>
      </c>
      <c r="AD4" s="170">
        <v>1</v>
      </c>
      <c r="AE4" s="151">
        <f t="shared" si="4"/>
        <v>1.6666666666666667</v>
      </c>
      <c r="AF4" s="158">
        <v>10</v>
      </c>
      <c r="AG4" s="138">
        <f t="shared" si="5"/>
        <v>2</v>
      </c>
      <c r="AH4" s="160">
        <v>12</v>
      </c>
      <c r="AI4" s="141">
        <f t="shared" si="6"/>
        <v>12.5</v>
      </c>
      <c r="AJ4" s="162">
        <v>75</v>
      </c>
      <c r="AK4" s="172">
        <v>6</v>
      </c>
      <c r="AM4" s="62">
        <v>2</v>
      </c>
      <c r="AN4" s="62">
        <v>2370</v>
      </c>
      <c r="AO4" s="62">
        <v>715</v>
      </c>
      <c r="AP4" s="62">
        <v>650</v>
      </c>
      <c r="AQ4" s="62">
        <v>1430</v>
      </c>
      <c r="AR4" s="62">
        <v>200</v>
      </c>
      <c r="AS4" s="62">
        <v>3.5</v>
      </c>
      <c r="AT4" s="62">
        <v>3</v>
      </c>
      <c r="AU4" s="69">
        <v>25.666666666666668</v>
      </c>
    </row>
    <row r="5" spans="1:47" x14ac:dyDescent="0.25">
      <c r="A5" s="64">
        <f>B5/C5</f>
        <v>3.5</v>
      </c>
      <c r="B5" s="147">
        <v>7</v>
      </c>
      <c r="C5" s="76">
        <v>2</v>
      </c>
      <c r="E5" s="4"/>
      <c r="G5" s="65">
        <f t="shared" si="0"/>
        <v>3.48</v>
      </c>
      <c r="H5" s="154">
        <v>87</v>
      </c>
      <c r="I5" s="77">
        <v>25</v>
      </c>
      <c r="M5" s="66">
        <f t="shared" si="1"/>
        <v>3.3571428571428572</v>
      </c>
      <c r="N5" s="145">
        <v>94</v>
      </c>
      <c r="O5" s="78">
        <v>28</v>
      </c>
      <c r="S5" s="67">
        <f t="shared" si="2"/>
        <v>3.5</v>
      </c>
      <c r="T5" s="143">
        <v>63</v>
      </c>
      <c r="U5" s="79">
        <v>18</v>
      </c>
      <c r="Y5" s="68">
        <f t="shared" si="3"/>
        <v>3.4727272727272727</v>
      </c>
      <c r="Z5" s="156">
        <v>191</v>
      </c>
      <c r="AA5" s="55">
        <v>55</v>
      </c>
      <c r="AB5" s="68">
        <f>AC5/AD5</f>
        <v>1.5789473684210527</v>
      </c>
      <c r="AC5" s="156">
        <v>60</v>
      </c>
      <c r="AD5" s="170">
        <v>38</v>
      </c>
      <c r="AE5" s="151">
        <f t="shared" si="4"/>
        <v>1.7894736842105263</v>
      </c>
      <c r="AF5" s="158">
        <v>68</v>
      </c>
      <c r="AG5" s="138">
        <f t="shared" si="5"/>
        <v>1.8947368421052631</v>
      </c>
      <c r="AH5" s="160">
        <v>72</v>
      </c>
      <c r="AI5" s="141">
        <f t="shared" si="6"/>
        <v>12.315789473684211</v>
      </c>
      <c r="AJ5" s="162">
        <v>468</v>
      </c>
      <c r="AK5" s="172">
        <v>38</v>
      </c>
      <c r="AM5" s="62">
        <v>3</v>
      </c>
      <c r="AN5" s="62">
        <v>2360</v>
      </c>
      <c r="AO5" s="62">
        <v>715</v>
      </c>
      <c r="AP5" s="62">
        <v>650</v>
      </c>
      <c r="AQ5" s="62">
        <v>1430</v>
      </c>
      <c r="AR5" s="62">
        <v>200</v>
      </c>
      <c r="AS5" s="62">
        <v>3.5</v>
      </c>
      <c r="AT5" s="62">
        <v>3.5</v>
      </c>
      <c r="AU5" s="69">
        <v>25.625</v>
      </c>
    </row>
    <row r="6" spans="1:47" x14ac:dyDescent="0.25">
      <c r="A6" s="64" t="s">
        <v>109</v>
      </c>
      <c r="E6" s="4"/>
      <c r="G6" s="65">
        <f t="shared" si="0"/>
        <v>3</v>
      </c>
      <c r="H6" s="154">
        <v>12</v>
      </c>
      <c r="I6" s="77">
        <v>4</v>
      </c>
      <c r="M6" s="66">
        <f t="shared" si="1"/>
        <v>3.3157894736842106</v>
      </c>
      <c r="N6" s="145">
        <v>63</v>
      </c>
      <c r="O6" s="78">
        <v>19</v>
      </c>
      <c r="S6" s="67">
        <f t="shared" si="2"/>
        <v>3.5142857142857142</v>
      </c>
      <c r="T6" s="143">
        <v>123</v>
      </c>
      <c r="U6" s="79">
        <v>35</v>
      </c>
      <c r="Y6" s="68">
        <f t="shared" si="3"/>
        <v>3.6</v>
      </c>
      <c r="Z6" s="156">
        <v>90</v>
      </c>
      <c r="AA6" s="55">
        <v>25</v>
      </c>
      <c r="AB6" s="6"/>
      <c r="AC6" s="2"/>
      <c r="AD6" s="170"/>
      <c r="AE6" s="151">
        <f t="shared" si="4"/>
        <v>1.7123287671232876</v>
      </c>
      <c r="AF6" s="158">
        <v>250</v>
      </c>
      <c r="AG6" s="138">
        <f t="shared" si="5"/>
        <v>1.8630136986301369</v>
      </c>
      <c r="AH6" s="160">
        <v>272</v>
      </c>
      <c r="AI6" s="141">
        <f t="shared" si="6"/>
        <v>12.191780821917808</v>
      </c>
      <c r="AJ6" s="162">
        <v>1780</v>
      </c>
      <c r="AK6" s="172">
        <v>146</v>
      </c>
      <c r="AM6" s="62">
        <v>4</v>
      </c>
      <c r="AN6" s="62">
        <v>2350</v>
      </c>
      <c r="AO6" s="62">
        <v>715</v>
      </c>
      <c r="AP6" s="62">
        <v>650</v>
      </c>
      <c r="AQ6" s="62">
        <v>1430</v>
      </c>
      <c r="AR6" s="62">
        <v>200</v>
      </c>
      <c r="AS6" s="62">
        <v>4</v>
      </c>
      <c r="AT6" s="62">
        <v>3.5</v>
      </c>
      <c r="AU6" s="69">
        <v>25.541666666666668</v>
      </c>
    </row>
    <row r="7" spans="1:47" x14ac:dyDescent="0.25">
      <c r="A7" s="64" t="s">
        <v>109</v>
      </c>
      <c r="E7" s="4"/>
      <c r="G7" s="65">
        <f t="shared" si="0"/>
        <v>3.5118110236220472</v>
      </c>
      <c r="H7" s="154">
        <v>446</v>
      </c>
      <c r="I7" s="77">
        <v>127</v>
      </c>
      <c r="M7" s="66">
        <f t="shared" si="1"/>
        <v>3.6842105263157894</v>
      </c>
      <c r="N7" s="145">
        <v>70</v>
      </c>
      <c r="O7" s="78">
        <v>19</v>
      </c>
      <c r="S7" s="67">
        <f t="shared" si="2"/>
        <v>3.8181818181818183</v>
      </c>
      <c r="T7" s="143">
        <v>42</v>
      </c>
      <c r="U7" s="79">
        <v>11</v>
      </c>
      <c r="Y7" s="68">
        <f t="shared" si="3"/>
        <v>3.5925925925925926</v>
      </c>
      <c r="Z7" s="156">
        <v>194</v>
      </c>
      <c r="AA7" s="80">
        <v>54</v>
      </c>
      <c r="AB7" s="6"/>
      <c r="AE7" s="151">
        <f t="shared" si="4"/>
        <v>1.7191011235955056</v>
      </c>
      <c r="AF7" s="158">
        <v>612</v>
      </c>
      <c r="AG7" s="138">
        <f t="shared" si="5"/>
        <v>1.9269662921348314</v>
      </c>
      <c r="AH7" s="160">
        <v>686</v>
      </c>
      <c r="AI7" s="141">
        <f t="shared" si="6"/>
        <v>12.421348314606741</v>
      </c>
      <c r="AJ7" s="162">
        <v>4422</v>
      </c>
      <c r="AK7" s="172">
        <v>356</v>
      </c>
      <c r="AM7" s="62">
        <v>5</v>
      </c>
      <c r="AN7" s="62">
        <v>2340</v>
      </c>
      <c r="AO7" s="62">
        <v>715</v>
      </c>
      <c r="AP7" s="62">
        <v>650</v>
      </c>
      <c r="AQ7" s="62">
        <v>1430</v>
      </c>
      <c r="AR7" s="62">
        <v>200</v>
      </c>
      <c r="AS7" s="62">
        <v>4</v>
      </c>
      <c r="AT7" s="62">
        <v>4</v>
      </c>
      <c r="AU7" s="69">
        <v>25.416666666666668</v>
      </c>
    </row>
    <row r="8" spans="1:47" x14ac:dyDescent="0.25">
      <c r="A8" s="64" t="s">
        <v>109</v>
      </c>
      <c r="E8" s="4"/>
      <c r="G8" s="65">
        <f t="shared" si="0"/>
        <v>3.4133333333333336</v>
      </c>
      <c r="H8" s="154">
        <v>256</v>
      </c>
      <c r="I8" s="77">
        <v>75</v>
      </c>
      <c r="M8" s="66">
        <f t="shared" si="1"/>
        <v>3.7142857142857144</v>
      </c>
      <c r="N8" s="145">
        <v>26</v>
      </c>
      <c r="O8" s="78">
        <v>7</v>
      </c>
      <c r="S8" s="67">
        <f t="shared" si="2"/>
        <v>3.6666666666666665</v>
      </c>
      <c r="T8" s="143">
        <v>22</v>
      </c>
      <c r="U8" s="79">
        <v>6</v>
      </c>
      <c r="Y8" s="68">
        <f t="shared" si="3"/>
        <v>3.48</v>
      </c>
      <c r="Z8" s="156">
        <v>174</v>
      </c>
      <c r="AA8" s="80">
        <v>50</v>
      </c>
      <c r="AE8" s="151">
        <f t="shared" si="4"/>
        <v>2</v>
      </c>
      <c r="AF8" s="158">
        <v>2</v>
      </c>
      <c r="AG8" s="138">
        <f t="shared" si="5"/>
        <v>1</v>
      </c>
      <c r="AH8" s="160">
        <v>1</v>
      </c>
      <c r="AI8" s="141">
        <f t="shared" si="6"/>
        <v>13</v>
      </c>
      <c r="AJ8" s="162">
        <v>13</v>
      </c>
      <c r="AK8" s="172">
        <v>1</v>
      </c>
      <c r="AM8" s="62">
        <v>6</v>
      </c>
      <c r="AN8" s="62">
        <v>2320</v>
      </c>
      <c r="AO8" s="62">
        <v>715</v>
      </c>
      <c r="AP8" s="62">
        <v>650</v>
      </c>
      <c r="AQ8" s="62">
        <v>1430</v>
      </c>
      <c r="AR8" s="62">
        <v>200</v>
      </c>
      <c r="AS8" s="62">
        <v>4.5</v>
      </c>
      <c r="AT8" s="62">
        <v>4</v>
      </c>
      <c r="AU8" s="69">
        <v>25.25</v>
      </c>
    </row>
    <row r="9" spans="1:47" x14ac:dyDescent="0.25">
      <c r="A9" s="64" t="s">
        <v>109</v>
      </c>
      <c r="E9" s="4"/>
      <c r="G9" s="65">
        <f t="shared" si="0"/>
        <v>3.5</v>
      </c>
      <c r="H9" s="154">
        <v>140</v>
      </c>
      <c r="I9" s="77">
        <v>40</v>
      </c>
      <c r="M9" s="66">
        <f t="shared" si="1"/>
        <v>3.3333333333333335</v>
      </c>
      <c r="N9" s="145">
        <v>20</v>
      </c>
      <c r="O9" s="78">
        <v>6</v>
      </c>
      <c r="S9" s="67">
        <f t="shared" si="2"/>
        <v>3.6232876712328768</v>
      </c>
      <c r="T9" s="143">
        <v>529</v>
      </c>
      <c r="U9" s="79">
        <v>146</v>
      </c>
      <c r="Y9" s="68">
        <f t="shared" si="3"/>
        <v>3</v>
      </c>
      <c r="Z9" s="156">
        <v>3</v>
      </c>
      <c r="AA9" s="80">
        <v>1</v>
      </c>
      <c r="AE9" s="151">
        <f t="shared" si="4"/>
        <v>2</v>
      </c>
      <c r="AF9" s="158">
        <v>12</v>
      </c>
      <c r="AG9" s="138">
        <f t="shared" si="5"/>
        <v>1.8333333333333333</v>
      </c>
      <c r="AH9" s="160">
        <v>11</v>
      </c>
      <c r="AI9" s="141">
        <f t="shared" si="6"/>
        <v>12.333333333333334</v>
      </c>
      <c r="AJ9" s="162">
        <v>74</v>
      </c>
      <c r="AK9" s="172">
        <v>6</v>
      </c>
      <c r="AM9" s="62">
        <v>7</v>
      </c>
      <c r="AN9" s="62">
        <v>2300</v>
      </c>
      <c r="AO9" s="62">
        <v>715</v>
      </c>
      <c r="AP9" s="62">
        <v>650</v>
      </c>
      <c r="AQ9" s="62">
        <v>1430</v>
      </c>
      <c r="AR9" s="62">
        <v>200</v>
      </c>
      <c r="AS9" s="62">
        <v>4.5</v>
      </c>
      <c r="AT9" s="62">
        <v>4.5</v>
      </c>
      <c r="AU9" s="69">
        <v>25.041666666666668</v>
      </c>
    </row>
    <row r="10" spans="1:47" x14ac:dyDescent="0.25">
      <c r="A10" s="64" t="s">
        <v>109</v>
      </c>
      <c r="E10" s="4"/>
      <c r="G10" s="65">
        <f t="shared" si="0"/>
        <v>3.4545454545454546</v>
      </c>
      <c r="H10" s="154">
        <v>608</v>
      </c>
      <c r="I10" s="77">
        <v>176</v>
      </c>
      <c r="M10" s="66" t="s">
        <v>109</v>
      </c>
      <c r="S10" s="67">
        <f t="shared" si="2"/>
        <v>3.4747191011235956</v>
      </c>
      <c r="T10" s="143">
        <v>1237</v>
      </c>
      <c r="U10" s="79">
        <v>356</v>
      </c>
      <c r="Y10" s="68">
        <f t="shared" si="3"/>
        <v>3.5263157894736841</v>
      </c>
      <c r="Z10" s="156">
        <v>134</v>
      </c>
      <c r="AA10" s="80">
        <v>38</v>
      </c>
      <c r="AG10" s="138" t="s">
        <v>109</v>
      </c>
      <c r="AI10" s="141" t="s">
        <v>109</v>
      </c>
      <c r="AM10" s="62">
        <v>8</v>
      </c>
      <c r="AN10" s="62">
        <v>2280</v>
      </c>
      <c r="AO10" s="62">
        <v>715</v>
      </c>
      <c r="AP10" s="62">
        <v>650</v>
      </c>
      <c r="AQ10" s="62">
        <v>1430</v>
      </c>
      <c r="AR10" s="62">
        <v>200</v>
      </c>
      <c r="AS10" s="62">
        <v>5</v>
      </c>
      <c r="AT10" s="62">
        <v>4.5</v>
      </c>
      <c r="AU10" s="69">
        <v>24.791666666666668</v>
      </c>
    </row>
    <row r="11" spans="1:47" x14ac:dyDescent="0.25">
      <c r="A11" s="64" t="s">
        <v>109</v>
      </c>
      <c r="E11" s="4"/>
      <c r="G11" s="65">
        <f t="shared" si="0"/>
        <v>3.1111111111111112</v>
      </c>
      <c r="H11" s="154">
        <v>28</v>
      </c>
      <c r="I11" s="77">
        <v>9</v>
      </c>
      <c r="M11" s="66" t="s">
        <v>109</v>
      </c>
      <c r="S11" s="67" t="s">
        <v>109</v>
      </c>
      <c r="Y11" s="68" t="s">
        <v>109</v>
      </c>
      <c r="AG11" s="138" t="s">
        <v>109</v>
      </c>
      <c r="AI11" s="141" t="s">
        <v>109</v>
      </c>
      <c r="AM11" s="62">
        <v>9</v>
      </c>
      <c r="AN11" s="62">
        <v>2260</v>
      </c>
      <c r="AO11" s="62">
        <v>715</v>
      </c>
      <c r="AP11" s="62">
        <v>650</v>
      </c>
      <c r="AQ11" s="62">
        <v>1430</v>
      </c>
      <c r="AR11" s="62">
        <v>200</v>
      </c>
      <c r="AS11" s="62">
        <v>5</v>
      </c>
      <c r="AT11" s="62">
        <v>5</v>
      </c>
      <c r="AU11" s="69">
        <v>24.5</v>
      </c>
    </row>
    <row r="12" spans="1:47" x14ac:dyDescent="0.25">
      <c r="A12" s="64" t="s">
        <v>109</v>
      </c>
      <c r="E12" s="4"/>
      <c r="G12" s="65">
        <f t="shared" si="0"/>
        <v>3.3333333333333335</v>
      </c>
      <c r="H12" s="154">
        <v>60</v>
      </c>
      <c r="I12" s="77">
        <v>18</v>
      </c>
      <c r="M12" s="66" t="s">
        <v>109</v>
      </c>
      <c r="S12" s="67" t="s">
        <v>109</v>
      </c>
      <c r="Y12" s="68" t="s">
        <v>109</v>
      </c>
      <c r="AG12" s="138" t="s">
        <v>109</v>
      </c>
      <c r="AI12" s="141" t="s">
        <v>109</v>
      </c>
      <c r="AM12" s="62">
        <v>10</v>
      </c>
      <c r="AN12" s="62">
        <v>2240</v>
      </c>
      <c r="AO12" s="62">
        <v>715</v>
      </c>
      <c r="AP12" s="62">
        <v>650</v>
      </c>
      <c r="AQ12" s="62">
        <v>1430</v>
      </c>
      <c r="AR12" s="62">
        <v>200</v>
      </c>
      <c r="AS12" s="62">
        <v>5.5</v>
      </c>
      <c r="AT12" s="62">
        <v>5</v>
      </c>
      <c r="AU12" s="69">
        <v>24.166666666666668</v>
      </c>
    </row>
    <row r="13" spans="1:47" x14ac:dyDescent="0.25">
      <c r="A13" s="64" t="s">
        <v>109</v>
      </c>
      <c r="E13" s="4"/>
      <c r="G13" s="65">
        <f t="shared" si="0"/>
        <v>3.25</v>
      </c>
      <c r="H13" s="154">
        <v>13</v>
      </c>
      <c r="I13" s="77">
        <v>4</v>
      </c>
      <c r="M13" s="66" t="s">
        <v>109</v>
      </c>
      <c r="S13" s="67" t="s">
        <v>109</v>
      </c>
      <c r="Y13" s="68" t="s">
        <v>109</v>
      </c>
      <c r="AG13" s="138" t="s">
        <v>109</v>
      </c>
      <c r="AI13" s="141" t="s">
        <v>109</v>
      </c>
      <c r="AM13" s="62">
        <v>11</v>
      </c>
      <c r="AN13" s="62">
        <v>2210</v>
      </c>
      <c r="AO13" s="62">
        <v>710</v>
      </c>
      <c r="AP13" s="62">
        <v>650</v>
      </c>
      <c r="AQ13" s="62">
        <v>1420</v>
      </c>
      <c r="AR13" s="62">
        <v>200</v>
      </c>
      <c r="AS13" s="62">
        <v>5.5</v>
      </c>
      <c r="AT13" s="62">
        <v>5.5</v>
      </c>
      <c r="AU13" s="69">
        <v>23.75</v>
      </c>
    </row>
    <row r="14" spans="1:47" x14ac:dyDescent="0.25">
      <c r="A14" s="64" t="s">
        <v>109</v>
      </c>
      <c r="E14" s="4"/>
      <c r="G14" s="65">
        <f t="shared" si="0"/>
        <v>3.6</v>
      </c>
      <c r="H14" s="154">
        <v>18</v>
      </c>
      <c r="I14" s="77">
        <v>5</v>
      </c>
      <c r="M14" s="66" t="s">
        <v>109</v>
      </c>
      <c r="S14" s="67" t="s">
        <v>109</v>
      </c>
      <c r="Y14" s="68" t="s">
        <v>109</v>
      </c>
      <c r="AG14" s="138" t="s">
        <v>109</v>
      </c>
      <c r="AI14" s="141" t="s">
        <v>109</v>
      </c>
      <c r="AM14" s="62">
        <v>12</v>
      </c>
      <c r="AN14" s="62">
        <v>2180</v>
      </c>
      <c r="AO14" s="62">
        <v>705</v>
      </c>
      <c r="AP14" s="62">
        <v>650</v>
      </c>
      <c r="AQ14" s="62">
        <v>1410</v>
      </c>
      <c r="AR14" s="62">
        <v>200</v>
      </c>
      <c r="AS14" s="62">
        <v>6</v>
      </c>
      <c r="AT14" s="62">
        <v>5.5</v>
      </c>
      <c r="AU14" s="69">
        <v>23.25</v>
      </c>
    </row>
    <row r="15" spans="1:47" x14ac:dyDescent="0.25">
      <c r="A15" s="64" t="s">
        <v>109</v>
      </c>
      <c r="E15" s="4"/>
      <c r="G15" s="65">
        <f t="shared" si="0"/>
        <v>3.3529411764705883</v>
      </c>
      <c r="H15" s="154">
        <v>57</v>
      </c>
      <c r="I15" s="77">
        <v>17</v>
      </c>
      <c r="M15" s="66" t="s">
        <v>109</v>
      </c>
      <c r="S15" s="67" t="s">
        <v>109</v>
      </c>
      <c r="Y15" s="68" t="s">
        <v>109</v>
      </c>
      <c r="AG15" s="138" t="s">
        <v>109</v>
      </c>
      <c r="AI15" s="141" t="s">
        <v>109</v>
      </c>
      <c r="AM15" s="62">
        <v>13</v>
      </c>
      <c r="AN15" s="62">
        <v>2150</v>
      </c>
      <c r="AO15" s="62">
        <v>700</v>
      </c>
      <c r="AP15" s="62">
        <v>650</v>
      </c>
      <c r="AQ15" s="62">
        <v>1400</v>
      </c>
      <c r="AR15" s="62">
        <v>200</v>
      </c>
      <c r="AS15" s="62">
        <v>6</v>
      </c>
      <c r="AT15" s="62">
        <v>6</v>
      </c>
      <c r="AU15" s="69">
        <v>22.666666666666668</v>
      </c>
    </row>
    <row r="16" spans="1:47" x14ac:dyDescent="0.25">
      <c r="A16" s="64" t="s">
        <v>109</v>
      </c>
      <c r="E16" s="4"/>
      <c r="G16" s="65">
        <f t="shared" si="0"/>
        <v>3</v>
      </c>
      <c r="H16" s="154">
        <v>15</v>
      </c>
      <c r="I16" s="77">
        <v>5</v>
      </c>
      <c r="M16" s="66" t="s">
        <v>109</v>
      </c>
      <c r="S16" s="67" t="s">
        <v>109</v>
      </c>
      <c r="Y16" s="68" t="s">
        <v>109</v>
      </c>
      <c r="AG16" s="138" t="s">
        <v>109</v>
      </c>
      <c r="AI16" s="141" t="s">
        <v>109</v>
      </c>
      <c r="AM16" s="62">
        <v>15</v>
      </c>
      <c r="AN16" s="62">
        <v>2120</v>
      </c>
      <c r="AO16" s="62">
        <v>690</v>
      </c>
      <c r="AP16" s="62">
        <v>650</v>
      </c>
      <c r="AQ16" s="62">
        <v>1380</v>
      </c>
      <c r="AR16" s="62">
        <v>200</v>
      </c>
      <c r="AS16" s="62">
        <v>6.5</v>
      </c>
      <c r="AT16" s="62">
        <v>6</v>
      </c>
      <c r="AU16" s="69">
        <v>22</v>
      </c>
    </row>
    <row r="17" spans="1:47" x14ac:dyDescent="0.25">
      <c r="A17" s="64" t="s">
        <v>109</v>
      </c>
      <c r="E17" s="4"/>
      <c r="G17" s="65">
        <f t="shared" si="0"/>
        <v>3.40625</v>
      </c>
      <c r="H17" s="154">
        <v>109</v>
      </c>
      <c r="I17" s="77">
        <v>32</v>
      </c>
      <c r="M17" s="66" t="s">
        <v>109</v>
      </c>
      <c r="S17" s="67" t="s">
        <v>109</v>
      </c>
      <c r="Y17" s="68" t="s">
        <v>109</v>
      </c>
      <c r="AG17" s="138" t="s">
        <v>109</v>
      </c>
      <c r="AI17" s="141" t="s">
        <v>109</v>
      </c>
      <c r="AM17" s="62">
        <v>15</v>
      </c>
      <c r="AN17" s="62">
        <v>2120</v>
      </c>
      <c r="AO17" s="62">
        <v>690</v>
      </c>
      <c r="AP17" s="62">
        <v>650</v>
      </c>
      <c r="AQ17" s="62">
        <v>1380</v>
      </c>
      <c r="AR17" s="62">
        <v>200</v>
      </c>
      <c r="AS17" s="62">
        <v>6.5</v>
      </c>
      <c r="AT17" s="62">
        <v>6</v>
      </c>
      <c r="AU17" s="69">
        <v>21.25</v>
      </c>
    </row>
    <row r="18" spans="1:47" x14ac:dyDescent="0.25">
      <c r="A18" s="64" t="s">
        <v>109</v>
      </c>
      <c r="E18" s="4"/>
      <c r="G18" s="65" t="s">
        <v>109</v>
      </c>
      <c r="M18" s="66" t="s">
        <v>109</v>
      </c>
      <c r="S18" s="67" t="s">
        <v>109</v>
      </c>
      <c r="Y18" s="68" t="s">
        <v>109</v>
      </c>
      <c r="AG18" s="138" t="s">
        <v>109</v>
      </c>
      <c r="AI18" s="141" t="s">
        <v>109</v>
      </c>
      <c r="AM18" s="62">
        <v>16</v>
      </c>
      <c r="AN18" s="62">
        <v>2040</v>
      </c>
      <c r="AO18" s="62">
        <v>660</v>
      </c>
      <c r="AP18" s="62">
        <v>650</v>
      </c>
      <c r="AQ18" s="62">
        <v>1320</v>
      </c>
      <c r="AR18" s="62">
        <v>200</v>
      </c>
      <c r="AS18" s="62">
        <v>8</v>
      </c>
      <c r="AT18" s="62">
        <v>8</v>
      </c>
      <c r="AU18" s="69">
        <v>20.416666666666668</v>
      </c>
    </row>
    <row r="19" spans="1:47" x14ac:dyDescent="0.25">
      <c r="A19" s="64" t="s">
        <v>109</v>
      </c>
      <c r="E19" s="4"/>
      <c r="G19" s="65" t="s">
        <v>109</v>
      </c>
      <c r="M19" s="66" t="s">
        <v>109</v>
      </c>
      <c r="S19" s="67" t="s">
        <v>109</v>
      </c>
      <c r="Y19" s="68" t="s">
        <v>109</v>
      </c>
      <c r="AG19" s="138" t="s">
        <v>109</v>
      </c>
      <c r="AI19" s="141" t="s">
        <v>109</v>
      </c>
      <c r="AM19" s="62">
        <v>17</v>
      </c>
      <c r="AN19" s="62">
        <v>1990</v>
      </c>
      <c r="AO19" s="62">
        <v>640</v>
      </c>
      <c r="AP19" s="62">
        <v>650</v>
      </c>
      <c r="AQ19" s="62">
        <v>1280</v>
      </c>
      <c r="AR19" s="62">
        <v>200</v>
      </c>
      <c r="AS19" s="62">
        <v>8</v>
      </c>
      <c r="AT19" s="62">
        <v>8.5</v>
      </c>
      <c r="AU19" s="69">
        <v>19.5</v>
      </c>
    </row>
    <row r="20" spans="1:47" x14ac:dyDescent="0.25">
      <c r="A20" s="64" t="s">
        <v>109</v>
      </c>
      <c r="E20" s="4"/>
      <c r="G20" s="65" t="s">
        <v>109</v>
      </c>
      <c r="M20" s="66" t="s">
        <v>109</v>
      </c>
      <c r="S20" s="67" t="s">
        <v>109</v>
      </c>
      <c r="Y20" s="68" t="s">
        <v>109</v>
      </c>
      <c r="AG20" s="138" t="s">
        <v>109</v>
      </c>
      <c r="AI20" s="141" t="s">
        <v>109</v>
      </c>
      <c r="AM20" s="62">
        <v>18</v>
      </c>
      <c r="AN20" s="62">
        <v>1940</v>
      </c>
      <c r="AO20" s="62">
        <v>620</v>
      </c>
      <c r="AP20" s="62">
        <v>650</v>
      </c>
      <c r="AQ20" s="62">
        <v>1240</v>
      </c>
      <c r="AR20" s="62">
        <v>200</v>
      </c>
      <c r="AS20" s="62">
        <v>8.5</v>
      </c>
      <c r="AT20" s="62">
        <v>8.5</v>
      </c>
      <c r="AU20" s="69">
        <v>18.5</v>
      </c>
    </row>
    <row r="21" spans="1:47" x14ac:dyDescent="0.25">
      <c r="A21" s="64" t="s">
        <v>109</v>
      </c>
      <c r="E21" s="4"/>
      <c r="G21" s="65" t="s">
        <v>109</v>
      </c>
      <c r="M21" s="66" t="s">
        <v>109</v>
      </c>
      <c r="S21" s="67" t="s">
        <v>109</v>
      </c>
      <c r="Y21" s="68" t="s">
        <v>109</v>
      </c>
      <c r="AG21" s="138" t="s">
        <v>109</v>
      </c>
      <c r="AI21" s="141" t="s">
        <v>109</v>
      </c>
      <c r="AM21" s="62">
        <v>19</v>
      </c>
      <c r="AN21" s="62">
        <v>1870</v>
      </c>
      <c r="AO21" s="62">
        <v>590</v>
      </c>
      <c r="AP21" s="62">
        <v>650</v>
      </c>
      <c r="AQ21" s="62">
        <v>1180</v>
      </c>
      <c r="AR21" s="62">
        <v>200</v>
      </c>
      <c r="AS21" s="62">
        <v>8.5</v>
      </c>
      <c r="AT21" s="62">
        <v>9</v>
      </c>
      <c r="AU21" s="69">
        <v>17.416666666666668</v>
      </c>
    </row>
    <row r="22" spans="1:47" x14ac:dyDescent="0.25">
      <c r="A22" s="64" t="s">
        <v>109</v>
      </c>
      <c r="E22" s="4"/>
      <c r="G22" s="65" t="s">
        <v>109</v>
      </c>
      <c r="M22" s="66" t="s">
        <v>109</v>
      </c>
      <c r="S22" s="67" t="s">
        <v>109</v>
      </c>
      <c r="Y22" s="68" t="s">
        <v>109</v>
      </c>
      <c r="AG22" s="138" t="s">
        <v>109</v>
      </c>
      <c r="AI22" s="141" t="s">
        <v>109</v>
      </c>
      <c r="AM22" s="62">
        <v>20</v>
      </c>
      <c r="AN22" s="62">
        <v>1800</v>
      </c>
      <c r="AO22" s="62">
        <v>560</v>
      </c>
      <c r="AP22" s="62">
        <v>650</v>
      </c>
      <c r="AQ22" s="62">
        <v>1120</v>
      </c>
      <c r="AR22" s="62">
        <v>200</v>
      </c>
      <c r="AS22" s="62">
        <v>9</v>
      </c>
      <c r="AT22" s="62">
        <v>9</v>
      </c>
      <c r="AU22" s="69">
        <v>16.25</v>
      </c>
    </row>
    <row r="23" spans="1:47" x14ac:dyDescent="0.25">
      <c r="A23" s="64" t="s">
        <v>109</v>
      </c>
      <c r="E23" s="4"/>
      <c r="G23" s="65" t="s">
        <v>109</v>
      </c>
      <c r="M23" s="66" t="s">
        <v>109</v>
      </c>
      <c r="S23" s="67" t="s">
        <v>109</v>
      </c>
      <c r="Y23" s="68" t="s">
        <v>109</v>
      </c>
      <c r="AG23" s="138" t="s">
        <v>109</v>
      </c>
      <c r="AI23" s="141" t="s">
        <v>109</v>
      </c>
      <c r="AM23" s="62">
        <v>21</v>
      </c>
      <c r="AN23" s="62">
        <v>1700</v>
      </c>
      <c r="AO23" s="62">
        <v>520</v>
      </c>
      <c r="AP23" s="62">
        <v>630</v>
      </c>
      <c r="AQ23" s="62">
        <v>1040</v>
      </c>
      <c r="AR23" s="62">
        <v>200</v>
      </c>
      <c r="AS23" s="62">
        <v>9</v>
      </c>
      <c r="AT23" s="62">
        <v>9.5</v>
      </c>
      <c r="AU23" s="69">
        <v>15</v>
      </c>
    </row>
    <row r="24" spans="1:47" x14ac:dyDescent="0.25">
      <c r="A24" s="64" t="s">
        <v>109</v>
      </c>
      <c r="E24" s="4"/>
      <c r="G24" s="65" t="s">
        <v>109</v>
      </c>
      <c r="M24" s="66" t="s">
        <v>109</v>
      </c>
      <c r="S24" s="67" t="s">
        <v>109</v>
      </c>
      <c r="Y24" s="68" t="s">
        <v>109</v>
      </c>
      <c r="AG24" s="138" t="s">
        <v>109</v>
      </c>
      <c r="AI24" s="141" t="s">
        <v>109</v>
      </c>
      <c r="AM24" s="62">
        <v>22</v>
      </c>
      <c r="AN24" s="62">
        <v>1600</v>
      </c>
      <c r="AO24" s="62">
        <v>480</v>
      </c>
      <c r="AP24" s="62">
        <v>600</v>
      </c>
      <c r="AQ24" s="62">
        <v>960</v>
      </c>
      <c r="AR24" s="62">
        <v>200</v>
      </c>
      <c r="AS24" s="62">
        <v>9.5</v>
      </c>
      <c r="AT24" s="62">
        <v>9.5</v>
      </c>
      <c r="AU24" s="69">
        <v>13.666666666666666</v>
      </c>
    </row>
    <row r="25" spans="1:47" x14ac:dyDescent="0.25">
      <c r="A25" s="64" t="s">
        <v>109</v>
      </c>
      <c r="E25" s="4"/>
      <c r="G25" s="65" t="s">
        <v>109</v>
      </c>
      <c r="M25" s="66" t="s">
        <v>109</v>
      </c>
      <c r="S25" s="67" t="s">
        <v>109</v>
      </c>
      <c r="Y25" s="68" t="s">
        <v>109</v>
      </c>
      <c r="AG25" s="138" t="s">
        <v>109</v>
      </c>
      <c r="AI25" s="141" t="s">
        <v>109</v>
      </c>
      <c r="AM25" s="62">
        <v>23</v>
      </c>
      <c r="AN25" s="62">
        <v>1500</v>
      </c>
      <c r="AO25" s="62">
        <v>440</v>
      </c>
      <c r="AP25" s="62">
        <v>560</v>
      </c>
      <c r="AQ25" s="62">
        <v>880</v>
      </c>
      <c r="AR25" s="62">
        <v>200</v>
      </c>
      <c r="AS25" s="62">
        <v>9.5</v>
      </c>
      <c r="AT25" s="62">
        <v>10</v>
      </c>
      <c r="AU25" s="69">
        <v>12.25</v>
      </c>
    </row>
    <row r="26" spans="1:47" x14ac:dyDescent="0.25">
      <c r="A26" s="64" t="s">
        <v>109</v>
      </c>
      <c r="E26" s="4"/>
      <c r="G26" s="65" t="s">
        <v>109</v>
      </c>
      <c r="M26" s="66" t="s">
        <v>109</v>
      </c>
      <c r="S26" s="67" t="s">
        <v>109</v>
      </c>
      <c r="Y26" s="68" t="s">
        <v>109</v>
      </c>
      <c r="AG26" s="138" t="s">
        <v>109</v>
      </c>
      <c r="AI26" s="141" t="s">
        <v>109</v>
      </c>
      <c r="AM26" s="62">
        <v>24</v>
      </c>
      <c r="AN26" s="62">
        <v>1350</v>
      </c>
      <c r="AO26" s="62">
        <v>390</v>
      </c>
      <c r="AP26" s="62">
        <v>510</v>
      </c>
      <c r="AQ26" s="62">
        <v>780</v>
      </c>
      <c r="AR26" s="62">
        <v>200</v>
      </c>
      <c r="AS26" s="62">
        <v>10</v>
      </c>
      <c r="AT26" s="62">
        <v>10</v>
      </c>
      <c r="AU26" s="69">
        <v>10.75</v>
      </c>
    </row>
    <row r="27" spans="1:47" x14ac:dyDescent="0.25">
      <c r="E27" s="4"/>
      <c r="AM27" s="62">
        <v>25</v>
      </c>
      <c r="AN27" s="62">
        <v>1200</v>
      </c>
      <c r="AO27" s="62">
        <v>340</v>
      </c>
      <c r="AP27" s="62">
        <v>450</v>
      </c>
      <c r="AQ27" s="62">
        <v>680</v>
      </c>
      <c r="AR27" s="62">
        <v>200</v>
      </c>
      <c r="AS27" s="62">
        <v>10</v>
      </c>
      <c r="AT27" s="62">
        <v>10.5</v>
      </c>
      <c r="AU27" s="69">
        <v>9.1666666666666661</v>
      </c>
    </row>
    <row r="28" spans="1:47" x14ac:dyDescent="0.25">
      <c r="E28" s="4"/>
      <c r="AM28" s="62">
        <v>26</v>
      </c>
      <c r="AN28" s="62">
        <v>1000</v>
      </c>
      <c r="AO28" s="62">
        <v>280</v>
      </c>
      <c r="AP28" s="62">
        <v>380</v>
      </c>
      <c r="AQ28" s="62">
        <v>560</v>
      </c>
      <c r="AR28" s="62">
        <v>180</v>
      </c>
      <c r="AS28" s="62">
        <v>10.5</v>
      </c>
      <c r="AT28" s="62">
        <v>10.5</v>
      </c>
      <c r="AU28" s="69">
        <v>7.5</v>
      </c>
    </row>
    <row r="29" spans="1:47" x14ac:dyDescent="0.25">
      <c r="E29" s="4"/>
      <c r="AM29" s="62">
        <v>27</v>
      </c>
      <c r="AN29" s="62">
        <v>800</v>
      </c>
      <c r="AO29" s="62">
        <v>220</v>
      </c>
      <c r="AP29" s="62">
        <v>300</v>
      </c>
      <c r="AQ29" s="62">
        <v>440</v>
      </c>
      <c r="AR29" s="62">
        <v>150</v>
      </c>
      <c r="AS29" s="62">
        <v>10.5</v>
      </c>
      <c r="AT29" s="62">
        <v>11</v>
      </c>
      <c r="AU29" s="69">
        <v>5.75</v>
      </c>
    </row>
    <row r="30" spans="1:47" x14ac:dyDescent="0.25">
      <c r="E30" s="4"/>
      <c r="AM30" s="62">
        <v>28</v>
      </c>
      <c r="AN30" s="62">
        <v>600</v>
      </c>
      <c r="AO30" s="62">
        <v>160</v>
      </c>
      <c r="AP30" s="62">
        <v>210</v>
      </c>
      <c r="AQ30" s="62">
        <v>320</v>
      </c>
      <c r="AR30" s="62">
        <v>110</v>
      </c>
      <c r="AS30" s="62">
        <v>11</v>
      </c>
      <c r="AT30" s="62">
        <v>11</v>
      </c>
      <c r="AU30" s="69">
        <v>3.9166666666666665</v>
      </c>
    </row>
    <row r="31" spans="1:47" x14ac:dyDescent="0.25">
      <c r="E31" s="4"/>
      <c r="AM31" s="62">
        <v>29</v>
      </c>
      <c r="AN31" s="62">
        <v>300</v>
      </c>
      <c r="AO31" s="62">
        <v>80</v>
      </c>
      <c r="AP31" s="62">
        <v>110</v>
      </c>
      <c r="AQ31" s="62">
        <v>160</v>
      </c>
      <c r="AR31" s="62">
        <v>60</v>
      </c>
      <c r="AS31" s="62">
        <v>11</v>
      </c>
      <c r="AT31" s="62">
        <v>11.5</v>
      </c>
      <c r="AU31" s="69">
        <v>2</v>
      </c>
    </row>
    <row r="32" spans="1:47" x14ac:dyDescent="0.25">
      <c r="E32" s="4"/>
      <c r="AM32" s="62">
        <v>30</v>
      </c>
      <c r="AN32" s="62">
        <v>0</v>
      </c>
      <c r="AO32" s="62">
        <v>0</v>
      </c>
      <c r="AP32" s="62">
        <v>0</v>
      </c>
      <c r="AQ32" s="62">
        <v>0</v>
      </c>
      <c r="AR32" s="62">
        <v>0</v>
      </c>
      <c r="AS32" s="62">
        <v>11.5</v>
      </c>
      <c r="AT32" s="62">
        <v>11.5</v>
      </c>
      <c r="AU32" s="69">
        <v>0</v>
      </c>
    </row>
    <row r="33" spans="5:5" x14ac:dyDescent="0.25">
      <c r="E33" s="4"/>
    </row>
  </sheetData>
  <mergeCells count="25">
    <mergeCell ref="J1:K1"/>
    <mergeCell ref="D1:E1"/>
    <mergeCell ref="AM1:AU1"/>
    <mergeCell ref="AA1:AA2"/>
    <mergeCell ref="Y1:Z1"/>
    <mergeCell ref="AB1:AC1"/>
    <mergeCell ref="U1:U2"/>
    <mergeCell ref="S1:T1"/>
    <mergeCell ref="V1:W1"/>
    <mergeCell ref="A1:B1"/>
    <mergeCell ref="AI1:AJ1"/>
    <mergeCell ref="AK1:AK2"/>
    <mergeCell ref="AE1:AF1"/>
    <mergeCell ref="AG1:AH1"/>
    <mergeCell ref="F1:F2"/>
    <mergeCell ref="L1:L2"/>
    <mergeCell ref="R1:R2"/>
    <mergeCell ref="X1:X2"/>
    <mergeCell ref="AD1:AD2"/>
    <mergeCell ref="C1:C2"/>
    <mergeCell ref="I1:I2"/>
    <mergeCell ref="O1:O2"/>
    <mergeCell ref="M1:N1"/>
    <mergeCell ref="P1:Q1"/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F150-7F4C-41F2-B867-3821157DD2BF}">
  <sheetPr>
    <tabColor rgb="FF00B050"/>
  </sheetPr>
  <dimension ref="A1:P12"/>
  <sheetViews>
    <sheetView zoomScaleNormal="60" zoomScaleSheetLayoutView="100" workbookViewId="0">
      <selection activeCell="B8" sqref="B8"/>
    </sheetView>
  </sheetViews>
  <sheetFormatPr defaultColWidth="8.5703125" defaultRowHeight="25.5" customHeight="1" x14ac:dyDescent="0.25"/>
  <cols>
    <col min="1" max="1" width="8.5703125" style="62"/>
    <col min="2" max="2" width="16.28515625" style="62" customWidth="1"/>
    <col min="3" max="5" width="8.5703125" style="62"/>
    <col min="6" max="6" width="14.7109375" style="62" customWidth="1"/>
    <col min="7" max="7" width="8.5703125" style="62"/>
    <col min="8" max="8" width="3.28515625" style="62" customWidth="1"/>
    <col min="9" max="10" width="8.5703125" style="62"/>
    <col min="11" max="12" width="12.140625" style="62" customWidth="1"/>
    <col min="13" max="15" width="8.5703125" style="62"/>
    <col min="16" max="16" width="14.7109375" style="62" customWidth="1"/>
    <col min="17" max="16384" width="8.5703125" style="62"/>
  </cols>
  <sheetData>
    <row r="1" spans="1:16" ht="25.5" customHeight="1" x14ac:dyDescent="0.25">
      <c r="A1" s="403" t="s">
        <v>116</v>
      </c>
      <c r="B1" s="403"/>
      <c r="C1" s="403"/>
      <c r="D1" s="403"/>
      <c r="E1" s="403"/>
      <c r="F1" s="403"/>
      <c r="G1" s="403"/>
      <c r="J1" s="24"/>
      <c r="K1" s="23" t="s">
        <v>31</v>
      </c>
      <c r="L1" s="23" t="s">
        <v>56</v>
      </c>
      <c r="M1" s="23" t="s">
        <v>59</v>
      </c>
      <c r="N1" s="23" t="s">
        <v>60</v>
      </c>
      <c r="O1" s="23" t="s">
        <v>61</v>
      </c>
      <c r="P1" s="23" t="s">
        <v>62</v>
      </c>
    </row>
    <row r="2" spans="1:16" ht="25.5" customHeight="1" x14ac:dyDescent="0.25">
      <c r="A2" s="406" t="s">
        <v>64</v>
      </c>
      <c r="B2" s="406"/>
      <c r="C2" s="407" t="s">
        <v>66</v>
      </c>
      <c r="D2" s="407"/>
      <c r="E2" s="405" t="s">
        <v>68</v>
      </c>
      <c r="F2" s="405"/>
      <c r="G2" s="405"/>
      <c r="J2" s="23" t="s">
        <v>57</v>
      </c>
      <c r="K2" s="166">
        <v>247964</v>
      </c>
      <c r="L2" s="166">
        <v>9</v>
      </c>
      <c r="M2" s="166">
        <v>9603</v>
      </c>
      <c r="N2" s="167">
        <v>322</v>
      </c>
      <c r="O2" s="167">
        <v>44</v>
      </c>
      <c r="P2" s="167">
        <f>M2*DRAGEXP_S+N2*DRAGEXP_M+O2*DRAGEXP_L</f>
        <v>1916450</v>
      </c>
    </row>
    <row r="3" spans="1:16" ht="25.5" customHeight="1" x14ac:dyDescent="0.25">
      <c r="A3" s="100" t="s">
        <v>59</v>
      </c>
      <c r="B3" s="101">
        <v>1635</v>
      </c>
      <c r="C3" s="102" t="s">
        <v>121</v>
      </c>
      <c r="D3" s="128">
        <v>0</v>
      </c>
      <c r="E3" s="71" t="s">
        <v>69</v>
      </c>
      <c r="F3" s="401">
        <f>_xlfn.FLOOR.MATH(B7/MAX(DATA_DRAG_ACCU_EXP))</f>
        <v>8</v>
      </c>
      <c r="G3" s="401"/>
      <c r="J3" s="23" t="s">
        <v>58</v>
      </c>
      <c r="K3" s="166">
        <v>247864</v>
      </c>
      <c r="L3" s="166">
        <v>1</v>
      </c>
      <c r="M3" s="166">
        <v>9734</v>
      </c>
      <c r="N3" s="167">
        <v>342</v>
      </c>
      <c r="O3" s="167">
        <v>44</v>
      </c>
      <c r="P3" s="167">
        <f>M3*DRAGEXP_S+N3*DRAGEXP_M+O3*DRAGEXP_L</f>
        <v>1956100</v>
      </c>
    </row>
    <row r="4" spans="1:16" ht="25.5" customHeight="1" x14ac:dyDescent="0.25">
      <c r="A4" s="100" t="s">
        <v>60</v>
      </c>
      <c r="B4" s="101">
        <v>3102</v>
      </c>
      <c r="C4" s="102" t="s">
        <v>122</v>
      </c>
      <c r="D4" s="128">
        <v>0</v>
      </c>
      <c r="E4" s="99" t="s">
        <v>50</v>
      </c>
      <c r="F4" s="401">
        <f>MATCH(B10,DATA_DRAG_ACCU_EXP,0)</f>
        <v>56</v>
      </c>
      <c r="G4" s="401"/>
      <c r="J4" s="13"/>
      <c r="K4" s="13"/>
      <c r="L4" s="13"/>
      <c r="M4" s="13"/>
      <c r="N4" s="13"/>
      <c r="O4" s="13"/>
      <c r="P4" s="1"/>
    </row>
    <row r="5" spans="1:16" ht="25.5" customHeight="1" x14ac:dyDescent="0.25">
      <c r="A5" s="100" t="s">
        <v>61</v>
      </c>
      <c r="B5" s="101">
        <v>1945</v>
      </c>
      <c r="C5" s="127" t="s">
        <v>70</v>
      </c>
      <c r="D5" s="128">
        <v>0</v>
      </c>
      <c r="E5" s="99" t="s">
        <v>67</v>
      </c>
      <c r="F5" s="401">
        <f>INDEX(DATA_DRAG_LV_EXP,F4)-(B9-B10)</f>
        <v>6790</v>
      </c>
      <c r="G5" s="401"/>
      <c r="J5" s="22" t="s">
        <v>76</v>
      </c>
      <c r="K5" s="40">
        <f>P3-P2</f>
        <v>39650</v>
      </c>
      <c r="L5" s="40"/>
      <c r="M5" s="22" t="s">
        <v>63</v>
      </c>
      <c r="N5" s="404">
        <f>IF(K6&gt;0,K5/K6,"")</f>
        <v>2478.125</v>
      </c>
      <c r="O5" s="404"/>
      <c r="P5" s="1"/>
    </row>
    <row r="6" spans="1:16" ht="25.5" customHeight="1" x14ac:dyDescent="0.25">
      <c r="A6" s="164" t="s">
        <v>65</v>
      </c>
      <c r="B6" s="165">
        <f>B3*DRAGEXP_S+B4*DRAGEXP_M+B5*DRAGEXP_L</f>
        <v>10154750</v>
      </c>
      <c r="C6" s="102" t="s">
        <v>50</v>
      </c>
      <c r="D6" s="103">
        <v>1</v>
      </c>
      <c r="J6" s="22" t="s">
        <v>29</v>
      </c>
      <c r="K6" s="42">
        <f>(K2-K3)/WINGS_RECOVER_DIAMS*6 + (L2-L3)/WINGS_CONSUME_DRAGON</f>
        <v>16</v>
      </c>
      <c r="L6" s="42"/>
      <c r="M6" s="1"/>
      <c r="N6" s="1"/>
      <c r="O6" s="1"/>
      <c r="P6" s="1"/>
    </row>
    <row r="7" spans="1:16" ht="25.5" customHeight="1" x14ac:dyDescent="0.25">
      <c r="A7" s="164" t="s">
        <v>114</v>
      </c>
      <c r="B7" s="165">
        <f>B6-B8</f>
        <v>10154510</v>
      </c>
      <c r="C7" s="102" t="s">
        <v>67</v>
      </c>
      <c r="D7" s="103"/>
      <c r="E7" s="354" t="s">
        <v>79</v>
      </c>
      <c r="F7" s="354"/>
      <c r="G7" s="354"/>
      <c r="J7" s="1"/>
      <c r="K7" s="1"/>
      <c r="L7" s="1"/>
      <c r="M7" s="1"/>
      <c r="N7" s="1"/>
      <c r="O7" s="1"/>
      <c r="P7" s="1"/>
    </row>
    <row r="8" spans="1:16" ht="25.5" customHeight="1" x14ac:dyDescent="0.25">
      <c r="A8" s="129" t="s">
        <v>115</v>
      </c>
      <c r="B8" s="129">
        <f>D3*DRAGON_EXP_60+D4*DRAGON_EXP_80+D5*DRAGON_EXP_100+INDEX(DATA_DRAG_ACCU_EXP,D6)+(INDEX(DATA_DRAG_LV_EXP,D6)-D7)</f>
        <v>240</v>
      </c>
      <c r="E8" s="354" t="s">
        <v>63</v>
      </c>
      <c r="F8" s="402">
        <f>IF(G9 &gt; 0,SUM(DATA_DRAGON_EXP)/G9,0)</f>
        <v>2673.9277652370201</v>
      </c>
      <c r="G8" s="75" t="s">
        <v>33</v>
      </c>
      <c r="M8" s="1"/>
      <c r="N8" s="1"/>
      <c r="O8" s="1"/>
      <c r="P8" s="1"/>
    </row>
    <row r="9" spans="1:16" ht="25.5" customHeight="1" x14ac:dyDescent="0.25">
      <c r="A9" s="129" t="s">
        <v>110</v>
      </c>
      <c r="B9" s="129">
        <f>MOD(B7,DRAGON_EXP_100)</f>
        <v>234350</v>
      </c>
      <c r="E9" s="354"/>
      <c r="F9" s="402"/>
      <c r="G9" s="96">
        <f>SUM(DATA_DRAGON_PLAYS)</f>
        <v>443</v>
      </c>
      <c r="M9" s="1"/>
      <c r="N9" s="1"/>
      <c r="O9" s="1"/>
      <c r="P9" s="1"/>
    </row>
    <row r="10" spans="1:16" ht="25.5" customHeight="1" x14ac:dyDescent="0.25">
      <c r="A10" s="98" t="s">
        <v>72</v>
      </c>
      <c r="B10" s="129">
        <f>SMALL(DATA_DRAG_ACCU_EXP,COUNTIF(DATA_DRAG_ACCU_EXP,"&lt;"&amp;B9))</f>
        <v>229800</v>
      </c>
      <c r="E10" s="126">
        <v>60</v>
      </c>
      <c r="F10" s="96">
        <f>IF($F$8&gt;0,_xlfn.CEILING.MATH(INDEX(DATA_DRAG_ACCU_EXP,E10)/$F$8),"")</f>
        <v>104</v>
      </c>
      <c r="G10" s="75" t="s">
        <v>30</v>
      </c>
    </row>
    <row r="11" spans="1:16" ht="25.5" customHeight="1" x14ac:dyDescent="0.25">
      <c r="A11" s="97"/>
      <c r="E11" s="126">
        <v>80</v>
      </c>
      <c r="F11" s="42">
        <f>IF($F$8&gt;0,_xlfn.CEILING.MATH(INDEX(DATA_DRAG_ACCU_EXP,E11)/$F$8),"")</f>
        <v>234</v>
      </c>
      <c r="G11" s="75" t="s">
        <v>30</v>
      </c>
    </row>
    <row r="12" spans="1:16" ht="25.5" customHeight="1" x14ac:dyDescent="0.25">
      <c r="A12" s="97"/>
      <c r="E12" s="126">
        <v>100</v>
      </c>
      <c r="F12" s="42">
        <f>IF($F$8&gt;0,_xlfn.CEILING.MATH(INDEX(DATA_DRAG_ACCU_EXP,E12)/$F$8),"")</f>
        <v>464</v>
      </c>
      <c r="G12" s="75" t="s">
        <v>30</v>
      </c>
    </row>
  </sheetData>
  <mergeCells count="11">
    <mergeCell ref="F5:G5"/>
    <mergeCell ref="E8:E9"/>
    <mergeCell ref="F8:F9"/>
    <mergeCell ref="A1:G1"/>
    <mergeCell ref="N5:O5"/>
    <mergeCell ref="E2:G2"/>
    <mergeCell ref="E7:G7"/>
    <mergeCell ref="F3:G3"/>
    <mergeCell ref="F4:G4"/>
    <mergeCell ref="A2:B2"/>
    <mergeCell ref="C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110C-60DE-4CF0-83EF-8B03DBFD5552}">
  <sheetPr codeName="Sheet8">
    <tabColor rgb="FF00B0F0"/>
  </sheetPr>
  <dimension ref="A1:G101"/>
  <sheetViews>
    <sheetView workbookViewId="0">
      <selection activeCell="K7" sqref="K7"/>
    </sheetView>
  </sheetViews>
  <sheetFormatPr defaultColWidth="9.140625" defaultRowHeight="15" x14ac:dyDescent="0.25"/>
  <cols>
    <col min="1" max="2" width="9.140625" style="13"/>
    <col min="3" max="3" width="9.140625" style="25"/>
    <col min="4" max="16384" width="9.140625" style="13"/>
  </cols>
  <sheetData>
    <row r="1" spans="1:7" x14ac:dyDescent="0.25">
      <c r="A1" s="13" t="s">
        <v>76</v>
      </c>
      <c r="B1" s="13" t="s">
        <v>29</v>
      </c>
      <c r="C1" s="25" t="s">
        <v>32</v>
      </c>
      <c r="E1" s="13" t="s">
        <v>50</v>
      </c>
      <c r="F1" s="13" t="s">
        <v>72</v>
      </c>
      <c r="G1" s="13" t="s">
        <v>73</v>
      </c>
    </row>
    <row r="2" spans="1:7" x14ac:dyDescent="0.25">
      <c r="A2" s="13">
        <v>15850</v>
      </c>
      <c r="B2" s="13">
        <v>7</v>
      </c>
      <c r="C2" s="25">
        <f>IF(ISBLANK(A2),"",A2/B2)</f>
        <v>2264.2857142857142</v>
      </c>
      <c r="E2" s="14">
        <v>1</v>
      </c>
      <c r="F2" s="14">
        <v>240</v>
      </c>
      <c r="G2" s="14">
        <v>0</v>
      </c>
    </row>
    <row r="3" spans="1:7" x14ac:dyDescent="0.25">
      <c r="A3" s="13">
        <v>46200</v>
      </c>
      <c r="B3" s="13">
        <v>19</v>
      </c>
      <c r="C3" s="25">
        <f t="shared" ref="C3:C66" si="0">IF(ISBLANK(A3),"",A3/B3)</f>
        <v>2431.5789473684213</v>
      </c>
      <c r="E3" s="14">
        <v>2</v>
      </c>
      <c r="F3" s="14">
        <v>300</v>
      </c>
      <c r="G3" s="14">
        <v>240</v>
      </c>
    </row>
    <row r="4" spans="1:7" x14ac:dyDescent="0.25">
      <c r="A4" s="13">
        <v>115100</v>
      </c>
      <c r="B4" s="13">
        <v>36</v>
      </c>
      <c r="C4" s="25">
        <f t="shared" si="0"/>
        <v>3197.2222222222222</v>
      </c>
      <c r="E4" s="14">
        <v>3</v>
      </c>
      <c r="F4" s="14">
        <v>360</v>
      </c>
      <c r="G4" s="14">
        <v>540</v>
      </c>
    </row>
    <row r="5" spans="1:7" x14ac:dyDescent="0.25">
      <c r="A5" s="13">
        <v>14900</v>
      </c>
      <c r="B5" s="13">
        <v>6</v>
      </c>
      <c r="C5" s="25">
        <f t="shared" si="0"/>
        <v>2483.3333333333335</v>
      </c>
      <c r="E5" s="14">
        <v>4</v>
      </c>
      <c r="F5" s="14">
        <v>420</v>
      </c>
      <c r="G5" s="14">
        <v>900</v>
      </c>
    </row>
    <row r="6" spans="1:7" x14ac:dyDescent="0.25">
      <c r="A6" s="13">
        <v>149500</v>
      </c>
      <c r="B6" s="13">
        <v>57</v>
      </c>
      <c r="C6" s="25">
        <f t="shared" si="0"/>
        <v>2622.8070175438597</v>
      </c>
      <c r="E6" s="14">
        <v>5</v>
      </c>
      <c r="F6" s="14">
        <v>480</v>
      </c>
      <c r="G6" s="14">
        <v>1320</v>
      </c>
    </row>
    <row r="7" spans="1:7" x14ac:dyDescent="0.25">
      <c r="A7" s="13">
        <v>14300</v>
      </c>
      <c r="B7" s="13">
        <v>5</v>
      </c>
      <c r="C7" s="25">
        <f t="shared" si="0"/>
        <v>2860</v>
      </c>
      <c r="E7" s="14">
        <v>6</v>
      </c>
      <c r="F7" s="14">
        <v>540</v>
      </c>
      <c r="G7" s="14">
        <v>1800</v>
      </c>
    </row>
    <row r="8" spans="1:7" x14ac:dyDescent="0.25">
      <c r="A8" s="13">
        <v>6400</v>
      </c>
      <c r="B8" s="13">
        <v>2</v>
      </c>
      <c r="C8" s="25">
        <f t="shared" si="0"/>
        <v>3200</v>
      </c>
      <c r="E8" s="14">
        <v>7</v>
      </c>
      <c r="F8" s="14">
        <v>600</v>
      </c>
      <c r="G8" s="14">
        <v>2340</v>
      </c>
    </row>
    <row r="9" spans="1:7" x14ac:dyDescent="0.25">
      <c r="A9" s="13">
        <v>364050</v>
      </c>
      <c r="B9" s="13">
        <v>145</v>
      </c>
      <c r="C9" s="25">
        <f t="shared" si="0"/>
        <v>2510.6896551724139</v>
      </c>
      <c r="E9" s="14">
        <v>8</v>
      </c>
      <c r="F9" s="14">
        <v>660</v>
      </c>
      <c r="G9" s="14">
        <v>2940</v>
      </c>
    </row>
    <row r="10" spans="1:7" x14ac:dyDescent="0.25">
      <c r="A10" s="13">
        <v>17400</v>
      </c>
      <c r="B10" s="13">
        <v>7</v>
      </c>
      <c r="C10" s="25">
        <f t="shared" si="0"/>
        <v>2485.7142857142858</v>
      </c>
      <c r="E10" s="14">
        <v>9</v>
      </c>
      <c r="F10" s="14">
        <v>720</v>
      </c>
      <c r="G10" s="14">
        <v>3600</v>
      </c>
    </row>
    <row r="11" spans="1:7" x14ac:dyDescent="0.25">
      <c r="A11" s="13">
        <v>12300</v>
      </c>
      <c r="B11" s="13">
        <v>5</v>
      </c>
      <c r="C11" s="25">
        <f t="shared" si="0"/>
        <v>2460</v>
      </c>
      <c r="E11" s="14">
        <v>10</v>
      </c>
      <c r="F11" s="14">
        <v>780</v>
      </c>
      <c r="G11" s="14">
        <v>4320</v>
      </c>
    </row>
    <row r="12" spans="1:7" x14ac:dyDescent="0.25">
      <c r="A12" s="13">
        <v>13150</v>
      </c>
      <c r="B12" s="13">
        <v>5</v>
      </c>
      <c r="C12" s="25">
        <f t="shared" si="0"/>
        <v>2630</v>
      </c>
      <c r="E12" s="14">
        <v>11</v>
      </c>
      <c r="F12" s="14">
        <v>900</v>
      </c>
      <c r="G12" s="14">
        <v>5100</v>
      </c>
    </row>
    <row r="13" spans="1:7" x14ac:dyDescent="0.25">
      <c r="A13" s="13">
        <v>62700</v>
      </c>
      <c r="B13" s="13">
        <v>26</v>
      </c>
      <c r="C13" s="25">
        <f t="shared" si="0"/>
        <v>2411.5384615384614</v>
      </c>
      <c r="E13" s="14">
        <v>12</v>
      </c>
      <c r="F13" s="14">
        <v>1020</v>
      </c>
      <c r="G13" s="14">
        <v>6000</v>
      </c>
    </row>
    <row r="14" spans="1:7" x14ac:dyDescent="0.25">
      <c r="A14" s="13">
        <v>13800</v>
      </c>
      <c r="B14" s="13">
        <v>4</v>
      </c>
      <c r="C14" s="25">
        <f t="shared" si="0"/>
        <v>3450</v>
      </c>
      <c r="E14" s="14">
        <v>13</v>
      </c>
      <c r="F14" s="14">
        <v>1140</v>
      </c>
      <c r="G14" s="14">
        <v>7020</v>
      </c>
    </row>
    <row r="15" spans="1:7" x14ac:dyDescent="0.25">
      <c r="A15" s="13">
        <v>255900</v>
      </c>
      <c r="B15" s="13">
        <v>88</v>
      </c>
      <c r="C15" s="25">
        <f t="shared" si="0"/>
        <v>2907.9545454545455</v>
      </c>
      <c r="E15" s="14">
        <v>14</v>
      </c>
      <c r="F15" s="14">
        <v>1260</v>
      </c>
      <c r="G15" s="14">
        <v>8160</v>
      </c>
    </row>
    <row r="16" spans="1:7" x14ac:dyDescent="0.25">
      <c r="A16" s="13">
        <v>43350</v>
      </c>
      <c r="B16" s="13">
        <v>15</v>
      </c>
      <c r="C16" s="25">
        <f t="shared" si="0"/>
        <v>2890</v>
      </c>
      <c r="E16" s="14">
        <v>15</v>
      </c>
      <c r="F16" s="14">
        <v>1380</v>
      </c>
      <c r="G16" s="14">
        <v>9420</v>
      </c>
    </row>
    <row r="17" spans="1:7" x14ac:dyDescent="0.25">
      <c r="A17" s="13">
        <v>39650</v>
      </c>
      <c r="B17" s="13">
        <v>16</v>
      </c>
      <c r="C17" s="25">
        <f t="shared" si="0"/>
        <v>2478.125</v>
      </c>
      <c r="E17" s="14">
        <v>16</v>
      </c>
      <c r="F17" s="14">
        <v>1500</v>
      </c>
      <c r="G17" s="14">
        <v>10800</v>
      </c>
    </row>
    <row r="18" spans="1:7" x14ac:dyDescent="0.25">
      <c r="C18" s="25" t="str">
        <f t="shared" si="0"/>
        <v/>
      </c>
      <c r="E18" s="14">
        <v>17</v>
      </c>
      <c r="F18" s="14">
        <v>1620</v>
      </c>
      <c r="G18" s="14">
        <v>12300</v>
      </c>
    </row>
    <row r="19" spans="1:7" x14ac:dyDescent="0.25">
      <c r="C19" s="25" t="str">
        <f t="shared" si="0"/>
        <v/>
      </c>
      <c r="E19" s="14">
        <v>18</v>
      </c>
      <c r="F19" s="14">
        <v>1740</v>
      </c>
      <c r="G19" s="14">
        <v>13920</v>
      </c>
    </row>
    <row r="20" spans="1:7" x14ac:dyDescent="0.25">
      <c r="C20" s="25" t="str">
        <f t="shared" si="0"/>
        <v/>
      </c>
      <c r="E20" s="14">
        <v>19</v>
      </c>
      <c r="F20" s="14">
        <v>1860</v>
      </c>
      <c r="G20" s="14">
        <v>15660</v>
      </c>
    </row>
    <row r="21" spans="1:7" x14ac:dyDescent="0.25">
      <c r="C21" s="25" t="str">
        <f t="shared" si="0"/>
        <v/>
      </c>
      <c r="E21" s="14">
        <v>20</v>
      </c>
      <c r="F21" s="14">
        <v>1980</v>
      </c>
      <c r="G21" s="14">
        <v>17520</v>
      </c>
    </row>
    <row r="22" spans="1:7" x14ac:dyDescent="0.25">
      <c r="C22" s="25" t="str">
        <f t="shared" si="0"/>
        <v/>
      </c>
      <c r="E22" s="14">
        <v>21</v>
      </c>
      <c r="F22" s="14">
        <v>2160</v>
      </c>
      <c r="G22" s="14">
        <v>19500</v>
      </c>
    </row>
    <row r="23" spans="1:7" x14ac:dyDescent="0.25">
      <c r="C23" s="25" t="str">
        <f t="shared" si="0"/>
        <v/>
      </c>
      <c r="E23" s="14">
        <v>22</v>
      </c>
      <c r="F23" s="14">
        <v>2340</v>
      </c>
      <c r="G23" s="14">
        <v>21660</v>
      </c>
    </row>
    <row r="24" spans="1:7" x14ac:dyDescent="0.25">
      <c r="C24" s="25" t="str">
        <f t="shared" si="0"/>
        <v/>
      </c>
      <c r="E24" s="14">
        <v>23</v>
      </c>
      <c r="F24" s="14">
        <v>2520</v>
      </c>
      <c r="G24" s="14">
        <v>24000</v>
      </c>
    </row>
    <row r="25" spans="1:7" x14ac:dyDescent="0.25">
      <c r="C25" s="25" t="str">
        <f t="shared" si="0"/>
        <v/>
      </c>
      <c r="E25" s="14">
        <v>24</v>
      </c>
      <c r="F25" s="14">
        <v>2700</v>
      </c>
      <c r="G25" s="14">
        <v>26520</v>
      </c>
    </row>
    <row r="26" spans="1:7" x14ac:dyDescent="0.25">
      <c r="C26" s="25" t="str">
        <f t="shared" si="0"/>
        <v/>
      </c>
      <c r="E26" s="14">
        <v>25</v>
      </c>
      <c r="F26" s="14">
        <v>2880</v>
      </c>
      <c r="G26" s="14">
        <v>29220</v>
      </c>
    </row>
    <row r="27" spans="1:7" x14ac:dyDescent="0.25">
      <c r="C27" s="25" t="str">
        <f t="shared" si="0"/>
        <v/>
      </c>
      <c r="E27" s="14">
        <v>26</v>
      </c>
      <c r="F27" s="14">
        <v>3060</v>
      </c>
      <c r="G27" s="14">
        <v>32100</v>
      </c>
    </row>
    <row r="28" spans="1:7" x14ac:dyDescent="0.25">
      <c r="C28" s="25" t="str">
        <f t="shared" si="0"/>
        <v/>
      </c>
      <c r="E28" s="14">
        <v>27</v>
      </c>
      <c r="F28" s="14">
        <v>3240</v>
      </c>
      <c r="G28" s="14">
        <v>35160</v>
      </c>
    </row>
    <row r="29" spans="1:7" x14ac:dyDescent="0.25">
      <c r="C29" s="25" t="str">
        <f t="shared" si="0"/>
        <v/>
      </c>
      <c r="E29" s="14">
        <v>28</v>
      </c>
      <c r="F29" s="14">
        <v>3420</v>
      </c>
      <c r="G29" s="14">
        <v>38400</v>
      </c>
    </row>
    <row r="30" spans="1:7" x14ac:dyDescent="0.25">
      <c r="C30" s="25" t="str">
        <f t="shared" si="0"/>
        <v/>
      </c>
      <c r="E30" s="14">
        <v>29</v>
      </c>
      <c r="F30" s="14">
        <v>3600</v>
      </c>
      <c r="G30" s="14">
        <v>41820</v>
      </c>
    </row>
    <row r="31" spans="1:7" x14ac:dyDescent="0.25">
      <c r="C31" s="25" t="str">
        <f t="shared" si="0"/>
        <v/>
      </c>
      <c r="E31" s="14">
        <v>30</v>
      </c>
      <c r="F31" s="14">
        <v>3780</v>
      </c>
      <c r="G31" s="14">
        <v>45420</v>
      </c>
    </row>
    <row r="32" spans="1:7" x14ac:dyDescent="0.25">
      <c r="C32" s="25" t="str">
        <f t="shared" si="0"/>
        <v/>
      </c>
      <c r="E32" s="14">
        <v>31</v>
      </c>
      <c r="F32" s="14">
        <v>4020</v>
      </c>
      <c r="G32" s="14">
        <v>49200</v>
      </c>
    </row>
    <row r="33" spans="3:7" x14ac:dyDescent="0.25">
      <c r="C33" s="25" t="str">
        <f t="shared" si="0"/>
        <v/>
      </c>
      <c r="E33" s="14">
        <v>32</v>
      </c>
      <c r="F33" s="14">
        <v>4260</v>
      </c>
      <c r="G33" s="14">
        <v>53220</v>
      </c>
    </row>
    <row r="34" spans="3:7" x14ac:dyDescent="0.25">
      <c r="C34" s="25" t="str">
        <f t="shared" si="0"/>
        <v/>
      </c>
      <c r="E34" s="14">
        <v>33</v>
      </c>
      <c r="F34" s="14">
        <v>4500</v>
      </c>
      <c r="G34" s="14">
        <v>57480</v>
      </c>
    </row>
    <row r="35" spans="3:7" x14ac:dyDescent="0.25">
      <c r="C35" s="25" t="str">
        <f t="shared" si="0"/>
        <v/>
      </c>
      <c r="E35" s="14">
        <v>34</v>
      </c>
      <c r="F35" s="14">
        <v>4740</v>
      </c>
      <c r="G35" s="14">
        <v>61980</v>
      </c>
    </row>
    <row r="36" spans="3:7" x14ac:dyDescent="0.25">
      <c r="C36" s="25" t="str">
        <f t="shared" si="0"/>
        <v/>
      </c>
      <c r="E36" s="14">
        <v>35</v>
      </c>
      <c r="F36" s="14">
        <v>4980</v>
      </c>
      <c r="G36" s="14">
        <v>66720</v>
      </c>
    </row>
    <row r="37" spans="3:7" x14ac:dyDescent="0.25">
      <c r="C37" s="25" t="str">
        <f t="shared" si="0"/>
        <v/>
      </c>
      <c r="E37" s="14">
        <v>36</v>
      </c>
      <c r="F37" s="14">
        <v>5220</v>
      </c>
      <c r="G37" s="14">
        <v>71700</v>
      </c>
    </row>
    <row r="38" spans="3:7" x14ac:dyDescent="0.25">
      <c r="C38" s="25" t="str">
        <f t="shared" si="0"/>
        <v/>
      </c>
      <c r="E38" s="14">
        <v>37</v>
      </c>
      <c r="F38" s="14">
        <v>5460</v>
      </c>
      <c r="G38" s="14">
        <v>76920</v>
      </c>
    </row>
    <row r="39" spans="3:7" x14ac:dyDescent="0.25">
      <c r="C39" s="25" t="str">
        <f t="shared" si="0"/>
        <v/>
      </c>
      <c r="E39" s="14">
        <v>38</v>
      </c>
      <c r="F39" s="14">
        <v>5700</v>
      </c>
      <c r="G39" s="14">
        <v>82380</v>
      </c>
    </row>
    <row r="40" spans="3:7" x14ac:dyDescent="0.25">
      <c r="C40" s="25" t="str">
        <f t="shared" si="0"/>
        <v/>
      </c>
      <c r="E40" s="14">
        <v>39</v>
      </c>
      <c r="F40" s="14">
        <v>5940</v>
      </c>
      <c r="G40" s="14">
        <v>88080</v>
      </c>
    </row>
    <row r="41" spans="3:7" x14ac:dyDescent="0.25">
      <c r="C41" s="25" t="str">
        <f t="shared" si="0"/>
        <v/>
      </c>
      <c r="E41" s="14">
        <v>40</v>
      </c>
      <c r="F41" s="14">
        <v>6180</v>
      </c>
      <c r="G41" s="14">
        <v>94020</v>
      </c>
    </row>
    <row r="42" spans="3:7" x14ac:dyDescent="0.25">
      <c r="C42" s="25" t="str">
        <f t="shared" si="0"/>
        <v/>
      </c>
      <c r="E42" s="14">
        <v>41</v>
      </c>
      <c r="F42" s="14">
        <v>6480</v>
      </c>
      <c r="G42" s="14">
        <v>100200</v>
      </c>
    </row>
    <row r="43" spans="3:7" x14ac:dyDescent="0.25">
      <c r="C43" s="25" t="str">
        <f t="shared" si="0"/>
        <v/>
      </c>
      <c r="E43" s="14">
        <v>42</v>
      </c>
      <c r="F43" s="14">
        <v>6780</v>
      </c>
      <c r="G43" s="14">
        <v>106680</v>
      </c>
    </row>
    <row r="44" spans="3:7" x14ac:dyDescent="0.25">
      <c r="C44" s="25" t="str">
        <f t="shared" si="0"/>
        <v/>
      </c>
      <c r="E44" s="14">
        <v>43</v>
      </c>
      <c r="F44" s="14">
        <v>7080</v>
      </c>
      <c r="G44" s="14">
        <v>113460</v>
      </c>
    </row>
    <row r="45" spans="3:7" x14ac:dyDescent="0.25">
      <c r="C45" s="25" t="str">
        <f t="shared" si="0"/>
        <v/>
      </c>
      <c r="E45" s="14">
        <v>44</v>
      </c>
      <c r="F45" s="14">
        <v>7380</v>
      </c>
      <c r="G45" s="14">
        <v>120540</v>
      </c>
    </row>
    <row r="46" spans="3:7" x14ac:dyDescent="0.25">
      <c r="C46" s="25" t="str">
        <f t="shared" si="0"/>
        <v/>
      </c>
      <c r="E46" s="14">
        <v>45</v>
      </c>
      <c r="F46" s="14">
        <v>7680</v>
      </c>
      <c r="G46" s="14">
        <v>127920</v>
      </c>
    </row>
    <row r="47" spans="3:7" x14ac:dyDescent="0.25">
      <c r="C47" s="25" t="str">
        <f t="shared" si="0"/>
        <v/>
      </c>
      <c r="E47" s="14">
        <v>46</v>
      </c>
      <c r="F47" s="14">
        <v>7980</v>
      </c>
      <c r="G47" s="14">
        <v>135600</v>
      </c>
    </row>
    <row r="48" spans="3:7" x14ac:dyDescent="0.25">
      <c r="C48" s="25" t="str">
        <f t="shared" si="0"/>
        <v/>
      </c>
      <c r="E48" s="14">
        <v>47</v>
      </c>
      <c r="F48" s="14">
        <v>8280</v>
      </c>
      <c r="G48" s="14">
        <v>143580</v>
      </c>
    </row>
    <row r="49" spans="3:7" x14ac:dyDescent="0.25">
      <c r="C49" s="25" t="str">
        <f t="shared" si="0"/>
        <v/>
      </c>
      <c r="E49" s="14">
        <v>48</v>
      </c>
      <c r="F49" s="14">
        <v>8580</v>
      </c>
      <c r="G49" s="14">
        <v>151860</v>
      </c>
    </row>
    <row r="50" spans="3:7" x14ac:dyDescent="0.25">
      <c r="C50" s="25" t="str">
        <f t="shared" si="0"/>
        <v/>
      </c>
      <c r="E50" s="14">
        <v>49</v>
      </c>
      <c r="F50" s="14">
        <v>8880</v>
      </c>
      <c r="G50" s="14">
        <v>160440</v>
      </c>
    </row>
    <row r="51" spans="3:7" x14ac:dyDescent="0.25">
      <c r="C51" s="25" t="str">
        <f t="shared" si="0"/>
        <v/>
      </c>
      <c r="E51" s="14">
        <v>50</v>
      </c>
      <c r="F51" s="14">
        <v>9180</v>
      </c>
      <c r="G51" s="14">
        <v>169320</v>
      </c>
    </row>
    <row r="52" spans="3:7" x14ac:dyDescent="0.25">
      <c r="C52" s="25" t="str">
        <f t="shared" si="0"/>
        <v/>
      </c>
      <c r="E52" s="14">
        <v>51</v>
      </c>
      <c r="F52" s="14">
        <v>9540</v>
      </c>
      <c r="G52" s="14">
        <v>178500</v>
      </c>
    </row>
    <row r="53" spans="3:7" x14ac:dyDescent="0.25">
      <c r="C53" s="25" t="str">
        <f t="shared" si="0"/>
        <v/>
      </c>
      <c r="E53" s="14">
        <v>52</v>
      </c>
      <c r="F53" s="14">
        <v>9900</v>
      </c>
      <c r="G53" s="14">
        <v>188040</v>
      </c>
    </row>
    <row r="54" spans="3:7" x14ac:dyDescent="0.25">
      <c r="C54" s="25" t="str">
        <f t="shared" si="0"/>
        <v/>
      </c>
      <c r="E54" s="14">
        <v>53</v>
      </c>
      <c r="F54" s="14">
        <v>10260</v>
      </c>
      <c r="G54" s="14">
        <v>197940</v>
      </c>
    </row>
    <row r="55" spans="3:7" x14ac:dyDescent="0.25">
      <c r="C55" s="25" t="str">
        <f t="shared" si="0"/>
        <v/>
      </c>
      <c r="E55" s="14">
        <v>54</v>
      </c>
      <c r="F55" s="14">
        <v>10620</v>
      </c>
      <c r="G55" s="14">
        <v>208200</v>
      </c>
    </row>
    <row r="56" spans="3:7" x14ac:dyDescent="0.25">
      <c r="C56" s="25" t="str">
        <f t="shared" si="0"/>
        <v/>
      </c>
      <c r="E56" s="14">
        <v>55</v>
      </c>
      <c r="F56" s="14">
        <v>10980</v>
      </c>
      <c r="G56" s="14">
        <v>218820</v>
      </c>
    </row>
    <row r="57" spans="3:7" x14ac:dyDescent="0.25">
      <c r="C57" s="25" t="str">
        <f t="shared" si="0"/>
        <v/>
      </c>
      <c r="E57" s="14">
        <v>56</v>
      </c>
      <c r="F57" s="14">
        <v>11340</v>
      </c>
      <c r="G57" s="14">
        <v>229800</v>
      </c>
    </row>
    <row r="58" spans="3:7" x14ac:dyDescent="0.25">
      <c r="C58" s="25" t="str">
        <f t="shared" si="0"/>
        <v/>
      </c>
      <c r="E58" s="14">
        <v>57</v>
      </c>
      <c r="F58" s="14">
        <v>11700</v>
      </c>
      <c r="G58" s="14">
        <v>241140</v>
      </c>
    </row>
    <row r="59" spans="3:7" x14ac:dyDescent="0.25">
      <c r="C59" s="25" t="str">
        <f t="shared" si="0"/>
        <v/>
      </c>
      <c r="E59" s="14">
        <v>58</v>
      </c>
      <c r="F59" s="14">
        <v>12060</v>
      </c>
      <c r="G59" s="14">
        <v>252840</v>
      </c>
    </row>
    <row r="60" spans="3:7" x14ac:dyDescent="0.25">
      <c r="C60" s="25" t="str">
        <f t="shared" si="0"/>
        <v/>
      </c>
      <c r="E60" s="14">
        <v>59</v>
      </c>
      <c r="F60" s="14">
        <v>12420</v>
      </c>
      <c r="G60" s="14">
        <v>264900</v>
      </c>
    </row>
    <row r="61" spans="3:7" x14ac:dyDescent="0.25">
      <c r="C61" s="25" t="str">
        <f t="shared" si="0"/>
        <v/>
      </c>
      <c r="E61" s="14">
        <v>60</v>
      </c>
      <c r="F61" s="14">
        <v>12780</v>
      </c>
      <c r="G61" s="14">
        <v>277320</v>
      </c>
    </row>
    <row r="62" spans="3:7" x14ac:dyDescent="0.25">
      <c r="C62" s="25" t="str">
        <f t="shared" si="0"/>
        <v/>
      </c>
      <c r="E62" s="14">
        <v>61</v>
      </c>
      <c r="F62" s="14">
        <v>13230</v>
      </c>
      <c r="G62" s="14">
        <v>290100</v>
      </c>
    </row>
    <row r="63" spans="3:7" x14ac:dyDescent="0.25">
      <c r="C63" s="25" t="str">
        <f t="shared" si="0"/>
        <v/>
      </c>
      <c r="E63" s="14">
        <v>62</v>
      </c>
      <c r="F63" s="14">
        <v>13680</v>
      </c>
      <c r="G63" s="14">
        <v>303330</v>
      </c>
    </row>
    <row r="64" spans="3:7" x14ac:dyDescent="0.25">
      <c r="C64" s="25" t="str">
        <f t="shared" si="0"/>
        <v/>
      </c>
      <c r="E64" s="14">
        <v>63</v>
      </c>
      <c r="F64" s="14">
        <v>14130</v>
      </c>
      <c r="G64" s="14">
        <v>317010</v>
      </c>
    </row>
    <row r="65" spans="3:7" x14ac:dyDescent="0.25">
      <c r="C65" s="25" t="str">
        <f t="shared" si="0"/>
        <v/>
      </c>
      <c r="E65" s="14">
        <v>64</v>
      </c>
      <c r="F65" s="14">
        <v>14580</v>
      </c>
      <c r="G65" s="14">
        <v>331140</v>
      </c>
    </row>
    <row r="66" spans="3:7" x14ac:dyDescent="0.25">
      <c r="C66" s="25" t="str">
        <f t="shared" si="0"/>
        <v/>
      </c>
      <c r="E66" s="14">
        <v>65</v>
      </c>
      <c r="F66" s="14">
        <v>15030</v>
      </c>
      <c r="G66" s="14">
        <v>345720</v>
      </c>
    </row>
    <row r="67" spans="3:7" x14ac:dyDescent="0.25">
      <c r="C67" s="25" t="str">
        <f t="shared" ref="C67:C101" si="1">IF(ISBLANK(A67),"",A67/B67)</f>
        <v/>
      </c>
      <c r="E67" s="14">
        <v>66</v>
      </c>
      <c r="F67" s="14">
        <v>15480</v>
      </c>
      <c r="G67" s="14">
        <v>360750</v>
      </c>
    </row>
    <row r="68" spans="3:7" x14ac:dyDescent="0.25">
      <c r="C68" s="25" t="str">
        <f t="shared" si="1"/>
        <v/>
      </c>
      <c r="E68" s="14">
        <v>67</v>
      </c>
      <c r="F68" s="14">
        <v>15930</v>
      </c>
      <c r="G68" s="14">
        <v>376230</v>
      </c>
    </row>
    <row r="69" spans="3:7" x14ac:dyDescent="0.25">
      <c r="C69" s="25" t="str">
        <f t="shared" si="1"/>
        <v/>
      </c>
      <c r="E69" s="14">
        <v>68</v>
      </c>
      <c r="F69" s="14">
        <v>16380</v>
      </c>
      <c r="G69" s="14">
        <v>392160</v>
      </c>
    </row>
    <row r="70" spans="3:7" x14ac:dyDescent="0.25">
      <c r="C70" s="25" t="str">
        <f t="shared" si="1"/>
        <v/>
      </c>
      <c r="E70" s="14">
        <v>69</v>
      </c>
      <c r="F70" s="14">
        <v>16830</v>
      </c>
      <c r="G70" s="14">
        <v>408540</v>
      </c>
    </row>
    <row r="71" spans="3:7" x14ac:dyDescent="0.25">
      <c r="C71" s="25" t="str">
        <f t="shared" si="1"/>
        <v/>
      </c>
      <c r="E71" s="14">
        <v>70</v>
      </c>
      <c r="F71" s="14">
        <v>17280</v>
      </c>
      <c r="G71" s="14">
        <v>425370</v>
      </c>
    </row>
    <row r="72" spans="3:7" x14ac:dyDescent="0.25">
      <c r="C72" s="25" t="str">
        <f t="shared" si="1"/>
        <v/>
      </c>
      <c r="E72" s="14">
        <v>71</v>
      </c>
      <c r="F72" s="14">
        <v>17880</v>
      </c>
      <c r="G72" s="14">
        <v>442650</v>
      </c>
    </row>
    <row r="73" spans="3:7" x14ac:dyDescent="0.25">
      <c r="C73" s="25" t="str">
        <f t="shared" si="1"/>
        <v/>
      </c>
      <c r="E73" s="14">
        <v>72</v>
      </c>
      <c r="F73" s="14">
        <v>18480</v>
      </c>
      <c r="G73" s="14">
        <v>460530</v>
      </c>
    </row>
    <row r="74" spans="3:7" x14ac:dyDescent="0.25">
      <c r="C74" s="25" t="str">
        <f t="shared" si="1"/>
        <v/>
      </c>
      <c r="E74" s="14">
        <v>73</v>
      </c>
      <c r="F74" s="14">
        <v>19080</v>
      </c>
      <c r="G74" s="14">
        <v>479010</v>
      </c>
    </row>
    <row r="75" spans="3:7" x14ac:dyDescent="0.25">
      <c r="C75" s="25" t="str">
        <f t="shared" si="1"/>
        <v/>
      </c>
      <c r="E75" s="14">
        <v>74</v>
      </c>
      <c r="F75" s="14">
        <v>19680</v>
      </c>
      <c r="G75" s="14">
        <v>498090</v>
      </c>
    </row>
    <row r="76" spans="3:7" x14ac:dyDescent="0.25">
      <c r="C76" s="25" t="str">
        <f t="shared" si="1"/>
        <v/>
      </c>
      <c r="E76" s="14">
        <v>75</v>
      </c>
      <c r="F76" s="14">
        <v>20280</v>
      </c>
      <c r="G76" s="14">
        <v>517770</v>
      </c>
    </row>
    <row r="77" spans="3:7" x14ac:dyDescent="0.25">
      <c r="C77" s="25" t="str">
        <f t="shared" si="1"/>
        <v/>
      </c>
      <c r="E77" s="14">
        <v>76</v>
      </c>
      <c r="F77" s="14">
        <v>20880</v>
      </c>
      <c r="G77" s="14">
        <v>538050</v>
      </c>
    </row>
    <row r="78" spans="3:7" x14ac:dyDescent="0.25">
      <c r="C78" s="25" t="str">
        <f t="shared" si="1"/>
        <v/>
      </c>
      <c r="E78" s="14">
        <v>77</v>
      </c>
      <c r="F78" s="14">
        <v>21480</v>
      </c>
      <c r="G78" s="14">
        <v>558930</v>
      </c>
    </row>
    <row r="79" spans="3:7" x14ac:dyDescent="0.25">
      <c r="C79" s="25" t="str">
        <f t="shared" si="1"/>
        <v/>
      </c>
      <c r="E79" s="14">
        <v>78</v>
      </c>
      <c r="F79" s="14">
        <v>22080</v>
      </c>
      <c r="G79" s="14">
        <v>580410</v>
      </c>
    </row>
    <row r="80" spans="3:7" x14ac:dyDescent="0.25">
      <c r="C80" s="25" t="str">
        <f t="shared" si="1"/>
        <v/>
      </c>
      <c r="E80" s="14">
        <v>79</v>
      </c>
      <c r="F80" s="14">
        <v>22680</v>
      </c>
      <c r="G80" s="14">
        <v>602490</v>
      </c>
    </row>
    <row r="81" spans="3:7" x14ac:dyDescent="0.25">
      <c r="C81" s="25" t="str">
        <f t="shared" si="1"/>
        <v/>
      </c>
      <c r="E81" s="14">
        <v>80</v>
      </c>
      <c r="F81" s="14">
        <v>23280</v>
      </c>
      <c r="G81" s="14">
        <v>625170</v>
      </c>
    </row>
    <row r="82" spans="3:7" x14ac:dyDescent="0.25">
      <c r="C82" s="25" t="str">
        <f t="shared" si="1"/>
        <v/>
      </c>
      <c r="E82" s="14">
        <v>81</v>
      </c>
      <c r="F82" s="14">
        <v>24030</v>
      </c>
      <c r="G82" s="14">
        <v>648450</v>
      </c>
    </row>
    <row r="83" spans="3:7" x14ac:dyDescent="0.25">
      <c r="C83" s="25" t="str">
        <f t="shared" si="1"/>
        <v/>
      </c>
      <c r="E83" s="14">
        <v>82</v>
      </c>
      <c r="F83" s="14">
        <v>24780</v>
      </c>
      <c r="G83" s="14">
        <v>672480</v>
      </c>
    </row>
    <row r="84" spans="3:7" x14ac:dyDescent="0.25">
      <c r="C84" s="25" t="str">
        <f t="shared" si="1"/>
        <v/>
      </c>
      <c r="E84" s="14">
        <v>83</v>
      </c>
      <c r="F84" s="14">
        <v>25530</v>
      </c>
      <c r="G84" s="14">
        <v>697260</v>
      </c>
    </row>
    <row r="85" spans="3:7" x14ac:dyDescent="0.25">
      <c r="C85" s="25" t="str">
        <f t="shared" si="1"/>
        <v/>
      </c>
      <c r="E85" s="14">
        <v>84</v>
      </c>
      <c r="F85" s="14">
        <v>26280</v>
      </c>
      <c r="G85" s="14">
        <v>722790</v>
      </c>
    </row>
    <row r="86" spans="3:7" x14ac:dyDescent="0.25">
      <c r="C86" s="25" t="str">
        <f t="shared" si="1"/>
        <v/>
      </c>
      <c r="E86" s="14">
        <v>85</v>
      </c>
      <c r="F86" s="14">
        <v>27030</v>
      </c>
      <c r="G86" s="14">
        <v>749070</v>
      </c>
    </row>
    <row r="87" spans="3:7" x14ac:dyDescent="0.25">
      <c r="C87" s="25" t="str">
        <f t="shared" si="1"/>
        <v/>
      </c>
      <c r="E87" s="14">
        <v>86</v>
      </c>
      <c r="F87" s="14">
        <v>27780</v>
      </c>
      <c r="G87" s="14">
        <v>776100</v>
      </c>
    </row>
    <row r="88" spans="3:7" x14ac:dyDescent="0.25">
      <c r="C88" s="25" t="str">
        <f t="shared" si="1"/>
        <v/>
      </c>
      <c r="E88" s="14">
        <v>87</v>
      </c>
      <c r="F88" s="14">
        <v>28530</v>
      </c>
      <c r="G88" s="14">
        <v>803880</v>
      </c>
    </row>
    <row r="89" spans="3:7" x14ac:dyDescent="0.25">
      <c r="C89" s="25" t="str">
        <f t="shared" si="1"/>
        <v/>
      </c>
      <c r="E89" s="14">
        <v>88</v>
      </c>
      <c r="F89" s="14">
        <v>29280</v>
      </c>
      <c r="G89" s="14">
        <v>832410</v>
      </c>
    </row>
    <row r="90" spans="3:7" x14ac:dyDescent="0.25">
      <c r="C90" s="25" t="str">
        <f t="shared" si="1"/>
        <v/>
      </c>
      <c r="E90" s="14">
        <v>89</v>
      </c>
      <c r="F90" s="14">
        <v>30030</v>
      </c>
      <c r="G90" s="14">
        <v>861690</v>
      </c>
    </row>
    <row r="91" spans="3:7" x14ac:dyDescent="0.25">
      <c r="C91" s="25" t="str">
        <f t="shared" si="1"/>
        <v/>
      </c>
      <c r="E91" s="14">
        <v>90</v>
      </c>
      <c r="F91" s="14">
        <v>30780</v>
      </c>
      <c r="G91" s="14">
        <v>891720</v>
      </c>
    </row>
    <row r="92" spans="3:7" x14ac:dyDescent="0.25">
      <c r="C92" s="25" t="str">
        <f t="shared" si="1"/>
        <v/>
      </c>
      <c r="E92" s="14">
        <v>91</v>
      </c>
      <c r="F92" s="14">
        <v>31680</v>
      </c>
      <c r="G92" s="14">
        <v>922500</v>
      </c>
    </row>
    <row r="93" spans="3:7" x14ac:dyDescent="0.25">
      <c r="C93" s="25" t="str">
        <f t="shared" si="1"/>
        <v/>
      </c>
      <c r="E93" s="14">
        <v>92</v>
      </c>
      <c r="F93" s="14">
        <v>32580</v>
      </c>
      <c r="G93" s="14">
        <v>954180</v>
      </c>
    </row>
    <row r="94" spans="3:7" x14ac:dyDescent="0.25">
      <c r="C94" s="25" t="str">
        <f t="shared" si="1"/>
        <v/>
      </c>
      <c r="E94" s="14">
        <v>93</v>
      </c>
      <c r="F94" s="14">
        <v>33480</v>
      </c>
      <c r="G94" s="14">
        <v>986760</v>
      </c>
    </row>
    <row r="95" spans="3:7" x14ac:dyDescent="0.25">
      <c r="C95" s="25" t="str">
        <f t="shared" si="1"/>
        <v/>
      </c>
      <c r="E95" s="14">
        <v>94</v>
      </c>
      <c r="F95" s="14">
        <v>34380</v>
      </c>
      <c r="G95" s="14">
        <v>1020240</v>
      </c>
    </row>
    <row r="96" spans="3:7" x14ac:dyDescent="0.25">
      <c r="C96" s="25" t="str">
        <f t="shared" si="1"/>
        <v/>
      </c>
      <c r="E96" s="14">
        <v>95</v>
      </c>
      <c r="F96" s="14">
        <v>35280</v>
      </c>
      <c r="G96" s="14">
        <v>1054620</v>
      </c>
    </row>
    <row r="97" spans="3:7" x14ac:dyDescent="0.25">
      <c r="C97" s="25" t="str">
        <f t="shared" si="1"/>
        <v/>
      </c>
      <c r="E97" s="14">
        <v>96</v>
      </c>
      <c r="F97" s="14">
        <v>36180</v>
      </c>
      <c r="G97" s="14">
        <v>1089900</v>
      </c>
    </row>
    <row r="98" spans="3:7" x14ac:dyDescent="0.25">
      <c r="C98" s="25" t="str">
        <f t="shared" si="1"/>
        <v/>
      </c>
      <c r="E98" s="14">
        <v>97</v>
      </c>
      <c r="F98" s="14">
        <v>37080</v>
      </c>
      <c r="G98" s="14">
        <v>1126080</v>
      </c>
    </row>
    <row r="99" spans="3:7" x14ac:dyDescent="0.25">
      <c r="C99" s="25" t="str">
        <f t="shared" si="1"/>
        <v/>
      </c>
      <c r="E99" s="14">
        <v>98</v>
      </c>
      <c r="F99" s="14">
        <v>37980</v>
      </c>
      <c r="G99" s="14">
        <v>1163160</v>
      </c>
    </row>
    <row r="100" spans="3:7" x14ac:dyDescent="0.25">
      <c r="C100" s="25" t="str">
        <f t="shared" si="1"/>
        <v/>
      </c>
      <c r="E100" s="14">
        <v>99</v>
      </c>
      <c r="F100" s="14">
        <v>38880</v>
      </c>
      <c r="G100" s="14">
        <v>1201140</v>
      </c>
    </row>
    <row r="101" spans="3:7" x14ac:dyDescent="0.25">
      <c r="C101" s="25" t="str">
        <f t="shared" si="1"/>
        <v/>
      </c>
      <c r="E101" s="14">
        <v>100</v>
      </c>
      <c r="F101" s="14">
        <v>0</v>
      </c>
      <c r="G101" s="14">
        <v>1240020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38BE-4C69-46D6-A8E7-5EF0970003CB}">
  <sheetPr>
    <tabColor rgb="FF00B050"/>
  </sheetPr>
  <dimension ref="A1:O49"/>
  <sheetViews>
    <sheetView tabSelected="1" zoomScaleNormal="60" zoomScaleSheetLayoutView="100" workbookViewId="0">
      <selection activeCell="H9" sqref="H9:O17"/>
    </sheetView>
  </sheetViews>
  <sheetFormatPr defaultColWidth="8.5703125" defaultRowHeight="18" customHeight="1" x14ac:dyDescent="0.25"/>
  <cols>
    <col min="1" max="1" width="8.5703125" style="39"/>
    <col min="2" max="4" width="9.28515625" style="39" customWidth="1"/>
    <col min="5" max="5" width="9.28515625" style="273" customWidth="1"/>
    <col min="6" max="7" width="8.5703125" style="273"/>
    <col min="8" max="16384" width="8.5703125" style="39"/>
  </cols>
  <sheetData>
    <row r="1" spans="1:15" ht="18" customHeight="1" x14ac:dyDescent="0.25">
      <c r="B1" s="26" t="s">
        <v>77</v>
      </c>
      <c r="C1" s="27" t="s">
        <v>78</v>
      </c>
      <c r="D1" s="29" t="s">
        <v>85</v>
      </c>
      <c r="E1" s="28" t="s">
        <v>83</v>
      </c>
      <c r="F1" s="408" t="s">
        <v>29</v>
      </c>
      <c r="H1" s="24"/>
      <c r="I1" s="23" t="s">
        <v>31</v>
      </c>
      <c r="J1" s="23" t="s">
        <v>56</v>
      </c>
      <c r="K1" s="23" t="s">
        <v>77</v>
      </c>
      <c r="L1" s="23" t="s">
        <v>78</v>
      </c>
      <c r="M1" s="23" t="s">
        <v>85</v>
      </c>
      <c r="N1" s="23" t="s">
        <v>81</v>
      </c>
    </row>
    <row r="2" spans="1:15" ht="18" customHeight="1" x14ac:dyDescent="0.25">
      <c r="A2" s="273"/>
      <c r="B2" s="26" t="s">
        <v>84</v>
      </c>
      <c r="C2" s="27" t="s">
        <v>82</v>
      </c>
      <c r="D2" s="29" t="s">
        <v>82</v>
      </c>
      <c r="E2" s="28" t="s">
        <v>84</v>
      </c>
      <c r="F2" s="408"/>
      <c r="H2" s="23" t="s">
        <v>57</v>
      </c>
      <c r="I2" s="168">
        <v>90451</v>
      </c>
      <c r="J2" s="168">
        <v>10</v>
      </c>
      <c r="K2" s="168">
        <v>24</v>
      </c>
      <c r="L2" s="168">
        <v>334</v>
      </c>
      <c r="M2" s="168">
        <v>128</v>
      </c>
      <c r="N2" s="168">
        <v>6</v>
      </c>
    </row>
    <row r="3" spans="1:15" ht="18" customHeight="1" x14ac:dyDescent="0.25">
      <c r="A3" s="280" t="s">
        <v>101</v>
      </c>
      <c r="B3" s="304">
        <f>IF(VOID_FIRE_GOLEM_GOLD&gt;0,F3/VOID_FIRE_GOLEM_GOLD,"")</f>
        <v>21.833333333333332</v>
      </c>
      <c r="C3" s="304">
        <f>IF(VOID_FIRE_GOLEM_SILVER&gt;0,VOID_FIRE_GOLEM_SILVER/F3,"")</f>
        <v>2.3282442748091605</v>
      </c>
      <c r="D3" s="304" t="str">
        <f>IF(VOID_FIRE_GOLEM_SILVER2&gt;0,VOID_FIRE_GOLEM_SILVER2/F3,"")</f>
        <v/>
      </c>
      <c r="E3" s="305">
        <f>IF(VOID_FIRE_GOLEM_SPEC&gt;0,F3/VOID_FIRE_GOLEM_SPEC,"")</f>
        <v>5.9545454545454541</v>
      </c>
      <c r="F3" s="272">
        <f>IF(VOID_FIRE_GOLEM_GAMES&gt;0,VOID_FIRE_GOLEM_GAMES,"")</f>
        <v>131</v>
      </c>
      <c r="H3" s="23" t="s">
        <v>58</v>
      </c>
      <c r="I3" s="168">
        <v>90451</v>
      </c>
      <c r="J3" s="168">
        <v>0</v>
      </c>
      <c r="K3" s="168">
        <v>24</v>
      </c>
      <c r="L3" s="168">
        <v>334</v>
      </c>
      <c r="M3" s="168">
        <v>128</v>
      </c>
      <c r="N3" s="168">
        <v>6</v>
      </c>
    </row>
    <row r="4" spans="1:15" ht="18" customHeight="1" x14ac:dyDescent="0.25">
      <c r="A4" s="280" t="s">
        <v>128</v>
      </c>
      <c r="B4" s="304" t="str">
        <f>IF(VOID_FIRE_GHOST_GOLD&gt;0,F4/VOID_FIRE_GOLEM_GOLD,"")</f>
        <v/>
      </c>
      <c r="C4" s="304" t="str">
        <f>IF(VOID_FIRE_GHOST_SILVER&gt;0,VOID_FIRE_GHOST_SILVER/F4,"")</f>
        <v/>
      </c>
      <c r="D4" s="304" t="str">
        <f>IF(VOID_FIRE_GHOST_SILVER2&gt;0,VOID_FIRE_GHOST_SILVER2/F4,"")</f>
        <v/>
      </c>
      <c r="E4" s="305" t="str">
        <f>IF(VOID_FIRE_GHOST_SPEC&gt;0,F4/VOID_FIRE_GHOST_SPEC,"")</f>
        <v/>
      </c>
      <c r="F4" s="272" t="str">
        <f>IF(VOID_FIRE_GHOST_GAMES&gt;0,VOID_FIRE_GHOST_GAMES,"")</f>
        <v/>
      </c>
    </row>
    <row r="5" spans="1:15" ht="18" customHeight="1" x14ac:dyDescent="0.25">
      <c r="A5" s="280" t="s">
        <v>130</v>
      </c>
      <c r="B5" s="304" t="str">
        <f>IF(VOID_FIRE_AGNI_GOLD&gt;0,F5/VOID_FIRE_GOLEM_GOLD,"")</f>
        <v/>
      </c>
      <c r="C5" s="304" t="str">
        <f>IF(VOID_FIRE_AGNI_SILVER&gt;0,VOID_FIRE_AGNI_SILVER/F5,"")</f>
        <v/>
      </c>
      <c r="D5" s="304" t="str">
        <f>IF(VOID_FIRE_AGNI_SILVER2&gt;0,VOID_FIRE_AGNI_SILVER2/F5,"")</f>
        <v/>
      </c>
      <c r="E5" s="305" t="str">
        <f>IF(VOID_FIRE_AGNI_SPEC&gt;0,F5/VOID_FIRE_AGNI_SPEC,"")</f>
        <v/>
      </c>
      <c r="F5" s="272" t="str">
        <f>IF(VOID_FIRE_AGNI_GAMES&gt;0,VOID_FIRE_AGNI_GAMES,"")</f>
        <v/>
      </c>
      <c r="H5" s="39" t="s">
        <v>29</v>
      </c>
      <c r="K5" s="39" t="s">
        <v>77</v>
      </c>
      <c r="L5" s="39" t="s">
        <v>78</v>
      </c>
      <c r="M5" s="39" t="s">
        <v>85</v>
      </c>
      <c r="N5" s="56" t="s">
        <v>81</v>
      </c>
    </row>
    <row r="6" spans="1:15" ht="18" customHeight="1" x14ac:dyDescent="0.25">
      <c r="A6" s="285" t="s">
        <v>129</v>
      </c>
      <c r="B6" s="304" t="str">
        <f>IF(VOID_WATER_HERMIT_GOLD&gt;0,F6/VOID_FIRE_GOLEM_GOLD,"")</f>
        <v/>
      </c>
      <c r="C6" s="304">
        <f>IF(VOID_WATER_HERMIT_SILVER&gt;0,VOID_WATER_HERMIT_SILVER/F6,"")</f>
        <v>2.1</v>
      </c>
      <c r="D6" s="304">
        <f>IF(VOID_WATER_HERMIT_SILVER2&gt;0,VOID_WATER_HERMIT_SILVER2/F6,"")</f>
        <v>3.3</v>
      </c>
      <c r="E6" s="305">
        <f>IF(VOID_WATER_HERMIT_SPEC&gt;0,F6/VOID_WATER_HERMIT_SPEC,"")</f>
        <v>2.5</v>
      </c>
      <c r="F6" s="272">
        <f>IF(VOID_WATER_HERMIT_GAMES&gt;0,VOID_WATER_HERMIT_GAMES,"")</f>
        <v>10</v>
      </c>
      <c r="H6" s="20">
        <f>(I2-I3)/WINGS_RECOVER_DIAMS*6 + (J2-J3)/WINGS_CONSUME_VOID</f>
        <v>5</v>
      </c>
      <c r="J6" s="39" t="s">
        <v>79</v>
      </c>
      <c r="K6" s="20">
        <f>K3-K2</f>
        <v>0</v>
      </c>
      <c r="L6" s="20">
        <f>L3-L2</f>
        <v>0</v>
      </c>
      <c r="M6" s="20">
        <f>M3-M2</f>
        <v>0</v>
      </c>
      <c r="N6" s="20">
        <f>N3-N2</f>
        <v>0</v>
      </c>
    </row>
    <row r="7" spans="1:15" ht="18" customHeight="1" x14ac:dyDescent="0.25">
      <c r="A7" s="290" t="s">
        <v>103</v>
      </c>
      <c r="B7" s="304">
        <f>IF(VOID_WIND_WYVERN_GOLD&gt;0,F7/VOID_FIRE_GOLEM_GOLD,"")</f>
        <v>8.1666666666666661</v>
      </c>
      <c r="C7" s="304">
        <f>IF(VOID_WIND_WYVERN_SILVER&gt;0,VOID_WIND_WYVERN_SILVER/F7,"")</f>
        <v>3.0612244897959182</v>
      </c>
      <c r="D7" s="304">
        <f>IF(VOID_WIND_WYVERN_SILVER2&gt;0,VOID_WIND_WYVERN_SILVER2/F7,"")</f>
        <v>4.1836734693877551</v>
      </c>
      <c r="E7" s="305">
        <f>IF(VOID_WIND_WYVERN_SPEC&gt;0,F7/VOID_WIND_WYVERN_SPEC,"")</f>
        <v>16.333333333333332</v>
      </c>
      <c r="F7" s="272">
        <f>IF(VOID_WIND_WYVERN_GAMES&gt;0,VOID_WIND_WYVERN_GAMES,"")</f>
        <v>49</v>
      </c>
      <c r="J7" s="39" t="s">
        <v>80</v>
      </c>
      <c r="K7" s="20">
        <f>IFERROR(K6/$H$6,"")</f>
        <v>0</v>
      </c>
      <c r="L7" s="20">
        <f>IFERROR(L6/$H$6,"")</f>
        <v>0</v>
      </c>
      <c r="M7" s="20">
        <f>IFERROR(M6/$H$6,"")</f>
        <v>0</v>
      </c>
      <c r="N7" s="20">
        <f>IFERROR(N6/$H$6,"")</f>
        <v>0</v>
      </c>
    </row>
    <row r="8" spans="1:15" ht="18" customHeight="1" x14ac:dyDescent="0.25">
      <c r="A8" s="295" t="s">
        <v>102</v>
      </c>
      <c r="B8" s="304" t="str">
        <f>IF(VOID_LIGHT_MUSH_GOLD&gt;0,F8/VOID_FIRE_GOLEM_GOLD,"")</f>
        <v/>
      </c>
      <c r="C8" s="304">
        <f>IF(VOID_LIGHT_MUSH_SILVER&gt;0,VOID_LIGHT_MUSH_SILVER/F8,"")</f>
        <v>1.4186046511627908</v>
      </c>
      <c r="D8" s="304" t="str">
        <f>IF(VOID_LIGHT_MUSH_SILVER2&gt;0,VOID_LIGHT_MUSH_SILVER2/F8,"")</f>
        <v/>
      </c>
      <c r="E8" s="305">
        <f>IF(VOID_LIGHT_MUSH_SPEC&gt;0,F8/VOID_LIGHT_MUSH_SPEC,"")</f>
        <v>21.5</v>
      </c>
      <c r="F8" s="272">
        <f>IF(VOID_LIGHT_MUSH_GAMES&gt;0,VOID_LIGHT_MUSH_GAMES,"")</f>
        <v>43</v>
      </c>
    </row>
    <row r="9" spans="1:15" ht="18" customHeight="1" x14ac:dyDescent="0.25">
      <c r="A9" s="300" t="s">
        <v>104</v>
      </c>
      <c r="B9" s="304">
        <f>IF(VOID_DARK_MTCORE_GOLD&gt;0,F9/VOID_FIRE_GOLEM_GOLD,"")</f>
        <v>19.166666666666668</v>
      </c>
      <c r="C9" s="304">
        <f>IF(VOID_DARK_MTCORE_SILVER&gt;0,VOID_DARK_MTCORE_SILVER/F9,"")</f>
        <v>2.5130434782608697</v>
      </c>
      <c r="D9" s="304">
        <f>IF(VOID_DARK_MTCORE_SILVER2&gt;0,VOID_DARK_MTCORE_SILVER2/F9,"")</f>
        <v>3.1130434782608694</v>
      </c>
      <c r="E9" s="305">
        <f>IF(VOID_DARK_MTCORE_SPEC&gt;0,F9/VOID_DARK_MTCORE_SPEC,"")</f>
        <v>28.75</v>
      </c>
      <c r="F9" s="272">
        <f>IF(VOID_DARK_MTCORE_GAMES&gt;0,VOID_DARK_MTCORE_GAMES,"")</f>
        <v>115</v>
      </c>
      <c r="G9" s="272"/>
      <c r="H9" s="272"/>
      <c r="I9" s="75" t="s">
        <v>131</v>
      </c>
      <c r="J9" s="271" t="s">
        <v>132</v>
      </c>
      <c r="K9" s="271" t="s">
        <v>133</v>
      </c>
      <c r="L9" s="271" t="s">
        <v>134</v>
      </c>
      <c r="M9" s="271" t="s">
        <v>135</v>
      </c>
      <c r="N9" s="271" t="s">
        <v>136</v>
      </c>
      <c r="O9" s="271" t="s">
        <v>137</v>
      </c>
    </row>
    <row r="10" spans="1:15" ht="18" customHeight="1" x14ac:dyDescent="0.25">
      <c r="A10" s="300" t="s">
        <v>105</v>
      </c>
      <c r="B10" s="304">
        <f>IF(VOID_DARK_GOLEM_GOLD&gt;0,F10/VOID_FIRE_GOLEM_GOLD,"")</f>
        <v>1.3333333333333333</v>
      </c>
      <c r="C10" s="304">
        <f>IF(VOID_DARK_GOLEM_SILVER&gt;0,VOID_DARK_GOLEM_SILVER/F10,"")</f>
        <v>3.375</v>
      </c>
      <c r="D10" s="304">
        <f>IF(VOID_DARK_GOLEM_SILVER2&gt;0,VOID_DARK_GOLEM_SILVER2/F10,"")</f>
        <v>0.5</v>
      </c>
      <c r="E10" s="305">
        <f>IF(VOID_DARK_GOLEM_SPEC&gt;0,F10/VOID_DARK_GOLEM_SPEC,"")</f>
        <v>8</v>
      </c>
      <c r="F10" s="272">
        <f>IF(VOID_DARK_GOLEM_GAMES&gt;0,VOID_DARK_GOLEM_GAMES,"")</f>
        <v>8</v>
      </c>
      <c r="G10" s="272"/>
      <c r="H10" s="280" t="s">
        <v>101</v>
      </c>
      <c r="I10" s="272" t="s">
        <v>138</v>
      </c>
      <c r="J10" s="39" t="s">
        <v>138</v>
      </c>
      <c r="L10" s="272"/>
      <c r="M10" s="350" t="s">
        <v>138</v>
      </c>
      <c r="N10" s="134"/>
    </row>
    <row r="11" spans="1:15" ht="18" customHeight="1" x14ac:dyDescent="0.25">
      <c r="D11" s="272"/>
      <c r="E11" s="272"/>
      <c r="F11" s="272"/>
      <c r="G11" s="272"/>
      <c r="H11" s="280" t="s">
        <v>128</v>
      </c>
      <c r="I11" s="272" t="s">
        <v>138</v>
      </c>
      <c r="J11" s="272"/>
      <c r="L11" s="272" t="s">
        <v>138</v>
      </c>
      <c r="N11" s="39" t="s">
        <v>138</v>
      </c>
      <c r="O11" s="272"/>
    </row>
    <row r="12" spans="1:15" ht="18" customHeight="1" x14ac:dyDescent="0.25">
      <c r="B12" s="306">
        <f>$F$12/(VOID_FIRE_GOLEM_GOLD+VOID_FIRE_GHOST_GOLD+VOID_FIRE_AGNI_GOLD+VOID_WATER_HERMIT_GOLD+VOID_WIND_WYVERN_GOLD+VOID_LIGHT_MUSH_GOLD+VOID_DARK_MTCORE_GOLD+VOID_DARK_GOLEM_GOLD)</f>
        <v>16.952380952380953</v>
      </c>
      <c r="C12" s="306">
        <f>(VOID_FIRE_GOLEM_SILVER+VOID_FIRE_GHOST_SILVER+VOID_FIRE_AGNI_SILVER+VOID_WATER_HERMIT_SILVER+VOID_WIND_WYVERN_SILVER+VOID_LIGHT_MUSH_SILVER+VOID_DARK_MTCORE_SILVER+VOID_DARK_GOLEM_SILVER)/$F$12</f>
        <v>2.3960674157303372</v>
      </c>
      <c r="D12" s="306">
        <f>(VOID_FIRE_GOLEM_SILVER2+VOID_FIRE_GHOST_SILVER2+VOID_FIRE_AGNI_SILVER2+VOID_WATER_HERMIT_SILVER2+VOID_WIND_WYVERN_SILVER2+VOID_LIGHT_MUSH_SILVER2+VOID_DARK_MTCORE_SILVER2+VOID_DARK_GOLEM_SILVER2)/$F$12</f>
        <v>1.6853932584269662</v>
      </c>
      <c r="E12" s="306">
        <f>$F$12/(VOID_FIRE_GOLEM_SPEC+VOID_FIRE_GHOST_SPEC+VOID_FIRE_AGNI_SPEC+VOID_WATER_HERMIT_SPEC+VOID_WIND_WYVERN_SPEC+VOID_LIGHT_MUSH_SPEC+VOID_DARK_MTCORE_SPEC+VOID_DARK_GOLEM_SPEC)</f>
        <v>9.8888888888888893</v>
      </c>
      <c r="F12" s="96">
        <f>SUM(F3:F11)</f>
        <v>356</v>
      </c>
      <c r="G12" s="272"/>
      <c r="H12" s="280" t="s">
        <v>130</v>
      </c>
      <c r="I12" s="272"/>
      <c r="J12" s="272" t="s">
        <v>138</v>
      </c>
      <c r="L12" s="272"/>
      <c r="M12" s="272" t="s">
        <v>138</v>
      </c>
      <c r="N12" s="272"/>
      <c r="O12" s="272" t="s">
        <v>138</v>
      </c>
    </row>
    <row r="13" spans="1:15" ht="18" customHeight="1" x14ac:dyDescent="0.25">
      <c r="D13" s="272"/>
      <c r="E13" s="272"/>
      <c r="F13" s="272"/>
      <c r="G13" s="272"/>
      <c r="H13" s="285" t="s">
        <v>129</v>
      </c>
      <c r="I13" s="272"/>
      <c r="J13" s="39" t="s">
        <v>138</v>
      </c>
      <c r="K13" s="272" t="s">
        <v>138</v>
      </c>
      <c r="M13" s="272" t="s">
        <v>138</v>
      </c>
      <c r="N13" s="272"/>
      <c r="O13" s="272" t="s">
        <v>138</v>
      </c>
    </row>
    <row r="14" spans="1:15" ht="18" customHeight="1" x14ac:dyDescent="0.25">
      <c r="D14" s="272"/>
      <c r="E14" s="272"/>
      <c r="F14" s="272"/>
      <c r="G14" s="272"/>
      <c r="H14" s="290" t="s">
        <v>103</v>
      </c>
      <c r="I14" s="272" t="s">
        <v>138</v>
      </c>
      <c r="K14" s="272" t="s">
        <v>138</v>
      </c>
      <c r="N14" s="272" t="s">
        <v>138</v>
      </c>
    </row>
    <row r="15" spans="1:15" ht="18" customHeight="1" x14ac:dyDescent="0.25">
      <c r="D15" s="272"/>
      <c r="E15" s="272"/>
      <c r="F15" s="272"/>
      <c r="G15" s="272"/>
      <c r="H15" s="295" t="s">
        <v>102</v>
      </c>
      <c r="I15" s="272" t="s">
        <v>138</v>
      </c>
      <c r="J15" s="272" t="s">
        <v>138</v>
      </c>
      <c r="K15" s="272" t="s">
        <v>138</v>
      </c>
      <c r="L15" s="272" t="s">
        <v>138</v>
      </c>
      <c r="M15" s="272" t="s">
        <v>138</v>
      </c>
      <c r="N15" s="272" t="s">
        <v>138</v>
      </c>
      <c r="O15" s="272" t="s">
        <v>138</v>
      </c>
    </row>
    <row r="16" spans="1:15" ht="18" customHeight="1" x14ac:dyDescent="0.25">
      <c r="D16" s="272"/>
      <c r="E16" s="272"/>
      <c r="F16" s="272"/>
      <c r="G16" s="272"/>
      <c r="H16" s="300" t="s">
        <v>104</v>
      </c>
      <c r="I16" s="272"/>
      <c r="K16" s="272"/>
      <c r="L16" s="39" t="s">
        <v>138</v>
      </c>
      <c r="N16" s="39" t="s">
        <v>138</v>
      </c>
      <c r="O16" s="39" t="s">
        <v>138</v>
      </c>
    </row>
    <row r="17" spans="4:15" ht="18" customHeight="1" x14ac:dyDescent="0.25">
      <c r="D17" s="272"/>
      <c r="E17" s="272"/>
      <c r="F17" s="272"/>
      <c r="G17" s="272"/>
      <c r="H17" s="300" t="s">
        <v>105</v>
      </c>
      <c r="I17" s="272"/>
      <c r="J17" s="272"/>
      <c r="K17" s="272" t="s">
        <v>138</v>
      </c>
      <c r="L17" s="39" t="s">
        <v>138</v>
      </c>
      <c r="M17" s="272"/>
      <c r="N17" s="272" t="s">
        <v>138</v>
      </c>
      <c r="O17" s="272" t="s">
        <v>138</v>
      </c>
    </row>
    <row r="18" spans="4:15" ht="18" customHeight="1" x14ac:dyDescent="0.25">
      <c r="D18" s="272"/>
      <c r="E18" s="272"/>
      <c r="F18" s="272"/>
      <c r="G18" s="272"/>
      <c r="H18" s="272"/>
      <c r="I18" s="273"/>
    </row>
    <row r="19" spans="4:15" ht="18" customHeight="1" x14ac:dyDescent="0.25">
      <c r="D19" s="272"/>
      <c r="E19" s="272"/>
      <c r="F19" s="272"/>
      <c r="G19" s="272"/>
      <c r="H19" s="272"/>
      <c r="I19" s="273"/>
    </row>
    <row r="20" spans="4:15" ht="18" customHeight="1" x14ac:dyDescent="0.25">
      <c r="D20" s="272"/>
      <c r="E20" s="272"/>
      <c r="F20" s="272"/>
      <c r="G20" s="272"/>
      <c r="H20" s="272"/>
    </row>
    <row r="21" spans="4:15" ht="18" customHeight="1" x14ac:dyDescent="0.25">
      <c r="D21" s="272"/>
      <c r="E21" s="272"/>
      <c r="F21" s="272"/>
      <c r="G21" s="272"/>
      <c r="H21" s="272"/>
    </row>
    <row r="22" spans="4:15" ht="18" customHeight="1" x14ac:dyDescent="0.25">
      <c r="D22" s="272"/>
      <c r="E22" s="272"/>
      <c r="F22" s="272"/>
      <c r="G22" s="272"/>
      <c r="I22" s="272"/>
    </row>
    <row r="23" spans="4:15" ht="18" customHeight="1" x14ac:dyDescent="0.25">
      <c r="D23" s="272"/>
      <c r="E23" s="272"/>
      <c r="F23" s="272"/>
      <c r="G23" s="272"/>
      <c r="I23" s="272"/>
    </row>
    <row r="24" spans="4:15" ht="18" customHeight="1" x14ac:dyDescent="0.25">
      <c r="D24" s="272"/>
      <c r="E24" s="272"/>
      <c r="F24" s="272"/>
      <c r="G24" s="272"/>
      <c r="I24" s="272"/>
    </row>
    <row r="25" spans="4:15" ht="18" customHeight="1" x14ac:dyDescent="0.25">
      <c r="D25" s="272"/>
      <c r="E25" s="272"/>
      <c r="F25" s="272"/>
      <c r="G25" s="272"/>
      <c r="I25" s="272"/>
    </row>
    <row r="26" spans="4:15" ht="18" customHeight="1" x14ac:dyDescent="0.25">
      <c r="D26" s="272"/>
      <c r="E26" s="272"/>
      <c r="F26" s="272"/>
      <c r="G26" s="272"/>
      <c r="I26" s="272"/>
    </row>
    <row r="27" spans="4:15" ht="18" customHeight="1" x14ac:dyDescent="0.25">
      <c r="D27" s="272"/>
      <c r="E27" s="272"/>
      <c r="F27" s="272"/>
      <c r="G27" s="272"/>
      <c r="I27" s="272"/>
    </row>
    <row r="28" spans="4:15" ht="18" customHeight="1" x14ac:dyDescent="0.25">
      <c r="D28" s="272"/>
      <c r="E28" s="272"/>
      <c r="F28" s="272"/>
      <c r="G28" s="272"/>
      <c r="I28" s="272"/>
    </row>
    <row r="29" spans="4:15" ht="18" customHeight="1" x14ac:dyDescent="0.25">
      <c r="D29" s="272"/>
      <c r="E29" s="272"/>
      <c r="F29" s="272"/>
      <c r="G29" s="272"/>
      <c r="I29" s="272"/>
    </row>
    <row r="30" spans="4:15" ht="18" customHeight="1" x14ac:dyDescent="0.25">
      <c r="D30" s="272"/>
      <c r="E30" s="272"/>
      <c r="F30" s="272"/>
      <c r="G30" s="272"/>
      <c r="I30" s="272"/>
    </row>
    <row r="31" spans="4:15" ht="18" customHeight="1" x14ac:dyDescent="0.25">
      <c r="D31" s="272"/>
      <c r="E31" s="272"/>
      <c r="F31" s="272"/>
      <c r="G31" s="272"/>
      <c r="I31" s="272"/>
    </row>
    <row r="32" spans="4:15" ht="18" customHeight="1" x14ac:dyDescent="0.25">
      <c r="D32" s="272"/>
      <c r="E32" s="272"/>
      <c r="F32" s="272"/>
      <c r="G32" s="272"/>
      <c r="I32" s="272"/>
    </row>
    <row r="33" spans="4:9" ht="18" customHeight="1" x14ac:dyDescent="0.25">
      <c r="D33" s="272"/>
      <c r="E33" s="272"/>
      <c r="F33" s="272"/>
      <c r="G33" s="272"/>
      <c r="I33" s="272"/>
    </row>
    <row r="34" spans="4:9" ht="18" customHeight="1" x14ac:dyDescent="0.25">
      <c r="D34" s="272"/>
      <c r="E34" s="272"/>
      <c r="F34" s="272"/>
      <c r="G34" s="272"/>
      <c r="I34" s="272"/>
    </row>
    <row r="35" spans="4:9" ht="18" customHeight="1" x14ac:dyDescent="0.25">
      <c r="D35" s="272"/>
      <c r="E35" s="272"/>
      <c r="F35" s="272"/>
      <c r="G35" s="272"/>
      <c r="I35" s="272"/>
    </row>
    <row r="36" spans="4:9" ht="18" customHeight="1" x14ac:dyDescent="0.25">
      <c r="D36" s="272"/>
      <c r="E36" s="272"/>
      <c r="F36" s="272"/>
      <c r="G36" s="272"/>
      <c r="I36" s="272"/>
    </row>
    <row r="37" spans="4:9" ht="18" customHeight="1" x14ac:dyDescent="0.25">
      <c r="D37" s="272"/>
      <c r="E37" s="272"/>
      <c r="F37" s="272"/>
      <c r="G37" s="272"/>
      <c r="I37" s="272"/>
    </row>
    <row r="38" spans="4:9" ht="18" customHeight="1" x14ac:dyDescent="0.25">
      <c r="D38" s="272"/>
      <c r="E38" s="272"/>
      <c r="F38" s="272"/>
      <c r="G38" s="272"/>
      <c r="I38" s="272"/>
    </row>
    <row r="39" spans="4:9" ht="18" customHeight="1" x14ac:dyDescent="0.25">
      <c r="D39" s="272"/>
      <c r="E39" s="272"/>
      <c r="F39" s="272"/>
      <c r="G39" s="272"/>
      <c r="I39" s="272"/>
    </row>
    <row r="40" spans="4:9" ht="18" customHeight="1" x14ac:dyDescent="0.25">
      <c r="D40" s="272"/>
      <c r="E40" s="272"/>
      <c r="F40" s="272"/>
      <c r="G40" s="272"/>
      <c r="I40" s="272"/>
    </row>
    <row r="41" spans="4:9" ht="18" customHeight="1" x14ac:dyDescent="0.25">
      <c r="D41" s="272"/>
      <c r="E41" s="272"/>
      <c r="F41" s="272"/>
      <c r="G41" s="272"/>
      <c r="I41" s="272"/>
    </row>
    <row r="42" spans="4:9" ht="18" customHeight="1" x14ac:dyDescent="0.25">
      <c r="D42" s="272"/>
      <c r="E42" s="272"/>
      <c r="G42" s="272"/>
      <c r="I42" s="272"/>
    </row>
    <row r="43" spans="4:9" ht="18" customHeight="1" x14ac:dyDescent="0.25">
      <c r="D43" s="272"/>
      <c r="E43" s="272"/>
      <c r="G43" s="272"/>
      <c r="I43" s="272"/>
    </row>
    <row r="44" spans="4:9" ht="18" customHeight="1" x14ac:dyDescent="0.25">
      <c r="D44" s="272"/>
      <c r="E44" s="272"/>
      <c r="G44" s="272"/>
      <c r="I44" s="272"/>
    </row>
    <row r="45" spans="4:9" ht="18" customHeight="1" x14ac:dyDescent="0.25">
      <c r="G45" s="272"/>
      <c r="I45" s="272"/>
    </row>
    <row r="46" spans="4:9" ht="18" customHeight="1" x14ac:dyDescent="0.25">
      <c r="G46" s="272"/>
      <c r="I46" s="272"/>
    </row>
    <row r="47" spans="4:9" ht="18" customHeight="1" x14ac:dyDescent="0.25">
      <c r="G47" s="272"/>
      <c r="I47" s="272"/>
    </row>
    <row r="48" spans="4:9" ht="18" customHeight="1" x14ac:dyDescent="0.25">
      <c r="G48" s="272"/>
      <c r="I48" s="272"/>
    </row>
    <row r="49" spans="7:9" ht="18" customHeight="1" x14ac:dyDescent="0.25">
      <c r="G49" s="272"/>
      <c r="I49" s="272"/>
    </row>
  </sheetData>
  <mergeCells count="1">
    <mergeCell ref="F1:F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E30DC-B0C4-4455-8360-16B4B2CE7297}">
  <sheetPr>
    <tabColor rgb="FF00B0F0"/>
  </sheetPr>
  <dimension ref="A1:AN7"/>
  <sheetViews>
    <sheetView topLeftCell="M1" workbookViewId="0">
      <selection activeCell="AJ10" sqref="AJ10"/>
    </sheetView>
  </sheetViews>
  <sheetFormatPr defaultColWidth="9.140625" defaultRowHeight="15" customHeight="1" x14ac:dyDescent="0.25"/>
  <cols>
    <col min="1" max="1" width="3.85546875" style="282" customWidth="1"/>
    <col min="2" max="4" width="3.85546875" style="278" customWidth="1"/>
    <col min="5" max="5" width="3.85546875" style="283" customWidth="1"/>
    <col min="6" max="6" width="3.85546875" style="282" customWidth="1"/>
    <col min="7" max="9" width="3.85546875" style="278" customWidth="1"/>
    <col min="10" max="10" width="3.85546875" style="283" customWidth="1"/>
    <col min="11" max="11" width="3.85546875" style="282" customWidth="1"/>
    <col min="12" max="14" width="3.85546875" style="278" customWidth="1"/>
    <col min="15" max="15" width="3.85546875" style="283" customWidth="1"/>
    <col min="16" max="16" width="3.85546875" style="287" customWidth="1"/>
    <col min="17" max="19" width="3.85546875" style="277" customWidth="1"/>
    <col min="20" max="20" width="3.85546875" style="288" customWidth="1"/>
    <col min="21" max="21" width="3.85546875" style="292" customWidth="1"/>
    <col min="22" max="24" width="3.85546875" style="276" customWidth="1"/>
    <col min="25" max="25" width="3.85546875" style="293" customWidth="1"/>
    <col min="26" max="26" width="3.85546875" style="297" customWidth="1"/>
    <col min="27" max="29" width="3.85546875" style="275" customWidth="1"/>
    <col min="30" max="30" width="3.85546875" style="298" customWidth="1"/>
    <col min="31" max="31" width="3.85546875" style="302" customWidth="1"/>
    <col min="32" max="34" width="3.85546875" style="274" customWidth="1"/>
    <col min="35" max="35" width="3.85546875" style="303" customWidth="1"/>
    <col min="36" max="36" width="3.85546875" style="302" customWidth="1"/>
    <col min="37" max="39" width="3.85546875" style="274" customWidth="1"/>
    <col min="40" max="40" width="3.85546875" style="303" customWidth="1"/>
    <col min="41" max="16384" width="9.140625" style="1"/>
  </cols>
  <sheetData>
    <row r="1" spans="1:40" s="271" customFormat="1" ht="15" customHeight="1" x14ac:dyDescent="0.25">
      <c r="A1" s="412" t="s">
        <v>101</v>
      </c>
      <c r="B1" s="413"/>
      <c r="C1" s="413"/>
      <c r="D1" s="413"/>
      <c r="E1" s="414"/>
      <c r="F1" s="412" t="s">
        <v>128</v>
      </c>
      <c r="G1" s="413"/>
      <c r="H1" s="413"/>
      <c r="I1" s="413"/>
      <c r="J1" s="414"/>
      <c r="K1" s="412" t="s">
        <v>130</v>
      </c>
      <c r="L1" s="413"/>
      <c r="M1" s="413"/>
      <c r="N1" s="413"/>
      <c r="O1" s="414"/>
      <c r="P1" s="421" t="s">
        <v>129</v>
      </c>
      <c r="Q1" s="422"/>
      <c r="R1" s="422"/>
      <c r="S1" s="422"/>
      <c r="T1" s="423"/>
      <c r="U1" s="418" t="s">
        <v>103</v>
      </c>
      <c r="V1" s="419"/>
      <c r="W1" s="419"/>
      <c r="X1" s="419"/>
      <c r="Y1" s="420"/>
      <c r="Z1" s="415" t="s">
        <v>102</v>
      </c>
      <c r="AA1" s="416"/>
      <c r="AB1" s="416"/>
      <c r="AC1" s="416"/>
      <c r="AD1" s="417"/>
      <c r="AE1" s="409" t="s">
        <v>104</v>
      </c>
      <c r="AF1" s="410"/>
      <c r="AG1" s="410"/>
      <c r="AH1" s="410"/>
      <c r="AI1" s="411"/>
      <c r="AJ1" s="409" t="s">
        <v>105</v>
      </c>
      <c r="AK1" s="410"/>
      <c r="AL1" s="410"/>
      <c r="AM1" s="410"/>
      <c r="AN1" s="411"/>
    </row>
    <row r="2" spans="1:40" s="271" customFormat="1" ht="15" customHeight="1" x14ac:dyDescent="0.25">
      <c r="A2" s="279" t="s">
        <v>30</v>
      </c>
      <c r="B2" s="280" t="s">
        <v>77</v>
      </c>
      <c r="C2" s="280" t="s">
        <v>78</v>
      </c>
      <c r="D2" s="280" t="s">
        <v>85</v>
      </c>
      <c r="E2" s="281" t="s">
        <v>127</v>
      </c>
      <c r="F2" s="279" t="s">
        <v>30</v>
      </c>
      <c r="G2" s="280" t="s">
        <v>77</v>
      </c>
      <c r="H2" s="280" t="s">
        <v>78</v>
      </c>
      <c r="I2" s="280" t="s">
        <v>85</v>
      </c>
      <c r="J2" s="281" t="s">
        <v>127</v>
      </c>
      <c r="K2" s="279" t="s">
        <v>30</v>
      </c>
      <c r="L2" s="280" t="s">
        <v>77</v>
      </c>
      <c r="M2" s="280" t="s">
        <v>78</v>
      </c>
      <c r="N2" s="280" t="s">
        <v>85</v>
      </c>
      <c r="O2" s="281" t="s">
        <v>127</v>
      </c>
      <c r="P2" s="284" t="s">
        <v>30</v>
      </c>
      <c r="Q2" s="285" t="s">
        <v>77</v>
      </c>
      <c r="R2" s="285" t="s">
        <v>78</v>
      </c>
      <c r="S2" s="285" t="s">
        <v>85</v>
      </c>
      <c r="T2" s="286" t="s">
        <v>127</v>
      </c>
      <c r="U2" s="289" t="s">
        <v>30</v>
      </c>
      <c r="V2" s="290" t="s">
        <v>77</v>
      </c>
      <c r="W2" s="290" t="s">
        <v>78</v>
      </c>
      <c r="X2" s="290" t="s">
        <v>85</v>
      </c>
      <c r="Y2" s="291" t="s">
        <v>127</v>
      </c>
      <c r="Z2" s="294" t="s">
        <v>30</v>
      </c>
      <c r="AA2" s="295" t="s">
        <v>77</v>
      </c>
      <c r="AB2" s="295" t="s">
        <v>78</v>
      </c>
      <c r="AC2" s="295" t="s">
        <v>85</v>
      </c>
      <c r="AD2" s="296" t="s">
        <v>127</v>
      </c>
      <c r="AE2" s="299" t="s">
        <v>30</v>
      </c>
      <c r="AF2" s="300" t="s">
        <v>77</v>
      </c>
      <c r="AG2" s="300" t="s">
        <v>78</v>
      </c>
      <c r="AH2" s="300" t="s">
        <v>85</v>
      </c>
      <c r="AI2" s="301" t="s">
        <v>127</v>
      </c>
      <c r="AJ2" s="299" t="s">
        <v>30</v>
      </c>
      <c r="AK2" s="300" t="s">
        <v>77</v>
      </c>
      <c r="AL2" s="300" t="s">
        <v>78</v>
      </c>
      <c r="AM2" s="300" t="s">
        <v>85</v>
      </c>
      <c r="AN2" s="301" t="s">
        <v>127</v>
      </c>
    </row>
    <row r="3" spans="1:40" ht="15" customHeight="1" x14ac:dyDescent="0.25">
      <c r="A3" s="282">
        <v>37</v>
      </c>
      <c r="B3" s="278">
        <v>3</v>
      </c>
      <c r="C3" s="278">
        <v>75</v>
      </c>
      <c r="D3" s="278">
        <v>0</v>
      </c>
      <c r="E3" s="283">
        <v>3</v>
      </c>
      <c r="P3" s="287">
        <v>4</v>
      </c>
      <c r="Q3" s="277">
        <v>0</v>
      </c>
      <c r="R3" s="277">
        <v>8</v>
      </c>
      <c r="S3" s="277">
        <v>12</v>
      </c>
      <c r="T3" s="288">
        <v>4</v>
      </c>
      <c r="U3" s="292">
        <v>21</v>
      </c>
      <c r="V3" s="276">
        <v>1</v>
      </c>
      <c r="W3" s="276">
        <v>64</v>
      </c>
      <c r="X3" s="276">
        <v>86</v>
      </c>
      <c r="Y3" s="293">
        <v>1</v>
      </c>
      <c r="Z3" s="297">
        <v>9</v>
      </c>
      <c r="AA3" s="275">
        <v>0</v>
      </c>
      <c r="AB3" s="275">
        <v>14</v>
      </c>
      <c r="AC3" s="275">
        <v>0</v>
      </c>
      <c r="AD3" s="298">
        <v>1</v>
      </c>
      <c r="AE3" s="302">
        <v>13</v>
      </c>
      <c r="AF3" s="274">
        <v>1</v>
      </c>
      <c r="AG3" s="274">
        <v>33</v>
      </c>
      <c r="AH3" s="274">
        <v>42</v>
      </c>
      <c r="AI3" s="303">
        <v>0</v>
      </c>
      <c r="AJ3" s="302">
        <v>8</v>
      </c>
      <c r="AK3" s="274">
        <v>1</v>
      </c>
      <c r="AL3" s="274">
        <v>27</v>
      </c>
      <c r="AM3" s="274">
        <v>4</v>
      </c>
      <c r="AN3" s="303">
        <v>1</v>
      </c>
    </row>
    <row r="4" spans="1:40" ht="15" customHeight="1" x14ac:dyDescent="0.25">
      <c r="A4" s="282">
        <v>67</v>
      </c>
      <c r="B4" s="278">
        <v>0</v>
      </c>
      <c r="C4" s="278">
        <v>185</v>
      </c>
      <c r="D4" s="278">
        <v>0</v>
      </c>
      <c r="E4" s="283">
        <v>15</v>
      </c>
      <c r="P4" s="287">
        <v>6</v>
      </c>
      <c r="Q4" s="277">
        <v>0</v>
      </c>
      <c r="R4" s="277">
        <v>13</v>
      </c>
      <c r="S4" s="277">
        <v>21</v>
      </c>
      <c r="T4" s="288">
        <v>0</v>
      </c>
      <c r="U4" s="292">
        <v>17</v>
      </c>
      <c r="V4" s="276">
        <v>3</v>
      </c>
      <c r="W4" s="276">
        <v>54</v>
      </c>
      <c r="X4" s="276">
        <v>68</v>
      </c>
      <c r="Y4" s="293">
        <v>2</v>
      </c>
      <c r="Z4" s="297">
        <v>30</v>
      </c>
      <c r="AA4" s="275">
        <v>0</v>
      </c>
      <c r="AB4" s="275">
        <v>42</v>
      </c>
      <c r="AC4" s="275">
        <v>0</v>
      </c>
      <c r="AD4" s="298">
        <v>1</v>
      </c>
      <c r="AE4" s="302">
        <v>58</v>
      </c>
      <c r="AF4" s="274">
        <v>3</v>
      </c>
      <c r="AG4" s="274">
        <v>122</v>
      </c>
      <c r="AH4" s="274">
        <v>153</v>
      </c>
      <c r="AI4" s="303">
        <v>3</v>
      </c>
    </row>
    <row r="5" spans="1:40" ht="15" customHeight="1" x14ac:dyDescent="0.25">
      <c r="A5" s="282">
        <v>27</v>
      </c>
      <c r="B5" s="278">
        <v>3</v>
      </c>
      <c r="C5" s="278">
        <v>45</v>
      </c>
      <c r="D5" s="278">
        <v>0</v>
      </c>
      <c r="E5" s="283">
        <v>4</v>
      </c>
      <c r="U5" s="292">
        <v>11</v>
      </c>
      <c r="V5" s="276">
        <v>3</v>
      </c>
      <c r="W5" s="276">
        <v>32</v>
      </c>
      <c r="X5" s="276">
        <v>51</v>
      </c>
      <c r="Y5" s="293">
        <v>0</v>
      </c>
      <c r="Z5" s="297">
        <v>4</v>
      </c>
      <c r="AA5" s="275">
        <v>0</v>
      </c>
      <c r="AB5" s="275">
        <v>5</v>
      </c>
      <c r="AC5" s="275">
        <v>0</v>
      </c>
      <c r="AD5" s="298">
        <v>0</v>
      </c>
      <c r="AE5" s="302">
        <v>13</v>
      </c>
      <c r="AF5" s="274">
        <v>2</v>
      </c>
      <c r="AG5" s="274">
        <v>43</v>
      </c>
      <c r="AH5" s="274">
        <v>46</v>
      </c>
      <c r="AI5" s="303">
        <v>0</v>
      </c>
    </row>
    <row r="6" spans="1:40" ht="15" customHeight="1" x14ac:dyDescent="0.25">
      <c r="A6" s="307"/>
      <c r="B6" s="307"/>
      <c r="AE6" s="302">
        <v>30</v>
      </c>
      <c r="AF6" s="274">
        <v>1</v>
      </c>
      <c r="AG6" s="274">
        <v>87</v>
      </c>
      <c r="AH6" s="274">
        <v>114</v>
      </c>
      <c r="AI6" s="303">
        <v>1</v>
      </c>
    </row>
    <row r="7" spans="1:40" ht="15" customHeight="1" x14ac:dyDescent="0.25">
      <c r="A7" s="307"/>
      <c r="B7" s="307"/>
      <c r="AE7" s="302">
        <v>1</v>
      </c>
      <c r="AF7" s="274">
        <v>0</v>
      </c>
      <c r="AG7" s="274">
        <v>4</v>
      </c>
      <c r="AH7" s="274">
        <v>3</v>
      </c>
      <c r="AI7" s="303">
        <v>0</v>
      </c>
    </row>
  </sheetData>
  <mergeCells count="8">
    <mergeCell ref="AE1:AI1"/>
    <mergeCell ref="A1:E1"/>
    <mergeCell ref="Z1:AD1"/>
    <mergeCell ref="U1:Y1"/>
    <mergeCell ref="AJ1:AN1"/>
    <mergeCell ref="F1:J1"/>
    <mergeCell ref="P1:T1"/>
    <mergeCell ref="K1:O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1623-F3F9-4D5F-BC15-FCC9FC0B4272}">
  <sheetPr>
    <tabColor rgb="FF00B050"/>
  </sheetPr>
  <dimension ref="A1:J24"/>
  <sheetViews>
    <sheetView workbookViewId="0">
      <selection activeCell="I3" sqref="I3"/>
    </sheetView>
  </sheetViews>
  <sheetFormatPr defaultColWidth="9.28515625" defaultRowHeight="15" x14ac:dyDescent="0.25"/>
  <cols>
    <col min="1" max="2" width="9.28515625" style="324"/>
    <col min="3" max="3" width="2.140625" style="340" customWidth="1"/>
    <col min="4" max="5" width="9.28515625" style="324"/>
    <col min="6" max="6" width="2.28515625" style="324" customWidth="1"/>
    <col min="7" max="7" width="8.42578125" style="324" customWidth="1"/>
    <col min="8" max="9" width="6.7109375" style="324" customWidth="1"/>
    <col min="10" max="10" width="32.85546875" style="324" customWidth="1"/>
    <col min="11" max="16384" width="9.28515625" style="324"/>
  </cols>
  <sheetData>
    <row r="1" spans="1:10" s="320" customFormat="1" x14ac:dyDescent="0.25">
      <c r="A1" s="393" t="s">
        <v>143</v>
      </c>
      <c r="B1" s="393"/>
      <c r="C1" s="338"/>
      <c r="D1" s="424" t="s">
        <v>144</v>
      </c>
      <c r="E1" s="424"/>
      <c r="G1" s="324"/>
      <c r="I1" s="163"/>
      <c r="J1" s="324"/>
    </row>
    <row r="2" spans="1:10" x14ac:dyDescent="0.25">
      <c r="A2" s="320"/>
      <c r="B2" s="320" t="s">
        <v>84</v>
      </c>
      <c r="C2" s="338"/>
      <c r="D2" s="320" t="s">
        <v>165</v>
      </c>
      <c r="E2" s="320" t="s">
        <v>145</v>
      </c>
      <c r="H2" s="348" t="s">
        <v>170</v>
      </c>
      <c r="I2" s="348" t="s">
        <v>171</v>
      </c>
      <c r="J2" s="320" t="s">
        <v>169</v>
      </c>
    </row>
    <row r="3" spans="1:10" x14ac:dyDescent="0.25">
      <c r="A3" s="323" t="s">
        <v>149</v>
      </c>
      <c r="B3" s="335" t="str">
        <f>IFERROR(CLOVER_EXP_GAMES/CLOVER_EXP_SUM,"")</f>
        <v/>
      </c>
      <c r="C3" s="339"/>
      <c r="D3" s="331" t="s">
        <v>146</v>
      </c>
      <c r="E3" s="141">
        <f>IFERROR(TALON_R3_TALON/TALON_R3_CLOVER,"")</f>
        <v>0.9932432432432432</v>
      </c>
      <c r="G3" s="331" t="s">
        <v>146</v>
      </c>
      <c r="H3" s="331">
        <f>IFERROR(_xlfn.FLOOR.MATH($E$7+$E3*$B$7),"")</f>
        <v>487</v>
      </c>
      <c r="I3" s="331">
        <f>IFERROR($I$23-H3,"")</f>
        <v>231</v>
      </c>
      <c r="J3" s="325">
        <f>IFERROR(IF(H3/$I$23&gt;1,1,H3/$I$23),"")</f>
        <v>0.67827298050139273</v>
      </c>
    </row>
    <row r="4" spans="1:10" x14ac:dyDescent="0.25">
      <c r="A4" s="26" t="s">
        <v>142</v>
      </c>
      <c r="B4" s="336">
        <f>IFERROR(CLOVER_RUBY_GAMES/CLOVER_RUBY_SUM,"")</f>
        <v>14</v>
      </c>
      <c r="C4" s="339"/>
      <c r="D4" s="332" t="s">
        <v>147</v>
      </c>
      <c r="E4" s="333">
        <f>IFERROR(TALON_R4_TALON/TALON_R4_CLOVER,"")</f>
        <v>1.3333333333333333</v>
      </c>
      <c r="G4" s="332" t="s">
        <v>147</v>
      </c>
      <c r="H4" s="332">
        <f>IFERROR(_xlfn.FLOOR.MATH($E$7+$E4*$B$7),"")</f>
        <v>542</v>
      </c>
      <c r="I4" s="332">
        <f>IFERROR($I$23-H4,"")</f>
        <v>176</v>
      </c>
      <c r="J4" s="325">
        <f>IFERROR(IF(H4/$I$23&gt;1,1,H4/$I$23),"")</f>
        <v>0.754874651810585</v>
      </c>
    </row>
    <row r="5" spans="1:10" x14ac:dyDescent="0.25">
      <c r="A5" s="23" t="s">
        <v>150</v>
      </c>
      <c r="B5" s="337" t="str">
        <f>IFERROR(CLOVER_RUIN_GAMES/CLOVER_RUIN_SUM,"")</f>
        <v/>
      </c>
      <c r="C5" s="339"/>
      <c r="D5" s="26" t="s">
        <v>148</v>
      </c>
      <c r="E5" s="334" t="str">
        <f>IFERROR(TALON_R5_TALON/TALON_R5_CLOVER,"")</f>
        <v/>
      </c>
      <c r="G5" s="26" t="s">
        <v>148</v>
      </c>
      <c r="H5" s="26" t="str">
        <f>IFERROR(_xlfn.FLOOR.MATH($E$7+$E5*$B$7),"")</f>
        <v/>
      </c>
      <c r="I5" s="26" t="str">
        <f>IFERROR($I$23-H5,"")</f>
        <v/>
      </c>
      <c r="J5" s="325" t="str">
        <f>IFERROR(IF(H5/$I$23&gt;1,1,H5/$I$23),"")</f>
        <v/>
      </c>
    </row>
    <row r="7" spans="1:10" x14ac:dyDescent="0.25">
      <c r="A7" s="324" t="s">
        <v>168</v>
      </c>
      <c r="B7" s="163">
        <v>160</v>
      </c>
      <c r="D7" s="324" t="s">
        <v>168</v>
      </c>
      <c r="E7" s="163">
        <v>329</v>
      </c>
      <c r="G7" s="320"/>
      <c r="H7" s="320" t="s">
        <v>50</v>
      </c>
      <c r="I7" s="349" t="s">
        <v>152</v>
      </c>
      <c r="J7" s="320" t="s">
        <v>28</v>
      </c>
    </row>
    <row r="8" spans="1:10" x14ac:dyDescent="0.25">
      <c r="G8" s="322" t="s">
        <v>158</v>
      </c>
      <c r="H8" s="343">
        <v>15</v>
      </c>
      <c r="I8" s="321">
        <f>IF(ISNUMBER(H8),INDEX(DRACOLITH_TALON,H8),"")</f>
        <v>48</v>
      </c>
      <c r="J8" s="325">
        <f>IFERROR((DRACOLITH_TALON_MAX-I8)/DRACOLITH_TALON_MAX,"")</f>
        <v>0.48936170212765956</v>
      </c>
    </row>
    <row r="9" spans="1:10" x14ac:dyDescent="0.25">
      <c r="G9" s="113" t="s">
        <v>160</v>
      </c>
      <c r="H9" s="344">
        <v>20</v>
      </c>
      <c r="I9" s="342">
        <f>IF(ISNUMBER(H9),INDEX(DRACOLITH_TALON,H9),"")</f>
        <v>0</v>
      </c>
      <c r="J9" s="325">
        <f>IFERROR((DRACOLITH_TALON_MAX-I9)/DRACOLITH_TALON_MAX,"")</f>
        <v>1</v>
      </c>
    </row>
    <row r="10" spans="1:10" x14ac:dyDescent="0.25">
      <c r="G10" s="114" t="s">
        <v>159</v>
      </c>
      <c r="H10" s="345">
        <v>20</v>
      </c>
      <c r="I10" s="341">
        <f>IF(ISNUMBER(H10),INDEX(DRACOLITH_TALON,H10),"")</f>
        <v>0</v>
      </c>
      <c r="J10" s="325">
        <f>IFERROR((DRACOLITH_TALON_MAX-I10)/DRACOLITH_TALON_MAX,"")</f>
        <v>1</v>
      </c>
    </row>
    <row r="11" spans="1:10" x14ac:dyDescent="0.25">
      <c r="G11" s="115" t="s">
        <v>161</v>
      </c>
      <c r="H11" s="346"/>
      <c r="I11" s="326" t="str">
        <f>IF(ISNUMBER(H11),INDEX(DRACOLITH_TALON,H11),"")</f>
        <v/>
      </c>
      <c r="J11" s="325" t="str">
        <f>IFERROR((DRACOLITH_TALON_MAX-I11)/DRACOLITH_TALON_MAX,"")</f>
        <v/>
      </c>
    </row>
    <row r="12" spans="1:10" x14ac:dyDescent="0.25">
      <c r="G12" s="323" t="s">
        <v>162</v>
      </c>
      <c r="H12" s="347"/>
      <c r="I12" s="170" t="str">
        <f>IF(ISNUMBER(H12),INDEX(DRACOLITH_TALON,H12),"")</f>
        <v/>
      </c>
      <c r="J12" s="325" t="str">
        <f>IFERROR((DRACOLITH_TALON_MAX-I12)/DRACOLITH_TALON_MAX,"")</f>
        <v/>
      </c>
    </row>
    <row r="13" spans="1:10" x14ac:dyDescent="0.25">
      <c r="H13" s="320" t="s">
        <v>27</v>
      </c>
      <c r="I13" s="324">
        <f>SUM(I8:I12)</f>
        <v>48</v>
      </c>
    </row>
    <row r="15" spans="1:10" x14ac:dyDescent="0.25">
      <c r="G15" s="320"/>
      <c r="H15" s="320" t="s">
        <v>50</v>
      </c>
      <c r="I15" s="349" t="s">
        <v>152</v>
      </c>
      <c r="J15" s="320" t="s">
        <v>28</v>
      </c>
    </row>
    <row r="16" spans="1:10" x14ac:dyDescent="0.25">
      <c r="G16" s="322" t="s">
        <v>153</v>
      </c>
      <c r="H16" s="321">
        <f>IF(真龍!K3&lt;&gt;0,真龍!K3,"")</f>
        <v>30</v>
      </c>
      <c r="I16" s="321">
        <f>IF(HDRAG_HAS_REC_HBRUN,INDEX(DATA_HDRAGS_TALON,H16),"")</f>
        <v>0</v>
      </c>
      <c r="J16" s="325">
        <f>IFERROR((HDRAG_MAX_TALON-I16)/HDRAG_MAX_TALON,"")</f>
        <v>1</v>
      </c>
    </row>
    <row r="17" spans="7:10" x14ac:dyDescent="0.25">
      <c r="G17" s="113" t="s">
        <v>155</v>
      </c>
      <c r="H17" s="342">
        <f>IF(真龍!K4&lt;&gt;0,真龍!K4,"")</f>
        <v>14</v>
      </c>
      <c r="I17" s="342">
        <f>IF(HDRAG_HAS_REC_HMERC,INDEX(DATA_HDRAGS_TALON,H17),"")</f>
        <v>670</v>
      </c>
      <c r="J17" s="325">
        <f>IFERROR((HDRAG_MAX_TALON-I17)/HDRAG_MAX_TALON,"")</f>
        <v>0.16250000000000001</v>
      </c>
    </row>
    <row r="18" spans="7:10" x14ac:dyDescent="0.25">
      <c r="G18" s="114" t="s">
        <v>154</v>
      </c>
      <c r="H18" s="341">
        <f>IF(真龍!K5&lt;&gt;0,真龍!K5,"")</f>
        <v>30</v>
      </c>
      <c r="I18" s="341">
        <f>IF(HDRAG_HAS_REC_HMID,INDEX(DATA_HDRAGS_TALON,H18),"")</f>
        <v>0</v>
      </c>
      <c r="J18" s="325">
        <f>IFERROR((HDRAG_MAX_TALON-I18)/HDRAG_MAX_TALON,"")</f>
        <v>1</v>
      </c>
    </row>
    <row r="19" spans="7:10" x14ac:dyDescent="0.25">
      <c r="G19" s="115" t="s">
        <v>156</v>
      </c>
      <c r="H19" s="326" t="str">
        <f>IF(真龍!K6&lt;&gt;0,真龍!K6,"")</f>
        <v/>
      </c>
      <c r="I19" s="326" t="str">
        <f>IF(HDRAG_HAS_REC_HJUP,INDEX(DATA_HDRAGS_TALON,H19),"")</f>
        <v/>
      </c>
      <c r="J19" s="325" t="str">
        <f>IFERROR((HDRAG_MAX_TALON-I19)/HDRAG_MAX_TALON,"")</f>
        <v/>
      </c>
    </row>
    <row r="20" spans="7:10" x14ac:dyDescent="0.25">
      <c r="G20" s="323" t="s">
        <v>157</v>
      </c>
      <c r="H20" s="170" t="str">
        <f>IF(真龍!K7&lt;&gt;0,真龍!K7,"")</f>
        <v/>
      </c>
      <c r="I20" s="170" t="str">
        <f>IF(HDRAG_HAS_REC_HZOD,INDEX(DATA_HDRAGS_TALON,H20),"")</f>
        <v/>
      </c>
      <c r="J20" s="325" t="str">
        <f>IFERROR((HDRAG_MAX_TALON-I20)/HDRAG_MAX_TALON,"")</f>
        <v/>
      </c>
    </row>
    <row r="21" spans="7:10" x14ac:dyDescent="0.25">
      <c r="H21" s="320" t="s">
        <v>27</v>
      </c>
      <c r="I21" s="324">
        <f>SUM(I16:I20)</f>
        <v>670</v>
      </c>
    </row>
    <row r="23" spans="7:10" x14ac:dyDescent="0.25">
      <c r="H23" s="320" t="s">
        <v>54</v>
      </c>
      <c r="I23" s="324">
        <f>I13+I21</f>
        <v>718</v>
      </c>
    </row>
    <row r="24" spans="7:10" x14ac:dyDescent="0.25">
      <c r="H24" s="320"/>
    </row>
  </sheetData>
  <mergeCells count="2">
    <mergeCell ref="A1:B1"/>
    <mergeCell ref="D1:E1"/>
  </mergeCells>
  <conditionalFormatting sqref="J8">
    <cfRule type="dataBar" priority="14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{5BF4564F-6D94-4131-B9EB-257303939A9C}</x14:id>
        </ext>
      </extLst>
    </cfRule>
  </conditionalFormatting>
  <conditionalFormatting sqref="J9">
    <cfRule type="dataBar" priority="13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{605EC817-B23C-4991-A11F-EAEC64DE18A2}</x14:id>
        </ext>
      </extLst>
    </cfRule>
  </conditionalFormatting>
  <conditionalFormatting sqref="J10">
    <cfRule type="dataBar" priority="1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{1949A6FB-3A93-4C17-B7C3-B1C948818BB9}</x14:id>
        </ext>
      </extLst>
    </cfRule>
  </conditionalFormatting>
  <conditionalFormatting sqref="J11">
    <cfRule type="dataBar" priority="11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{16425F0D-1058-405C-9ECD-06CDA7138020}</x14:id>
        </ext>
      </extLst>
    </cfRule>
  </conditionalFormatting>
  <conditionalFormatting sqref="J12">
    <cfRule type="dataBar" priority="10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{78CF39B2-6233-4143-8115-5163D69C4A40}</x14:id>
        </ext>
      </extLst>
    </cfRule>
  </conditionalFormatting>
  <conditionalFormatting sqref="J16">
    <cfRule type="dataBar" priority="9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{4B0CDBFE-37A1-40D2-9293-E6B8E49EA7E1}</x14:id>
        </ext>
      </extLst>
    </cfRule>
  </conditionalFormatting>
  <conditionalFormatting sqref="J17">
    <cfRule type="dataBar" priority="8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{0017BA74-89EE-4D3C-9A61-12B7EE367199}</x14:id>
        </ext>
      </extLst>
    </cfRule>
  </conditionalFormatting>
  <conditionalFormatting sqref="J18">
    <cfRule type="dataBar" priority="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{89294264-F742-4454-B854-4EB384719E76}</x14:id>
        </ext>
      </extLst>
    </cfRule>
  </conditionalFormatting>
  <conditionalFormatting sqref="J19">
    <cfRule type="dataBar" priority="6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{36A4A187-696F-491F-96C3-AEEE64D7A01A}</x14:id>
        </ext>
      </extLst>
    </cfRule>
  </conditionalFormatting>
  <conditionalFormatting sqref="J20">
    <cfRule type="dataBar" priority="5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{5174A658-6064-4E15-9AF5-9E368482BB94}</x14:id>
        </ext>
      </extLst>
    </cfRule>
  </conditionalFormatting>
  <conditionalFormatting sqref="J3">
    <cfRule type="dataBar" priority="3">
      <dataBar>
        <cfvo type="num" val="0"/>
        <cfvo type="num" val="1"/>
        <color rgb="FFCD7F32"/>
      </dataBar>
      <extLst>
        <ext xmlns:x14="http://schemas.microsoft.com/office/spreadsheetml/2009/9/main" uri="{B025F937-C7B1-47D3-B67F-A62EFF666E3E}">
          <x14:id>{EF180161-279F-4A3C-986B-26915F56D689}</x14:id>
        </ext>
      </extLst>
    </cfRule>
  </conditionalFormatting>
  <conditionalFormatting sqref="J4">
    <cfRule type="dataBar" priority="2">
      <dataBar>
        <cfvo type="num" val="0"/>
        <cfvo type="num" val="1"/>
        <color rgb="FFC9C9C9"/>
      </dataBar>
      <extLst>
        <ext xmlns:x14="http://schemas.microsoft.com/office/spreadsheetml/2009/9/main" uri="{B025F937-C7B1-47D3-B67F-A62EFF666E3E}">
          <x14:id>{71CDF10D-A507-45A9-913A-E5F1F7C08AE7}</x14:id>
        </ext>
      </extLst>
    </cfRule>
  </conditionalFormatting>
  <conditionalFormatting sqref="J5">
    <cfRule type="dataBar" priority="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{F9C17BB0-9E6A-4465-A5E9-187695F60B49}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F4564F-6D94-4131-B9EB-257303939A9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605EC817-B23C-4991-A11F-EAEC64DE18A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J9</xm:sqref>
        </x14:conditionalFormatting>
        <x14:conditionalFormatting xmlns:xm="http://schemas.microsoft.com/office/excel/2006/main">
          <x14:cfRule type="dataBar" id="{1949A6FB-3A93-4C17-B7C3-B1C948818BB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J10</xm:sqref>
        </x14:conditionalFormatting>
        <x14:conditionalFormatting xmlns:xm="http://schemas.microsoft.com/office/excel/2006/main">
          <x14:cfRule type="dataBar" id="{16425F0D-1058-405C-9ECD-06CDA713802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J11</xm:sqref>
        </x14:conditionalFormatting>
        <x14:conditionalFormatting xmlns:xm="http://schemas.microsoft.com/office/excel/2006/main">
          <x14:cfRule type="dataBar" id="{78CF39B2-6233-4143-8115-5163D69C4A4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J12</xm:sqref>
        </x14:conditionalFormatting>
        <x14:conditionalFormatting xmlns:xm="http://schemas.microsoft.com/office/excel/2006/main">
          <x14:cfRule type="dataBar" id="{4B0CDBFE-37A1-40D2-9293-E6B8E49EA7E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J16</xm:sqref>
        </x14:conditionalFormatting>
        <x14:conditionalFormatting xmlns:xm="http://schemas.microsoft.com/office/excel/2006/main">
          <x14:cfRule type="dataBar" id="{0017BA74-89EE-4D3C-9A61-12B7EE36719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J17</xm:sqref>
        </x14:conditionalFormatting>
        <x14:conditionalFormatting xmlns:xm="http://schemas.microsoft.com/office/excel/2006/main">
          <x14:cfRule type="dataBar" id="{89294264-F742-4454-B854-4EB384719E7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J18</xm:sqref>
        </x14:conditionalFormatting>
        <x14:conditionalFormatting xmlns:xm="http://schemas.microsoft.com/office/excel/2006/main">
          <x14:cfRule type="dataBar" id="{36A4A187-696F-491F-96C3-AEEE64D7A01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J19</xm:sqref>
        </x14:conditionalFormatting>
        <x14:conditionalFormatting xmlns:xm="http://schemas.microsoft.com/office/excel/2006/main">
          <x14:cfRule type="dataBar" id="{5174A658-6064-4E15-9AF5-9E368482BB9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J20</xm:sqref>
        </x14:conditionalFormatting>
        <x14:conditionalFormatting xmlns:xm="http://schemas.microsoft.com/office/excel/2006/main">
          <x14:cfRule type="dataBar" id="{EF180161-279F-4A3C-986B-26915F56D68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J3</xm:sqref>
        </x14:conditionalFormatting>
        <x14:conditionalFormatting xmlns:xm="http://schemas.microsoft.com/office/excel/2006/main">
          <x14:cfRule type="dataBar" id="{71CDF10D-A507-45A9-913A-E5F1F7C08AE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F9C17BB0-9E6A-4465-A5E9-187695F60B4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J5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EF10C-1E91-4DFF-88B0-05D1167F5074}">
  <sheetPr>
    <tabColor rgb="FF00B0F0"/>
  </sheetPr>
  <dimension ref="A1:O22"/>
  <sheetViews>
    <sheetView workbookViewId="0">
      <selection activeCell="D13" sqref="D13"/>
    </sheetView>
  </sheetViews>
  <sheetFormatPr defaultColWidth="9.28515625" defaultRowHeight="15" x14ac:dyDescent="0.25"/>
  <cols>
    <col min="1" max="2" width="5.42578125" style="170" customWidth="1"/>
    <col min="3" max="4" width="5.42578125" style="326" customWidth="1"/>
    <col min="5" max="6" width="5.42578125" style="327" customWidth="1"/>
    <col min="7" max="7" width="5.42578125" style="330" customWidth="1"/>
    <col min="8" max="8" width="5.42578125" style="329" customWidth="1"/>
    <col min="9" max="10" width="5.42578125" style="327" customWidth="1"/>
    <col min="11" max="12" width="5.42578125" style="328" customWidth="1"/>
    <col min="13" max="16384" width="9.28515625" style="324"/>
  </cols>
  <sheetData>
    <row r="1" spans="1:15" x14ac:dyDescent="0.25">
      <c r="A1" s="403" t="s">
        <v>143</v>
      </c>
      <c r="B1" s="403"/>
      <c r="C1" s="403"/>
      <c r="D1" s="403"/>
      <c r="E1" s="403"/>
      <c r="F1" s="403"/>
      <c r="G1" s="403" t="s">
        <v>144</v>
      </c>
      <c r="H1" s="403"/>
      <c r="I1" s="403"/>
      <c r="J1" s="403"/>
      <c r="K1" s="403"/>
      <c r="L1" s="403"/>
      <c r="N1" s="403" t="s">
        <v>151</v>
      </c>
      <c r="O1" s="403"/>
    </row>
    <row r="2" spans="1:15" x14ac:dyDescent="0.25">
      <c r="A2" s="425" t="s">
        <v>149</v>
      </c>
      <c r="B2" s="425"/>
      <c r="C2" s="427" t="s">
        <v>142</v>
      </c>
      <c r="D2" s="427"/>
      <c r="E2" s="426" t="s">
        <v>150</v>
      </c>
      <c r="F2" s="426"/>
      <c r="G2" s="429" t="s">
        <v>146</v>
      </c>
      <c r="H2" s="429"/>
      <c r="I2" s="426" t="s">
        <v>147</v>
      </c>
      <c r="J2" s="426"/>
      <c r="K2" s="428" t="s">
        <v>148</v>
      </c>
      <c r="L2" s="428"/>
      <c r="N2" s="324" t="s">
        <v>50</v>
      </c>
      <c r="O2" s="324" t="s">
        <v>166</v>
      </c>
    </row>
    <row r="3" spans="1:15" x14ac:dyDescent="0.25">
      <c r="A3" s="170" t="s">
        <v>64</v>
      </c>
      <c r="B3" s="170" t="s">
        <v>29</v>
      </c>
      <c r="C3" s="326" t="s">
        <v>64</v>
      </c>
      <c r="D3" s="326" t="s">
        <v>29</v>
      </c>
      <c r="E3" s="327" t="s">
        <v>64</v>
      </c>
      <c r="F3" s="327" t="s">
        <v>29</v>
      </c>
      <c r="G3" s="330" t="s">
        <v>163</v>
      </c>
      <c r="H3" s="329" t="s">
        <v>164</v>
      </c>
      <c r="I3" s="327" t="s">
        <v>163</v>
      </c>
      <c r="J3" s="327" t="s">
        <v>164</v>
      </c>
      <c r="K3" s="328" t="s">
        <v>163</v>
      </c>
      <c r="L3" s="328" t="s">
        <v>164</v>
      </c>
      <c r="N3" s="324">
        <v>1</v>
      </c>
      <c r="O3" s="324">
        <v>94</v>
      </c>
    </row>
    <row r="4" spans="1:15" x14ac:dyDescent="0.25">
      <c r="C4" s="326">
        <v>5</v>
      </c>
      <c r="D4" s="326">
        <v>53</v>
      </c>
      <c r="G4" s="330">
        <v>148</v>
      </c>
      <c r="H4" s="329">
        <v>147</v>
      </c>
      <c r="I4" s="327">
        <v>6</v>
      </c>
      <c r="J4" s="327">
        <v>8</v>
      </c>
      <c r="N4" s="324">
        <v>2</v>
      </c>
      <c r="O4" s="324">
        <v>94</v>
      </c>
    </row>
    <row r="5" spans="1:15" x14ac:dyDescent="0.25">
      <c r="C5" s="326">
        <v>4</v>
      </c>
      <c r="D5" s="326">
        <v>51</v>
      </c>
      <c r="N5" s="324">
        <v>3</v>
      </c>
      <c r="O5" s="324">
        <v>94</v>
      </c>
    </row>
    <row r="6" spans="1:15" x14ac:dyDescent="0.25">
      <c r="C6" s="326">
        <v>2</v>
      </c>
      <c r="D6" s="326">
        <v>53</v>
      </c>
      <c r="N6" s="324">
        <v>4</v>
      </c>
      <c r="O6" s="324">
        <v>93</v>
      </c>
    </row>
    <row r="7" spans="1:15" x14ac:dyDescent="0.25">
      <c r="C7" s="326">
        <v>3</v>
      </c>
      <c r="D7" s="326">
        <v>12</v>
      </c>
      <c r="N7" s="324">
        <v>5</v>
      </c>
      <c r="O7" s="324">
        <v>92</v>
      </c>
    </row>
    <row r="8" spans="1:15" x14ac:dyDescent="0.25">
      <c r="C8" s="326">
        <v>6</v>
      </c>
      <c r="D8" s="326">
        <v>56</v>
      </c>
      <c r="N8" s="324">
        <v>6</v>
      </c>
      <c r="O8" s="324">
        <v>91</v>
      </c>
    </row>
    <row r="9" spans="1:15" x14ac:dyDescent="0.25">
      <c r="C9" s="326">
        <v>4</v>
      </c>
      <c r="D9" s="326">
        <v>64</v>
      </c>
      <c r="N9" s="324">
        <v>7</v>
      </c>
      <c r="O9" s="324">
        <v>88</v>
      </c>
    </row>
    <row r="10" spans="1:15" x14ac:dyDescent="0.25">
      <c r="C10" s="326">
        <v>0</v>
      </c>
      <c r="D10" s="326">
        <v>62</v>
      </c>
      <c r="N10" s="324">
        <v>8</v>
      </c>
      <c r="O10" s="324">
        <v>85</v>
      </c>
    </row>
    <row r="11" spans="1:15" x14ac:dyDescent="0.25">
      <c r="C11" s="326">
        <v>4</v>
      </c>
      <c r="D11" s="326">
        <v>47</v>
      </c>
      <c r="N11" s="324">
        <v>9</v>
      </c>
      <c r="O11" s="324">
        <v>82</v>
      </c>
    </row>
    <row r="12" spans="1:15" x14ac:dyDescent="0.25">
      <c r="C12" s="326">
        <v>1</v>
      </c>
      <c r="D12" s="326">
        <v>8</v>
      </c>
      <c r="N12" s="324">
        <v>10</v>
      </c>
      <c r="O12" s="324">
        <v>79</v>
      </c>
    </row>
    <row r="13" spans="1:15" x14ac:dyDescent="0.25">
      <c r="N13" s="324">
        <v>11</v>
      </c>
      <c r="O13" s="324">
        <v>74</v>
      </c>
    </row>
    <row r="14" spans="1:15" x14ac:dyDescent="0.25">
      <c r="N14" s="324">
        <v>12</v>
      </c>
      <c r="O14" s="324">
        <v>69</v>
      </c>
    </row>
    <row r="15" spans="1:15" x14ac:dyDescent="0.25">
      <c r="N15" s="324">
        <v>13</v>
      </c>
      <c r="O15" s="324">
        <v>64</v>
      </c>
    </row>
    <row r="16" spans="1:15" x14ac:dyDescent="0.25">
      <c r="N16" s="324">
        <v>14</v>
      </c>
      <c r="O16" s="324">
        <v>56</v>
      </c>
    </row>
    <row r="17" spans="14:15" x14ac:dyDescent="0.25">
      <c r="N17" s="324">
        <v>15</v>
      </c>
      <c r="O17" s="324">
        <v>48</v>
      </c>
    </row>
    <row r="18" spans="14:15" x14ac:dyDescent="0.25">
      <c r="N18" s="324">
        <v>16</v>
      </c>
      <c r="O18" s="324">
        <v>40</v>
      </c>
    </row>
    <row r="19" spans="14:15" x14ac:dyDescent="0.25">
      <c r="N19" s="324">
        <v>17</v>
      </c>
      <c r="O19" s="324">
        <v>30</v>
      </c>
    </row>
    <row r="20" spans="14:15" x14ac:dyDescent="0.25">
      <c r="N20" s="324">
        <v>18</v>
      </c>
      <c r="O20" s="324">
        <v>20</v>
      </c>
    </row>
    <row r="21" spans="14:15" x14ac:dyDescent="0.25">
      <c r="N21" s="324">
        <v>19</v>
      </c>
      <c r="O21" s="324">
        <v>10</v>
      </c>
    </row>
    <row r="22" spans="14:15" x14ac:dyDescent="0.25">
      <c r="N22" s="324">
        <v>20</v>
      </c>
      <c r="O22" s="324">
        <v>0</v>
      </c>
    </row>
  </sheetData>
  <mergeCells count="9">
    <mergeCell ref="N1:O1"/>
    <mergeCell ref="A2:B2"/>
    <mergeCell ref="E2:F2"/>
    <mergeCell ref="C2:D2"/>
    <mergeCell ref="A1:F1"/>
    <mergeCell ref="K2:L2"/>
    <mergeCell ref="I2:J2"/>
    <mergeCell ref="G2:H2"/>
    <mergeCell ref="G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26</vt:i4>
      </vt:variant>
    </vt:vector>
  </HeadingPairs>
  <TitlesOfParts>
    <vt:vector size="42" baseType="lpstr">
      <vt:lpstr>Raid</vt:lpstr>
      <vt:lpstr>迎擊</vt:lpstr>
      <vt:lpstr>D迎擊</vt:lpstr>
      <vt:lpstr>龍煉</vt:lpstr>
      <vt:lpstr>D龍煉</vt:lpstr>
      <vt:lpstr>虛空</vt:lpstr>
      <vt:lpstr>D虛空</vt:lpstr>
      <vt:lpstr>爪草</vt:lpstr>
      <vt:lpstr>D爪草</vt:lpstr>
      <vt:lpstr>真龍</vt:lpstr>
      <vt:lpstr>D真龍</vt:lpstr>
      <vt:lpstr>D真火</vt:lpstr>
      <vt:lpstr>D真水</vt:lpstr>
      <vt:lpstr>D真風</vt:lpstr>
      <vt:lpstr>D真光</vt:lpstr>
      <vt:lpstr>D真暗</vt:lpstr>
      <vt:lpstr>DATA_DRAG_ACCU_EXP</vt:lpstr>
      <vt:lpstr>DATA_DRAG_LV_EXP</vt:lpstr>
      <vt:lpstr>DATA_DRAGON_EXP</vt:lpstr>
      <vt:lpstr>DATA_DRAGON_PLAYS</vt:lpstr>
      <vt:lpstr>DATA_HDRAG_HBRUN</vt:lpstr>
      <vt:lpstr>DATA_HDRAG_HJUP</vt:lpstr>
      <vt:lpstr>DATA_HDRAG_HMERC</vt:lpstr>
      <vt:lpstr>DATA_HDRAG_HMID</vt:lpstr>
      <vt:lpstr>DATA_HDRAG_HZOD</vt:lpstr>
      <vt:lpstr>DATA_HDRAGS_BUILDING</vt:lpstr>
      <vt:lpstr>DATA_HDRAGS_DRAGON</vt:lpstr>
      <vt:lpstr>DATA_HDRAGS_TALON</vt:lpstr>
      <vt:lpstr>DATA_IO</vt:lpstr>
      <vt:lpstr>DATA_IO_EXTRA_EXCHANGED_BIG</vt:lpstr>
      <vt:lpstr>DATA_IO_EXTRA_EXCHANGED_SMALL</vt:lpstr>
      <vt:lpstr>DATA_IO_OWNED_BIG</vt:lpstr>
      <vt:lpstr>DATA_IO_OWNED_SMALL</vt:lpstr>
      <vt:lpstr>DRACOLITH_TALON</vt:lpstr>
      <vt:lpstr>DRAGON_EXP_100</vt:lpstr>
      <vt:lpstr>DRAGON_EXP_60</vt:lpstr>
      <vt:lpstr>DRAGON_EXP_80</vt:lpstr>
      <vt:lpstr>RAID_GOAL_BLAZON</vt:lpstr>
      <vt:lpstr>RAID_GOAL_EMBLEM</vt:lpstr>
      <vt:lpstr>RAID_TIME_DURATION</vt:lpstr>
      <vt:lpstr>RAID_TIME_END</vt:lpstr>
      <vt:lpstr>RAID_TIME_START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2018-11-17T15:28:10Z</dcterms:created>
  <dcterms:modified xsi:type="dcterms:W3CDTF">2019-05-02T06:01:36Z</dcterms:modified>
</cp:coreProperties>
</file>