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961" documentId="1_{5CA1B34A-CC10-4845-8D16-1F5B572F351D}" xr6:coauthVersionLast="45" xr6:coauthVersionMax="45" xr10:uidLastSave="{2AB03C5D-F6CB-46D9-AFEA-8C7679FECF70}"/>
  <bookViews>
    <workbookView xWindow="585" yWindow="1050" windowWidth="21600" windowHeight="11385" firstSheet="11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0" i="47" l="1"/>
  <c r="I100" i="47"/>
  <c r="J100" i="47" s="1"/>
  <c r="H100" i="47"/>
  <c r="G100" i="47"/>
  <c r="F100" i="47"/>
  <c r="E100" i="47"/>
  <c r="F8" i="54" l="1"/>
  <c r="I99" i="47" l="1"/>
  <c r="J99" i="47" s="1"/>
  <c r="H99" i="47"/>
  <c r="G99" i="47"/>
  <c r="K99" i="47" s="1"/>
  <c r="F99" i="47"/>
  <c r="E99" i="47"/>
  <c r="E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2" i="54"/>
  <c r="F5" i="54" l="1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F187" i="33"/>
  <c r="I188" i="33"/>
  <c r="AV20" i="7"/>
  <c r="AV16" i="7"/>
  <c r="I8" i="33"/>
  <c r="I25" i="33"/>
  <c r="AR34" i="7"/>
  <c r="I44" i="33"/>
  <c r="F90" i="33"/>
  <c r="I21" i="33"/>
  <c r="F88" i="33"/>
  <c r="AP4" i="7"/>
  <c r="AP24" i="7"/>
  <c r="I100" i="33"/>
  <c r="AR14" i="7"/>
  <c r="F101" i="33"/>
  <c r="AQ16" i="7"/>
  <c r="I187" i="33"/>
  <c r="F180" i="33"/>
  <c r="F131" i="33"/>
  <c r="G7" i="18"/>
  <c r="F69" i="33"/>
  <c r="AO18" i="7"/>
  <c r="F175" i="33"/>
  <c r="I109" i="33"/>
  <c r="F38" i="33"/>
  <c r="AR15" i="7"/>
  <c r="I95" i="33"/>
  <c r="F207" i="33"/>
  <c r="I127" i="33"/>
  <c r="I159" i="33"/>
  <c r="I104" i="33"/>
  <c r="AV3" i="7"/>
  <c r="AO12" i="7"/>
  <c r="F76" i="33"/>
  <c r="I29" i="33"/>
  <c r="F34" i="33"/>
  <c r="F154" i="33"/>
  <c r="AP10" i="7"/>
  <c r="I141" i="33"/>
  <c r="AR25" i="7"/>
  <c r="F139" i="33"/>
  <c r="I65" i="33"/>
  <c r="I193" i="33"/>
  <c r="F24" i="33"/>
  <c r="I42" i="33"/>
  <c r="AQ20" i="7"/>
  <c r="F32" i="33"/>
  <c r="AQ7" i="7"/>
  <c r="F138" i="33"/>
  <c r="F162" i="33"/>
  <c r="F117" i="33"/>
  <c r="I106" i="33"/>
  <c r="I57" i="33"/>
  <c r="I9" i="33"/>
  <c r="AU15" i="7"/>
  <c r="I74" i="33"/>
  <c r="F18" i="33"/>
  <c r="I80" i="33"/>
  <c r="F87" i="33"/>
  <c r="I194" i="33"/>
  <c r="I218" i="33"/>
  <c r="I114" i="33"/>
  <c r="AP26" i="7"/>
  <c r="AU9" i="7"/>
  <c r="AR17" i="7"/>
  <c r="AU3" i="7"/>
  <c r="AV27" i="7"/>
  <c r="F200" i="33"/>
  <c r="F219" i="33"/>
  <c r="F167" i="33"/>
  <c r="AR20" i="7"/>
  <c r="AV6" i="7"/>
  <c r="I184" i="33"/>
  <c r="AV25" i="7"/>
  <c r="AQ14" i="7"/>
  <c r="I182" i="33"/>
  <c r="I103" i="33"/>
  <c r="F213" i="33"/>
  <c r="AO17" i="7"/>
  <c r="F129" i="33"/>
  <c r="AP19" i="7"/>
  <c r="F66" i="33"/>
  <c r="I59" i="33"/>
  <c r="AR22" i="7"/>
  <c r="AQ17" i="7"/>
  <c r="AP27" i="7"/>
  <c r="I48" i="33"/>
  <c r="I161" i="33"/>
  <c r="F166" i="33"/>
  <c r="F123" i="33"/>
  <c r="F148" i="33"/>
  <c r="I67" i="33"/>
  <c r="I97" i="33"/>
  <c r="AU11" i="7"/>
  <c r="F194" i="33"/>
  <c r="I122" i="33"/>
  <c r="AQ35" i="7"/>
  <c r="F111" i="33"/>
  <c r="F56" i="33"/>
  <c r="F96" i="33"/>
  <c r="AO9" i="7"/>
  <c r="AQ30" i="7"/>
  <c r="I20" i="33"/>
  <c r="F93" i="33"/>
  <c r="I31" i="33"/>
  <c r="F130" i="33"/>
  <c r="I206" i="33"/>
  <c r="AV19" i="7"/>
  <c r="F54" i="33"/>
  <c r="I158" i="33"/>
  <c r="I68" i="33"/>
  <c r="F40" i="33"/>
  <c r="AV22" i="7"/>
  <c r="F165" i="33"/>
  <c r="AO14" i="7"/>
  <c r="AV26" i="7"/>
  <c r="AO36" i="7"/>
  <c r="F109" i="33"/>
  <c r="F208" i="33"/>
  <c r="I205" i="33"/>
  <c r="F17" i="33"/>
  <c r="AR6" i="7"/>
  <c r="I69" i="33"/>
  <c r="I3" i="33"/>
  <c r="AO7" i="7"/>
  <c r="F5" i="33"/>
  <c r="AO29" i="7"/>
  <c r="AQ19" i="7"/>
  <c r="F15" i="33"/>
  <c r="I151" i="33"/>
  <c r="AN4" i="7"/>
  <c r="I19" i="33"/>
  <c r="F142" i="33"/>
  <c r="AN10" i="7"/>
  <c r="AQ11" i="7"/>
  <c r="F176" i="33"/>
  <c r="AV12" i="7"/>
  <c r="AQ33" i="7"/>
  <c r="I134" i="33"/>
  <c r="F182" i="33"/>
  <c r="AN34" i="7"/>
  <c r="AP12" i="7"/>
  <c r="I99" i="33"/>
  <c r="I34" i="33"/>
  <c r="F184" i="33"/>
  <c r="AO3" i="7"/>
  <c r="F191" i="33"/>
  <c r="AN23" i="7"/>
  <c r="I201" i="33"/>
  <c r="AQ6" i="7"/>
  <c r="AV17" i="7"/>
  <c r="AU34" i="7"/>
  <c r="I203" i="33"/>
  <c r="AO5" i="7"/>
  <c r="F160" i="33"/>
  <c r="I128" i="33"/>
  <c r="AU14" i="7"/>
  <c r="F116" i="33"/>
  <c r="AR11" i="7"/>
  <c r="F71" i="33"/>
  <c r="AP3" i="7"/>
  <c r="F60" i="33"/>
  <c r="AP20" i="7"/>
  <c r="F13" i="33"/>
  <c r="F173" i="33"/>
  <c r="F16" i="33"/>
  <c r="AV31" i="7"/>
  <c r="I168" i="33"/>
  <c r="AV29" i="7"/>
  <c r="I183" i="33"/>
  <c r="I150" i="33"/>
  <c r="F29" i="33"/>
  <c r="I41" i="33"/>
  <c r="F122" i="33"/>
  <c r="F125" i="33"/>
  <c r="F41" i="33"/>
  <c r="F178" i="33"/>
  <c r="I169" i="33"/>
  <c r="AR3" i="7"/>
  <c r="F84" i="33"/>
  <c r="F150" i="33"/>
  <c r="I143" i="33"/>
  <c r="I28" i="33"/>
  <c r="AR24" i="7"/>
  <c r="AP11" i="7"/>
  <c r="I175" i="33"/>
  <c r="AV32" i="7"/>
  <c r="G18" i="18"/>
  <c r="AU12" i="7"/>
  <c r="I87" i="33"/>
  <c r="AO34" i="7"/>
  <c r="AQ23" i="7"/>
  <c r="AN33" i="7"/>
  <c r="I211" i="33"/>
  <c r="F209" i="33"/>
  <c r="F143" i="33"/>
  <c r="F95" i="33"/>
  <c r="F163" i="33"/>
  <c r="I89" i="33"/>
  <c r="F115" i="33"/>
  <c r="F30" i="33"/>
  <c r="F189" i="33"/>
  <c r="F23" i="33"/>
  <c r="AN17" i="7"/>
  <c r="AR32" i="7"/>
  <c r="F19" i="33"/>
  <c r="AO22" i="7"/>
  <c r="I138" i="33"/>
  <c r="AP9" i="7"/>
  <c r="F218" i="33"/>
  <c r="AV33" i="7"/>
  <c r="I148" i="33"/>
  <c r="F197" i="33"/>
  <c r="AR18" i="7"/>
  <c r="I43" i="33"/>
  <c r="AN21" i="7"/>
  <c r="F174" i="33"/>
  <c r="I117" i="33"/>
  <c r="I84" i="33"/>
  <c r="F164" i="33"/>
  <c r="F192" i="33"/>
  <c r="F186" i="33"/>
  <c r="F31" i="33"/>
  <c r="F21" i="33"/>
  <c r="F37" i="33"/>
  <c r="I156" i="33"/>
  <c r="AR29" i="7"/>
  <c r="I50" i="33"/>
  <c r="F63" i="33"/>
  <c r="F212" i="33"/>
  <c r="AQ28" i="7"/>
  <c r="AQ9" i="7"/>
  <c r="AN30" i="7"/>
  <c r="AO26" i="7"/>
  <c r="G8" i="18"/>
  <c r="I162" i="33"/>
  <c r="AU22" i="7"/>
  <c r="AU4" i="7"/>
  <c r="I61" i="33"/>
  <c r="I94" i="33"/>
  <c r="I124" i="33"/>
  <c r="AR7" i="7"/>
  <c r="F48" i="33"/>
  <c r="I66" i="33"/>
  <c r="F97" i="33"/>
  <c r="F62" i="33"/>
  <c r="F51" i="33"/>
  <c r="I102" i="33"/>
  <c r="AQ5" i="7"/>
  <c r="AV34" i="7"/>
  <c r="AP6" i="7"/>
  <c r="I30" i="33"/>
  <c r="AR16" i="7"/>
  <c r="I220" i="33"/>
  <c r="AN13" i="7"/>
  <c r="AU20" i="7"/>
  <c r="I130" i="33"/>
  <c r="I17" i="33"/>
  <c r="E9" i="16"/>
  <c r="AQ12" i="7"/>
  <c r="AU36" i="7"/>
  <c r="AV30" i="7"/>
  <c r="AO31" i="7"/>
  <c r="I105" i="33"/>
  <c r="AO25" i="7"/>
  <c r="AN16" i="7"/>
  <c r="F170" i="33"/>
  <c r="F127" i="33"/>
  <c r="F44" i="33"/>
  <c r="I90" i="33"/>
  <c r="AQ8" i="7"/>
  <c r="I6" i="33"/>
  <c r="AP15" i="7"/>
  <c r="F214" i="33"/>
  <c r="I126" i="33"/>
  <c r="AQ31" i="7"/>
  <c r="AR33" i="7"/>
  <c r="F215" i="33"/>
  <c r="F72" i="33"/>
  <c r="F132" i="33"/>
  <c r="I86" i="33"/>
  <c r="F144" i="33"/>
  <c r="AU18" i="7"/>
  <c r="AN35" i="7"/>
  <c r="H8" i="16"/>
  <c r="AN14" i="7"/>
  <c r="F86" i="33"/>
  <c r="I219" i="33"/>
  <c r="AU35" i="7"/>
  <c r="I79" i="33"/>
  <c r="AU17" i="7"/>
  <c r="F203" i="33"/>
  <c r="I18" i="33"/>
  <c r="I9" i="16"/>
  <c r="AN3" i="7"/>
  <c r="AN31" i="7"/>
  <c r="I78" i="33"/>
  <c r="AU33" i="7"/>
  <c r="F105" i="33"/>
  <c r="F199" i="33"/>
  <c r="F104" i="33"/>
  <c r="AO24" i="7"/>
  <c r="F7" i="33"/>
  <c r="I166" i="33"/>
  <c r="F151" i="33"/>
  <c r="F206" i="33"/>
  <c r="I221" i="33"/>
  <c r="H7" i="16"/>
  <c r="F177" i="33"/>
  <c r="F172" i="33"/>
  <c r="F149" i="33"/>
  <c r="I147" i="33"/>
  <c r="F114" i="33"/>
  <c r="F136" i="33"/>
  <c r="I76" i="33"/>
  <c r="AP33" i="7"/>
  <c r="F82" i="33"/>
  <c r="F134" i="33"/>
  <c r="AO33" i="7"/>
  <c r="AP35" i="7"/>
  <c r="AU25" i="7"/>
  <c r="F135" i="33"/>
  <c r="I82" i="33"/>
  <c r="I121" i="33"/>
  <c r="AU13" i="7"/>
  <c r="I107" i="33"/>
  <c r="G17" i="18"/>
  <c r="AQ10" i="7"/>
  <c r="I210" i="33"/>
  <c r="F3" i="33"/>
  <c r="F100" i="33"/>
  <c r="F65" i="33"/>
  <c r="I62" i="33"/>
  <c r="F108" i="33"/>
  <c r="I217" i="33"/>
  <c r="F171" i="33"/>
  <c r="I185" i="33"/>
  <c r="AP7" i="7"/>
  <c r="AO23" i="7"/>
  <c r="AN5" i="7"/>
  <c r="H9" i="16"/>
  <c r="I180" i="33"/>
  <c r="F70" i="33"/>
  <c r="I146" i="33"/>
  <c r="I208" i="33"/>
  <c r="I216" i="33"/>
  <c r="I133" i="33"/>
  <c r="I189" i="33"/>
  <c r="I181" i="33"/>
  <c r="AQ27" i="7"/>
  <c r="AN6" i="7"/>
  <c r="AV5" i="7"/>
  <c r="AP13" i="7"/>
  <c r="I199" i="33"/>
  <c r="F183" i="33"/>
  <c r="G4" i="18"/>
  <c r="D8" i="16"/>
  <c r="F80" i="33"/>
  <c r="I63" i="33"/>
  <c r="F120" i="33"/>
  <c r="AN27" i="7"/>
  <c r="I213" i="33"/>
  <c r="I55" i="33"/>
  <c r="AP36" i="7"/>
  <c r="F9" i="33"/>
  <c r="I190" i="33"/>
  <c r="AR4" i="7"/>
  <c r="AV28" i="7"/>
  <c r="F202" i="33"/>
  <c r="I191" i="33"/>
  <c r="I144" i="33"/>
  <c r="F42" i="33"/>
  <c r="I154" i="33"/>
  <c r="F185" i="33"/>
  <c r="AP29" i="7"/>
  <c r="AR30" i="7"/>
  <c r="E7" i="16"/>
  <c r="AU21" i="7"/>
  <c r="AV36" i="7"/>
  <c r="F140" i="33"/>
  <c r="I98" i="33"/>
  <c r="AO10" i="7"/>
  <c r="AR27" i="7"/>
  <c r="F106" i="33"/>
  <c r="I145" i="33"/>
  <c r="I198" i="33"/>
  <c r="I51" i="33"/>
  <c r="I10" i="33"/>
  <c r="D9" i="16"/>
  <c r="I119" i="33"/>
  <c r="F14" i="33"/>
  <c r="AU26" i="7"/>
  <c r="AQ24" i="7"/>
  <c r="G9" i="18"/>
  <c r="I73" i="33"/>
  <c r="I165" i="33"/>
  <c r="I54" i="33"/>
  <c r="AQ26" i="7"/>
  <c r="F89" i="33"/>
  <c r="F168" i="33"/>
  <c r="F85" i="33"/>
  <c r="I8" i="16"/>
  <c r="F147" i="33"/>
  <c r="F198" i="33"/>
  <c r="I108" i="33"/>
  <c r="I172" i="33"/>
  <c r="G5" i="18"/>
  <c r="AN36" i="7"/>
  <c r="F33" i="33"/>
  <c r="F112" i="33"/>
  <c r="AV8" i="7"/>
  <c r="AN11" i="7"/>
  <c r="AQ21" i="7"/>
  <c r="F159" i="33"/>
  <c r="AU8" i="7"/>
  <c r="I160" i="33"/>
  <c r="F196" i="33"/>
  <c r="F107" i="33"/>
  <c r="I77" i="33"/>
  <c r="I101" i="33"/>
  <c r="F61" i="33"/>
  <c r="F217" i="33"/>
  <c r="I7" i="16"/>
  <c r="F153" i="33"/>
  <c r="F74" i="33"/>
  <c r="I112" i="33"/>
  <c r="AR23" i="7"/>
  <c r="I222" i="33"/>
  <c r="F222" i="33"/>
  <c r="I212" i="33"/>
  <c r="I113" i="33"/>
  <c r="AV23" i="7"/>
  <c r="AO27" i="7"/>
  <c r="F4" i="33"/>
  <c r="AO19" i="7"/>
  <c r="F146" i="33"/>
  <c r="AU19" i="7"/>
  <c r="F181" i="33"/>
  <c r="AQ18" i="7"/>
  <c r="F49" i="33"/>
  <c r="I176" i="33"/>
  <c r="I64" i="33"/>
  <c r="F99" i="33"/>
  <c r="F77" i="33"/>
  <c r="G10" i="18"/>
  <c r="I40" i="33"/>
  <c r="AU27" i="7"/>
  <c r="AU7" i="7"/>
  <c r="I33" i="33"/>
  <c r="I167" i="33"/>
  <c r="I96" i="33"/>
  <c r="F26" i="33"/>
  <c r="AU28" i="7"/>
  <c r="F220" i="33"/>
  <c r="I196" i="33"/>
  <c r="AR28" i="7"/>
  <c r="AU31" i="7"/>
  <c r="AN18" i="7"/>
  <c r="F216" i="33"/>
  <c r="I35" i="33"/>
  <c r="F205" i="33"/>
  <c r="F6" i="33"/>
  <c r="AV13" i="7"/>
  <c r="I140" i="33"/>
  <c r="I26" i="33"/>
  <c r="AN9" i="7"/>
  <c r="AO11" i="7"/>
  <c r="AP16" i="7"/>
  <c r="I32" i="33"/>
  <c r="AR26" i="7"/>
  <c r="AR10" i="7"/>
  <c r="F161" i="33"/>
  <c r="AV10" i="7"/>
  <c r="I153" i="33"/>
  <c r="F221" i="33"/>
  <c r="F155" i="33"/>
  <c r="F157" i="33"/>
  <c r="G16" i="18"/>
  <c r="I36" i="33"/>
  <c r="F57" i="33"/>
  <c r="AO8" i="7"/>
  <c r="F119" i="33"/>
  <c r="F98" i="33"/>
  <c r="AO15" i="7"/>
  <c r="I111" i="33"/>
  <c r="F179" i="33"/>
  <c r="I118" i="33"/>
  <c r="AQ29" i="7"/>
  <c r="F169" i="33"/>
  <c r="AO20" i="7"/>
  <c r="AO32" i="7"/>
  <c r="I132" i="33"/>
  <c r="AV7" i="7"/>
  <c r="F94" i="33"/>
  <c r="I15" i="33"/>
  <c r="AQ15" i="7"/>
  <c r="F78" i="33"/>
  <c r="I177" i="33"/>
  <c r="AU24" i="7"/>
  <c r="I72" i="33"/>
  <c r="F152" i="33"/>
  <c r="I13" i="33"/>
  <c r="AN26" i="7"/>
  <c r="AN7" i="7"/>
  <c r="F137" i="33"/>
  <c r="I209" i="33"/>
  <c r="F28" i="33"/>
  <c r="I58" i="33"/>
  <c r="I174" i="33"/>
  <c r="AO16" i="7"/>
  <c r="AP21" i="7"/>
  <c r="I12" i="33"/>
  <c r="AO4" i="7"/>
  <c r="AN32" i="7"/>
  <c r="I215" i="33"/>
  <c r="I120" i="33"/>
  <c r="I139" i="33"/>
  <c r="AU23" i="7"/>
  <c r="I178" i="33"/>
  <c r="F121" i="33"/>
  <c r="AR36" i="7"/>
  <c r="AO21" i="7"/>
  <c r="AV24" i="7"/>
  <c r="F158" i="33"/>
  <c r="I204" i="33"/>
  <c r="AN15" i="7"/>
  <c r="I14" i="33"/>
  <c r="I163" i="33"/>
  <c r="I152" i="33"/>
  <c r="AN28" i="7"/>
  <c r="AQ13" i="7"/>
  <c r="I11" i="33"/>
  <c r="I135" i="33"/>
  <c r="I179" i="33"/>
  <c r="F126" i="33"/>
  <c r="AP14" i="7"/>
  <c r="G6" i="18"/>
  <c r="AU16" i="7"/>
  <c r="I38" i="33"/>
  <c r="I56" i="33"/>
  <c r="I37" i="33"/>
  <c r="I155" i="33"/>
  <c r="AQ32" i="7"/>
  <c r="AP30" i="7"/>
  <c r="AV14" i="7"/>
  <c r="AP34" i="7"/>
  <c r="AV18" i="7"/>
  <c r="E8" i="16"/>
  <c r="I49" i="33"/>
  <c r="I75" i="33"/>
  <c r="AR5" i="7"/>
  <c r="AU30" i="7"/>
  <c r="I92" i="33"/>
  <c r="I4" i="33"/>
  <c r="AR8" i="7"/>
  <c r="F110" i="33"/>
  <c r="I173" i="33"/>
  <c r="AV21" i="7"/>
  <c r="I116" i="33"/>
  <c r="I129" i="33"/>
  <c r="I131" i="33"/>
  <c r="F11" i="33"/>
  <c r="AN8" i="7"/>
  <c r="AO13" i="7"/>
  <c r="AV9" i="7"/>
  <c r="I88" i="33"/>
  <c r="AN20" i="7"/>
  <c r="AO30" i="7"/>
  <c r="I136" i="33"/>
  <c r="I71" i="33"/>
  <c r="I23" i="33"/>
  <c r="AO6" i="7"/>
  <c r="AV4" i="7"/>
  <c r="I149" i="33"/>
  <c r="F59" i="33"/>
  <c r="F12" i="33"/>
  <c r="F68" i="33"/>
  <c r="AU5" i="7"/>
  <c r="I83" i="33"/>
  <c r="I170" i="33"/>
  <c r="I186" i="33"/>
  <c r="F36" i="33"/>
  <c r="AQ36" i="7"/>
  <c r="F145" i="33"/>
  <c r="I60" i="33"/>
  <c r="F20" i="33"/>
  <c r="F53" i="33"/>
  <c r="F102" i="33"/>
  <c r="F92" i="33"/>
  <c r="D7" i="16"/>
  <c r="AR9" i="7"/>
  <c r="AU29" i="7"/>
  <c r="AP5" i="7"/>
  <c r="I52" i="33"/>
  <c r="F156" i="33"/>
  <c r="AP25" i="7"/>
  <c r="AU10" i="7"/>
  <c r="I214" i="33"/>
  <c r="AR19" i="7"/>
  <c r="F124" i="33"/>
  <c r="AQ3" i="7"/>
  <c r="I202" i="33"/>
  <c r="I7" i="33"/>
  <c r="AP28" i="7"/>
  <c r="I85" i="33"/>
  <c r="F113" i="33"/>
  <c r="F190" i="33"/>
  <c r="F22" i="33"/>
  <c r="I200" i="33"/>
  <c r="AU32" i="7"/>
  <c r="AP31" i="7"/>
  <c r="AR13" i="7"/>
  <c r="I70" i="33"/>
  <c r="I46" i="33"/>
  <c r="F43" i="33"/>
  <c r="I39" i="33"/>
  <c r="F46" i="33"/>
  <c r="AQ34" i="7"/>
  <c r="F188" i="33"/>
  <c r="AP22" i="7"/>
  <c r="F79" i="33"/>
  <c r="AV15" i="7"/>
  <c r="I45" i="33"/>
  <c r="AQ4" i="7"/>
  <c r="F55" i="33"/>
  <c r="F118" i="33"/>
  <c r="AO35" i="7"/>
  <c r="I5" i="33"/>
  <c r="I157" i="33"/>
  <c r="I171" i="33"/>
  <c r="I164" i="33"/>
  <c r="I195" i="33"/>
  <c r="I81" i="33"/>
  <c r="G11" i="18"/>
  <c r="F193" i="33"/>
  <c r="I22" i="33"/>
  <c r="F201" i="33"/>
  <c r="AQ22" i="7"/>
  <c r="F45" i="33"/>
  <c r="F39" i="33"/>
  <c r="F133" i="33"/>
  <c r="AN12" i="7"/>
  <c r="AN22" i="7"/>
  <c r="F75" i="33"/>
  <c r="I123" i="33"/>
  <c r="AR35" i="7"/>
  <c r="F141" i="33"/>
  <c r="I53" i="33"/>
  <c r="AN29" i="7"/>
  <c r="I110" i="33"/>
  <c r="G13" i="18"/>
  <c r="AU6" i="7"/>
  <c r="AN24" i="7"/>
  <c r="F81" i="33"/>
  <c r="F58" i="33"/>
  <c r="AP23" i="7"/>
  <c r="F204" i="33"/>
  <c r="AP8" i="7"/>
  <c r="AO28" i="7"/>
  <c r="AP17" i="7"/>
  <c r="F73" i="33"/>
  <c r="AN19" i="7"/>
  <c r="F50" i="33"/>
  <c r="I137" i="33"/>
  <c r="AP32" i="7"/>
  <c r="AN25" i="7"/>
  <c r="F64" i="33"/>
  <c r="I142" i="33"/>
  <c r="I197" i="33"/>
  <c r="F195" i="33"/>
  <c r="F35" i="33"/>
  <c r="AR31" i="7"/>
  <c r="AP18" i="7"/>
  <c r="I91" i="33"/>
  <c r="I16" i="33"/>
  <c r="I125" i="33"/>
  <c r="I207" i="33"/>
  <c r="I93" i="33"/>
  <c r="I24" i="33"/>
  <c r="AR12" i="7"/>
  <c r="F27" i="33"/>
  <c r="AV11" i="7"/>
  <c r="G12" i="18"/>
  <c r="AQ25" i="7"/>
  <c r="I115" i="33"/>
  <c r="F103" i="33"/>
  <c r="I192" i="33"/>
  <c r="F10" i="33"/>
  <c r="I47" i="33"/>
  <c r="F52" i="33"/>
  <c r="F47" i="33"/>
  <c r="F8" i="33"/>
  <c r="F67" i="33"/>
  <c r="F210" i="33"/>
  <c r="F91" i="33"/>
  <c r="F25" i="33"/>
  <c r="AR21" i="7"/>
  <c r="I27" i="33"/>
  <c r="AV35" i="7"/>
  <c r="F83" i="33"/>
  <c r="F211" i="33"/>
  <c r="F128" i="33"/>
  <c r="S12" i="44" l="1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U12" i="44" l="1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<sst xmlns="http://schemas.openxmlformats.org/spreadsheetml/2006/main" count="1328" uniqueCount="518">
  <si>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</si>
  <si>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</si>
  <si>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</si>
  <si>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</si>
  <si>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</si>
  <si>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</si>
  <si>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</si>
  <si>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</si>
  <si>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</si>
  <si>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</si>
  <si>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</si>
  <si>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</si>
  <si>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</si>
  <si>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</si>
  <si>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</si>
  <si>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</si>
  <si>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</si>
  <si>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</si>
  <si>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</si>
  <si>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</si>
  <si>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</si>
  <si>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</si>
  <si>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</si>
  <si>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</si>
  <si>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</si>
  <si>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</si>
  <si>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</si>
  <si>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</si>
  <si>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</si>
  <si>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</si>
  <si>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</si>
  <si>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</si>
  <si>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</si>
  <si>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</si>
  <si>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</si>
  <si>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</si>
  <si>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</si>
  <si>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</si>
  <si>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</si>
  <si>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</si>
  <si>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</si>
  <si>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</si>
  <si>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</si>
  <si>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</si>
  <si>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</si>
  <si>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</si>
  <si>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</si>
  <si>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</si>
  <si>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</si>
  <si>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</si>
  <si>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</si>
  <si>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</si>
  <si>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</si>
  <si>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</si>
  <si>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</si>
  <si>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</si>
  <si>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</si>
  <si>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</si>
  <si>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</si>
  <si>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</si>
  <si>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</si>
  <si>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</si>
  <si>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</si>
  <si>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</si>
  <si>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</si>
  <si>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</si>
  <si>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</si>
  <si>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</si>
  <si>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</si>
  <si>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</si>
  <si>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</si>
  <si>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</si>
  <si>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</si>
  <si>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</si>
  <si>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</si>
  <si>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</si>
  <si>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</si>
  <si>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</si>
  <si>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</si>
  <si>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</si>
  <si>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</si>
  <si>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</si>
  <si>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</si>
  <si>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</si>
  <si>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</si>
  <si>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</si>
  <si>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</si>
  <si>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</si>
  <si>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</si>
  <si>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</si>
  <si>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</si>
  <si>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</si>
  <si>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</si>
  <si>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</si>
  <si>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</si>
  <si>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</si>
  <si>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</si>
  <si>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</si>
  <si>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</si>
  <si>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</si>
  <si>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</si>
  <si>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</si>
  <si>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</si>
  <si>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</si>
  <si>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</si>
  <si>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</si>
  <si>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</si>
  <si>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</si>
  <si>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</si>
  <si>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</si>
  <si>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</si>
  <si>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</si>
  <si>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</si>
  <si>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</si>
  <si>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</si>
  <si>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</si>
  <si>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</si>
  <si>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</si>
  <si>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</si>
  <si>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</si>
  <si>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</si>
  <si>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</si>
  <si>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</si>
  <si>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</si>
  <si>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</si>
  <si>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</si>
  <si>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</si>
  <si>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</si>
  <si>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</si>
  <si>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</si>
  <si>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</si>
  <si>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</si>
  <si>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</si>
  <si>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</si>
  <si>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</si>
  <si>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</si>
  <si>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</si>
  <si>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</si>
  <si>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</si>
  <si>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</si>
  <si>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</si>
  <si>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</si>
  <si>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</si>
  <si>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</si>
  <si>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</si>
  <si>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</si>
  <si>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</si>
  <si>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</si>
  <si>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</si>
  <si>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</si>
  <si>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</si>
  <si>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</si>
  <si>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</si>
  <si>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</si>
  <si>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</si>
  <si>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</si>
  <si>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</si>
  <si>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</si>
  <si>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</si>
  <si>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</si>
  <si>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</si>
  <si>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</si>
  <si>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</si>
  <si>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</si>
  <si>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</si>
  <si>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</si>
  <si>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</si>
  <si>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</si>
  <si>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</si>
  <si>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</si>
  <si>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</si>
  <si>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</si>
  <si>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</si>
  <si>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</si>
  <si>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</si>
  <si>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</si>
  <si>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</si>
  <si>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</si>
  <si>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</si>
  <si>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</si>
  <si>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</si>
  <si>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</si>
  <si>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</si>
  <si>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</si>
  <si>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</si>
  <si>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</si>
  <si>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</si>
  <si>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</si>
  <si>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</si>
  <si>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</si>
  <si>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</si>
  <si>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</si>
  <si>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</si>
  <si>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</si>
  <si>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</si>
  <si>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</si>
  <si>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</si>
  <si>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</si>
  <si>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</si>
  <si>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</si>
  <si>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</si>
  <si>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</si>
  <si>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</si>
  <si>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</si>
  <si>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</si>
  <si>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</si>
  <si>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</si>
  <si>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</si>
  <si>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</si>
  <si>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</si>
  <si>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</si>
  <si>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</si>
  <si>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</si>
  <si>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</si>
  <si>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</si>
  <si>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</si>
  <si>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</si>
  <si>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</si>
  <si>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</si>
  <si>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</si>
  <si>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</si>
  <si>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</si>
  <si>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</si>
  <si>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</si>
  <si>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</si>
  <si>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</si>
  <si>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</si>
  <si>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</si>
  <si>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</si>
  <si>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</si>
  <si>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</si>
  <si>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</si>
  <si>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</si>
  <si>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</si>
  <si>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</si>
  <si>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</si>
  <si>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</si>
  <si>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</si>
  <si>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</si>
  <si>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</si>
  <si>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</si>
  <si>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</si>
  <si>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</si>
  <si>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</si>
  <si>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</si>
  <si>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</si>
  <si>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</si>
  <si>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</si>
  <si>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</si>
  <si>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</si>
  <si>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</si>
  <si>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</si>
  <si>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</si>
  <si>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</si>
  <si>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</si>
  <si>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</si>
  <si>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</si>
  <si>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</si>
  <si>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</si>
  <si>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</si>
  <si>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</si>
  <si>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</si>
  <si>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</si>
  <si>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</si>
  <si>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</si>
  <si>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</si>
  <si>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</si>
  <si>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</si>
  <si>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</si>
  <si>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</si>
  <si>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</si>
  <si>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</si>
  <si>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</si>
  <si>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</si>
  <si>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</si>
  <si>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</si>
  <si>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</si>
  <si>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</si>
  <si>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</si>
  <si>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</si>
  <si>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</si>
  <si>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</si>
  <si>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</si>
  <si>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</si>
  <si>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</si>
  <si>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</si>
  <si>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</si>
  <si>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</si>
  <si>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</si>
  <si>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</si>
  <si>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</si>
  <si>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</si>
  <si>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</si>
  <si>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</si>
  <si>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</si>
  <si>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</si>
  <si>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</si>
  <si>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</si>
  <si>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</si>
  <si>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</si>
  <si>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</si>
  <si>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</si>
  <si>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</si>
  <si>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</si>
  <si>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</si>
  <si>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</si>
  <si>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</si>
  <si>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</si>
  <si>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</si>
  <si>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</si>
  <si>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</si>
  <si>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</si>
  <si>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</si>
  <si>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</si>
  <si>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</si>
  <si>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</si>
  <si>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</si>
  <si>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</si>
  <si>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</si>
  <si>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</si>
  <si>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</si>
  <si>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</si>
  <si>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</si>
  <si>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</si>
  <si>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</si>
  <si>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</si>
  <si>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</si>
  <si>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</si>
  <si>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</si>
  <si>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</si>
  <si>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</si>
  <si>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</si>
  <si>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</si>
  <si>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</si>
  <si>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</si>
  <si>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</si>
  <si>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</si>
  <si>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</si>
  <si>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</si>
  <si>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</si>
  <si>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</si>
  <si>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</si>
  <si>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</si>
  <si>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</si>
  <si>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</si>
  <si>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</si>
  <si>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</si>
  <si>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</si>
  <si>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</si>
  <si>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</si>
  <si>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</si>
  <si>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</si>
  <si>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</si>
  <si>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</si>
  <si>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</si>
  <si>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</si>
  <si>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</si>
  <si>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</si>
  <si>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</si>
  <si>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</si>
  <si>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</si>
  <si>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</si>
  <si>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</si>
  <si>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</si>
  <si>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</si>
  <si>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</si>
  <si>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</si>
  <si>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</si>
  <si>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</si>
  <si>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</si>
  <si>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</si>
  <si>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</si>
  <si>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</si>
  <si>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</si>
  <si>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</si>
  <si>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</si>
  <si>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</si>
  <si>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</si>
  <si>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</si>
  <si>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</si>
  <si>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</si>
  <si>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</si>
  <si>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</si>
  <si>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</si>
  <si>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</si>
  <si>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</si>
  <si>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</si>
  <si>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</si>
  <si>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</si>
  <si>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</si>
  <si>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</si>
  <si>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</si>
  <si>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</si>
  <si>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</si>
  <si>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</si>
  <si>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</si>
  <si>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</si>
  <si>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</si>
  <si>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</si>
  <si>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</si>
  <si>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</si>
  <si>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</si>
  <si>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</si>
  <si>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</si>
  <si>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</si>
  <si>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</si>
  <si>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</si>
  <si>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</si>
  <si>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</si>
  <si>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</si>
  <si>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</si>
  <si>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</si>
  <si>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</si>
  <si>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</si>
  <si>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</si>
  <si>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</si>
  <si>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</si>
  <si>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</si>
  <si>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</si>
  <si>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</si>
  <si>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</si>
  <si>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</si>
  <si>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</si>
  <si>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</si>
  <si>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</si>
  <si>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</si>
  <si>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</si>
  <si>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</si>
  <si>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</si>
  <si>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</si>
  <si>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</si>
  <si>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</si>
  <si>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</si>
  <si>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</si>
  <si>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</si>
  <si>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</si>
  <si>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</si>
  <si>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</si>
  <si>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</si>
  <si>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</si>
  <si>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</si>
  <si>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</si>
  <si>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</si>
  <si>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</si>
  <si>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</si>
  <si>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</si>
  <si>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</si>
  <si>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</si>
  <si>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</si>
  <si>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</si>
  <si>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</si>
  <si>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</si>
  <si>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</si>
  <si>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</si>
  <si>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</si>
  <si>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</si>
  <si>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</si>
  <si>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</si>
  <si>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</si>
  <si>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</si>
  <si>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</si>
  <si>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</si>
  <si>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</si>
  <si>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</si>
  <si>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</si>
  <si>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</si>
  <si>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</si>
  <si>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</si>
  <si>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</si>
  <si>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</si>
  <si>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</si>
  <si>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</si>
  <si>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</si>
  <si>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</si>
  <si>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</si>
  <si>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</si>
  <si>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</si>
  <si>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</si>
  <si>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</si>
  <si>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</si>
  <si>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</si>
  <si>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</si>
  <si>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</si>
  <si>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</si>
  <si>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</si>
  <si>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</si>
  <si>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</si>
  <si>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</si>
  <si>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</si>
  <si>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</si>
  <si>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</si>
  <si>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</si>
  <si>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</si>
  <si>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</si>
  <si>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</si>
  <si>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</si>
  <si>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</si>
  <si>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</si>
  <si>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</si>
  <si>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</si>
  <si>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</si>
  <si>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</si>
  <si>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</si>
  <si>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</si>
  <si>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</si>
  <si>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</si>
  <si>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</si>
  <si>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</si>
  <si>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</si>
  <si>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</si>
  <si>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</si>
  <si>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</si>
  <si>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</si>
  <si>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Not counted</t>
  </si>
  <si>
    <t>mins</t>
  </si>
  <si>
    <t>火牙共鬥</t>
  </si>
  <si>
    <t>龍絆日凱特西</t>
  </si>
  <si>
    <t>凱特西、綠頭、鑽頭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</si>
</sst>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6" t="s">
        <v>170</v>
      </c>
      <c r="B10" s="416" t="s">
        <v>171</v>
      </c>
    </row>
    <row r="11" spans="1:3" s="403" customFormat="1" ht="35.25" customHeight="1" x14ac:dyDescent="0.25">
      <c r="A11" s="847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8" t="s">
        <v>167</v>
      </c>
      <c r="B17" s="843" t="s">
        <v>167</v>
      </c>
      <c r="C17" s="419" t="s">
        <v>175</v>
      </c>
    </row>
    <row r="18" spans="1:3" s="402" customFormat="1" ht="22.5" customHeight="1" x14ac:dyDescent="0.25">
      <c r="A18" s="849"/>
      <c r="B18" s="844"/>
      <c r="C18" s="419" t="s">
        <v>205</v>
      </c>
    </row>
    <row r="19" spans="1:3" s="402" customFormat="1" ht="22.5" customHeight="1" x14ac:dyDescent="0.25">
      <c r="A19" s="849"/>
      <c r="B19" s="844"/>
      <c r="C19" s="424" t="s">
        <v>202</v>
      </c>
    </row>
    <row r="20" spans="1:3" s="402" customFormat="1" ht="22.5" customHeight="1" x14ac:dyDescent="0.25">
      <c r="A20" s="849"/>
      <c r="B20" s="844"/>
      <c r="C20" s="424" t="s">
        <v>201</v>
      </c>
    </row>
    <row r="21" spans="1:3" s="415" customFormat="1" ht="22.5" customHeight="1" thickBot="1" x14ac:dyDescent="0.3">
      <c r="A21" s="850"/>
      <c r="B21" s="845"/>
      <c r="C21" s="420" t="s">
        <v>206</v>
      </c>
    </row>
    <row r="22" spans="1:3" s="412" customFormat="1" ht="22.5" customHeight="1" x14ac:dyDescent="0.25">
      <c r="A22" s="848" t="s">
        <v>180</v>
      </c>
      <c r="B22" s="843" t="s">
        <v>181</v>
      </c>
      <c r="C22" s="418" t="s">
        <v>182</v>
      </c>
    </row>
    <row r="23" spans="1:3" s="402" customFormat="1" ht="22.5" customHeight="1" x14ac:dyDescent="0.25">
      <c r="A23" s="849"/>
      <c r="B23" s="844"/>
      <c r="C23" s="419" t="s">
        <v>183</v>
      </c>
    </row>
    <row r="24" spans="1:3" s="402" customFormat="1" ht="22.5" customHeight="1" x14ac:dyDescent="0.25">
      <c r="A24" s="849"/>
      <c r="B24" s="844"/>
      <c r="C24" s="402" t="s">
        <v>186</v>
      </c>
    </row>
    <row r="25" spans="1:3" s="402" customFormat="1" ht="22.5" customHeight="1" x14ac:dyDescent="0.25">
      <c r="A25" s="849"/>
      <c r="B25" s="844"/>
      <c r="C25" s="419" t="s">
        <v>184</v>
      </c>
    </row>
    <row r="26" spans="1:3" s="415" customFormat="1" ht="22.5" customHeight="1" thickBot="1" x14ac:dyDescent="0.3">
      <c r="A26" s="850"/>
      <c r="B26" s="845"/>
      <c r="C26" s="415" t="s">
        <v>185</v>
      </c>
    </row>
    <row r="27" spans="1:3" s="412" customFormat="1" ht="22.5" customHeight="1" x14ac:dyDescent="0.25">
      <c r="A27" s="848" t="s">
        <v>188</v>
      </c>
      <c r="B27" s="843" t="s">
        <v>188</v>
      </c>
      <c r="C27" s="418" t="s">
        <v>189</v>
      </c>
    </row>
    <row r="28" spans="1:3" s="402" customFormat="1" ht="22.5" customHeight="1" x14ac:dyDescent="0.25">
      <c r="A28" s="849"/>
      <c r="B28" s="844"/>
      <c r="C28" s="424" t="s">
        <v>241</v>
      </c>
    </row>
    <row r="29" spans="1:3" s="402" customFormat="1" ht="22.5" customHeight="1" x14ac:dyDescent="0.25">
      <c r="A29" s="849"/>
      <c r="B29" s="844"/>
      <c r="C29" s="424" t="s">
        <v>243</v>
      </c>
    </row>
    <row r="30" spans="1:3" s="402" customFormat="1" ht="22.5" customHeight="1" x14ac:dyDescent="0.25">
      <c r="A30" s="849"/>
      <c r="B30" s="844"/>
      <c r="C30" s="402" t="s">
        <v>242</v>
      </c>
    </row>
    <row r="31" spans="1:3" s="414" customFormat="1" ht="22.5" customHeight="1" thickBot="1" x14ac:dyDescent="0.3">
      <c r="A31" s="850"/>
      <c r="B31" s="413" t="s">
        <v>190</v>
      </c>
      <c r="C31" s="414" t="s">
        <v>314</v>
      </c>
    </row>
    <row r="32" spans="1:3" s="412" customFormat="1" ht="22.5" customHeight="1" x14ac:dyDescent="0.25">
      <c r="A32" s="840" t="s">
        <v>194</v>
      </c>
      <c r="B32" s="837" t="s">
        <v>194</v>
      </c>
      <c r="C32" s="418" t="s">
        <v>195</v>
      </c>
    </row>
    <row r="33" spans="1:3" s="402" customFormat="1" ht="22.5" customHeight="1" x14ac:dyDescent="0.25">
      <c r="A33" s="841"/>
      <c r="B33" s="838"/>
      <c r="C33" s="419" t="s">
        <v>196</v>
      </c>
    </row>
    <row r="34" spans="1:3" s="402" customFormat="1" ht="22.5" customHeight="1" x14ac:dyDescent="0.25">
      <c r="A34" s="841"/>
      <c r="B34" s="838"/>
      <c r="C34" s="419" t="s">
        <v>197</v>
      </c>
    </row>
    <row r="35" spans="1:3" s="415" customFormat="1" ht="22.5" customHeight="1" thickBot="1" x14ac:dyDescent="0.3">
      <c r="A35" s="842"/>
      <c r="B35" s="839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80" t="s">
        <v>414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pans="1:21" s="11" customFormat="1" ht="18.75" customHeight="1" x14ac:dyDescent="0.25">
      <c r="A2" s="881" t="s">
        <v>315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53" t="s">
        <v>248</v>
      </c>
      <c r="B3" s="856" t="s">
        <v>309</v>
      </c>
      <c r="C3" s="857"/>
      <c r="D3" s="856" t="s">
        <v>295</v>
      </c>
      <c r="E3" s="857"/>
      <c r="F3" s="856" t="s">
        <v>299</v>
      </c>
      <c r="G3" s="857"/>
      <c r="H3" s="856" t="s">
        <v>299</v>
      </c>
      <c r="I3" s="857"/>
      <c r="J3" s="856" t="s">
        <v>336</v>
      </c>
      <c r="K3" s="857"/>
      <c r="L3" s="856"/>
      <c r="M3" s="857"/>
      <c r="N3" s="856"/>
      <c r="O3" s="857"/>
      <c r="P3" s="856"/>
      <c r="Q3" s="857"/>
      <c r="R3" s="856"/>
      <c r="S3" s="857"/>
      <c r="T3" s="856"/>
      <c r="U3" s="857"/>
    </row>
    <row r="4" spans="1:21" s="589" customFormat="1" ht="21" customHeight="1" x14ac:dyDescent="0.25">
      <c r="A4" s="854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5"/>
      <c r="B5" s="851" t="s">
        <v>310</v>
      </c>
      <c r="C5" s="852"/>
      <c r="D5" s="851" t="s">
        <v>298</v>
      </c>
      <c r="E5" s="852"/>
      <c r="F5" s="851" t="s">
        <v>303</v>
      </c>
      <c r="G5" s="858"/>
      <c r="H5" s="858"/>
      <c r="I5" s="852"/>
      <c r="J5" s="851" t="s">
        <v>339</v>
      </c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86" customFormat="1" ht="21" customHeight="1" x14ac:dyDescent="0.25">
      <c r="A6" s="877" t="s">
        <v>250</v>
      </c>
      <c r="B6" s="861" t="s">
        <v>244</v>
      </c>
      <c r="C6" s="862"/>
      <c r="D6" s="861" t="s">
        <v>269</v>
      </c>
      <c r="E6" s="862"/>
      <c r="F6" s="861" t="s">
        <v>277</v>
      </c>
      <c r="G6" s="862"/>
      <c r="H6" s="861" t="s">
        <v>384</v>
      </c>
      <c r="I6" s="862"/>
      <c r="J6" s="861"/>
      <c r="K6" s="862"/>
      <c r="L6" s="861"/>
      <c r="M6" s="862"/>
      <c r="N6" s="861"/>
      <c r="O6" s="862"/>
      <c r="P6" s="861"/>
      <c r="Q6" s="862"/>
      <c r="R6" s="861"/>
      <c r="S6" s="862"/>
      <c r="T6" s="861"/>
      <c r="U6" s="862"/>
    </row>
    <row r="7" spans="1:21" s="590" customFormat="1" ht="21" customHeight="1" x14ac:dyDescent="0.25">
      <c r="A7" s="878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8"/>
      <c r="B8" s="859" t="s">
        <v>382</v>
      </c>
      <c r="C8" s="860"/>
      <c r="D8" s="859"/>
      <c r="E8" s="860"/>
      <c r="F8" s="859" t="s">
        <v>301</v>
      </c>
      <c r="G8" s="860"/>
      <c r="H8" s="859"/>
      <c r="I8" s="860"/>
      <c r="J8" s="859"/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695" customFormat="1" ht="21" customHeight="1" x14ac:dyDescent="0.25">
      <c r="A9" s="878"/>
      <c r="B9" s="861" t="s">
        <v>408</v>
      </c>
      <c r="C9" s="862"/>
      <c r="D9" s="861" t="s">
        <v>269</v>
      </c>
      <c r="E9" s="862"/>
      <c r="F9" s="861" t="s">
        <v>412</v>
      </c>
      <c r="G9" s="862"/>
      <c r="H9" s="861"/>
      <c r="I9" s="862"/>
      <c r="J9" s="861"/>
      <c r="K9" s="862"/>
      <c r="L9" s="861"/>
      <c r="M9" s="862"/>
      <c r="N9" s="861"/>
      <c r="O9" s="862"/>
      <c r="P9" s="861"/>
      <c r="Q9" s="862"/>
      <c r="R9" s="861"/>
      <c r="S9" s="862"/>
      <c r="T9" s="861"/>
      <c r="U9" s="862"/>
    </row>
    <row r="10" spans="1:21" s="590" customFormat="1" ht="21" customHeight="1" x14ac:dyDescent="0.25">
      <c r="A10" s="878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9"/>
      <c r="B11" s="859" t="s">
        <v>411</v>
      </c>
      <c r="C11" s="860"/>
      <c r="D11" s="859" t="s">
        <v>410</v>
      </c>
      <c r="E11" s="860"/>
      <c r="F11" s="859" t="s">
        <v>410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149" customFormat="1" ht="21" customHeight="1" x14ac:dyDescent="0.25">
      <c r="A12" s="865" t="s">
        <v>251</v>
      </c>
      <c r="B12" s="868" t="s">
        <v>276</v>
      </c>
      <c r="C12" s="869"/>
      <c r="D12" s="868" t="s">
        <v>283</v>
      </c>
      <c r="E12" s="869"/>
      <c r="F12" s="868"/>
      <c r="G12" s="869"/>
      <c r="H12" s="868"/>
      <c r="I12" s="869"/>
      <c r="J12" s="868"/>
      <c r="K12" s="869"/>
      <c r="L12" s="868"/>
      <c r="M12" s="869"/>
      <c r="N12" s="868"/>
      <c r="O12" s="869"/>
      <c r="P12" s="868"/>
      <c r="Q12" s="869"/>
      <c r="R12" s="868"/>
      <c r="S12" s="869"/>
      <c r="T12" s="868"/>
      <c r="U12" s="869"/>
    </row>
    <row r="13" spans="1:21" s="589" customFormat="1" ht="21" customHeight="1" x14ac:dyDescent="0.25">
      <c r="A13" s="866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7"/>
      <c r="B14" s="863" t="s">
        <v>280</v>
      </c>
      <c r="C14" s="864"/>
      <c r="D14" s="863" t="s">
        <v>288</v>
      </c>
      <c r="E14" s="864"/>
      <c r="F14" s="863"/>
      <c r="G14" s="864"/>
      <c r="H14" s="863"/>
      <c r="I14" s="864"/>
      <c r="J14" s="863"/>
      <c r="K14" s="864"/>
      <c r="L14" s="863"/>
      <c r="M14" s="864"/>
      <c r="N14" s="863"/>
      <c r="O14" s="864"/>
      <c r="P14" s="863"/>
      <c r="Q14" s="864"/>
      <c r="R14" s="863"/>
      <c r="S14" s="864"/>
      <c r="T14" s="863"/>
      <c r="U14" s="864"/>
    </row>
    <row r="15" spans="1:21" s="157" customFormat="1" ht="21" customHeight="1" x14ac:dyDescent="0.25">
      <c r="A15" s="872" t="s">
        <v>253</v>
      </c>
      <c r="B15" s="875" t="s">
        <v>258</v>
      </c>
      <c r="C15" s="876"/>
      <c r="D15" s="875" t="s">
        <v>258</v>
      </c>
      <c r="E15" s="876"/>
      <c r="F15" s="875"/>
      <c r="G15" s="876"/>
      <c r="H15" s="875"/>
      <c r="I15" s="876"/>
      <c r="J15" s="875"/>
      <c r="K15" s="876"/>
      <c r="L15" s="875"/>
      <c r="M15" s="876"/>
      <c r="N15" s="875"/>
      <c r="O15" s="876"/>
      <c r="P15" s="875"/>
      <c r="Q15" s="876"/>
      <c r="R15" s="875"/>
      <c r="S15" s="876"/>
      <c r="T15" s="875"/>
      <c r="U15" s="876"/>
    </row>
    <row r="16" spans="1:21" s="589" customFormat="1" ht="21" customHeight="1" x14ac:dyDescent="0.25">
      <c r="A16" s="873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4"/>
      <c r="B17" s="870" t="s">
        <v>312</v>
      </c>
      <c r="C17" s="871"/>
      <c r="D17" s="870" t="s">
        <v>271</v>
      </c>
      <c r="E17" s="871"/>
      <c r="F17" s="870"/>
      <c r="G17" s="871"/>
      <c r="H17" s="870"/>
      <c r="I17" s="871"/>
      <c r="J17" s="870"/>
      <c r="K17" s="871"/>
      <c r="L17" s="870"/>
      <c r="M17" s="871"/>
      <c r="N17" s="870"/>
      <c r="O17" s="871"/>
      <c r="P17" s="870"/>
      <c r="Q17" s="871"/>
      <c r="R17" s="870"/>
      <c r="S17" s="871"/>
      <c r="T17" s="870"/>
      <c r="U17" s="871"/>
    </row>
    <row r="18" spans="1:21" s="164" customFormat="1" ht="21" customHeight="1" x14ac:dyDescent="0.25">
      <c r="A18" s="886" t="s">
        <v>255</v>
      </c>
      <c r="B18" s="884" t="s">
        <v>261</v>
      </c>
      <c r="C18" s="885"/>
      <c r="D18" s="884" t="s">
        <v>332</v>
      </c>
      <c r="E18" s="885"/>
      <c r="F18" s="884" t="s">
        <v>263</v>
      </c>
      <c r="G18" s="885"/>
      <c r="H18" s="884" t="s">
        <v>313</v>
      </c>
      <c r="I18" s="885"/>
      <c r="J18" s="884"/>
      <c r="K18" s="885"/>
      <c r="L18" s="884"/>
      <c r="M18" s="885"/>
      <c r="N18" s="884"/>
      <c r="O18" s="885"/>
      <c r="P18" s="884"/>
      <c r="Q18" s="885"/>
      <c r="R18" s="884"/>
      <c r="S18" s="885"/>
      <c r="T18" s="884"/>
      <c r="U18" s="885"/>
    </row>
    <row r="19" spans="1:21" s="589" customFormat="1" ht="21" customHeight="1" x14ac:dyDescent="0.25">
      <c r="A19" s="887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8"/>
      <c r="B20" s="882"/>
      <c r="C20" s="883"/>
      <c r="D20" s="882"/>
      <c r="E20" s="883"/>
      <c r="F20" s="882" t="s">
        <v>264</v>
      </c>
      <c r="G20" s="883"/>
      <c r="H20" s="882"/>
      <c r="I20" s="883"/>
      <c r="J20" s="882"/>
      <c r="K20" s="883"/>
      <c r="L20" s="882"/>
      <c r="M20" s="883"/>
      <c r="N20" s="882"/>
      <c r="O20" s="883"/>
      <c r="P20" s="882"/>
      <c r="Q20" s="883"/>
      <c r="R20" s="882"/>
      <c r="S20" s="883"/>
      <c r="T20" s="882"/>
      <c r="U20" s="883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2" t="s">
        <v>422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</row>
    <row r="2" spans="1:21" s="137" customFormat="1" ht="21" customHeight="1" x14ac:dyDescent="0.25">
      <c r="A2" s="903" t="s">
        <v>249</v>
      </c>
      <c r="B2" s="856" t="s">
        <v>309</v>
      </c>
      <c r="C2" s="857"/>
      <c r="D2" s="856" t="s">
        <v>295</v>
      </c>
      <c r="E2" s="857"/>
      <c r="F2" s="856" t="s">
        <v>299</v>
      </c>
      <c r="G2" s="857"/>
      <c r="H2" s="856" t="s">
        <v>299</v>
      </c>
      <c r="I2" s="857"/>
      <c r="J2" s="856" t="s">
        <v>385</v>
      </c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589" customFormat="1" ht="21" customHeight="1" x14ac:dyDescent="0.25">
      <c r="A3" s="904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4"/>
      <c r="B4" s="851" t="s">
        <v>310</v>
      </c>
      <c r="C4" s="852"/>
      <c r="D4" s="851" t="s">
        <v>298</v>
      </c>
      <c r="E4" s="852"/>
      <c r="F4" s="851" t="s">
        <v>303</v>
      </c>
      <c r="G4" s="858"/>
      <c r="H4" s="858"/>
      <c r="I4" s="852"/>
      <c r="J4" s="851" t="s">
        <v>393</v>
      </c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695" customFormat="1" ht="21" customHeight="1" x14ac:dyDescent="0.25">
      <c r="A5" s="878"/>
      <c r="B5" s="861" t="s">
        <v>408</v>
      </c>
      <c r="C5" s="862"/>
      <c r="D5" s="861" t="s">
        <v>407</v>
      </c>
      <c r="E5" s="862"/>
      <c r="F5" s="861" t="s">
        <v>269</v>
      </c>
      <c r="G5" s="862"/>
      <c r="H5" s="861"/>
      <c r="I5" s="862"/>
      <c r="J5" s="861"/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590" customFormat="1" ht="21" customHeight="1" x14ac:dyDescent="0.25">
      <c r="A6" s="878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9"/>
      <c r="B7" s="859" t="s">
        <v>410</v>
      </c>
      <c r="C7" s="860"/>
      <c r="D7" s="859" t="s">
        <v>410</v>
      </c>
      <c r="E7" s="860"/>
      <c r="F7" s="859" t="s">
        <v>410</v>
      </c>
      <c r="G7" s="860"/>
      <c r="H7" s="859"/>
      <c r="I7" s="860"/>
      <c r="J7" s="859"/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149" customFormat="1" ht="21" customHeight="1" x14ac:dyDescent="0.25">
      <c r="A8" s="898" t="s">
        <v>252</v>
      </c>
      <c r="B8" s="896" t="s">
        <v>266</v>
      </c>
      <c r="C8" s="869"/>
      <c r="D8" s="868" t="s">
        <v>276</v>
      </c>
      <c r="E8" s="869"/>
      <c r="F8" s="868" t="s">
        <v>273</v>
      </c>
      <c r="G8" s="869"/>
      <c r="H8" s="868" t="s">
        <v>283</v>
      </c>
      <c r="I8" s="869"/>
      <c r="J8" s="868" t="s">
        <v>283</v>
      </c>
      <c r="K8" s="869"/>
      <c r="L8" s="868" t="s">
        <v>318</v>
      </c>
      <c r="M8" s="869"/>
      <c r="N8" s="868"/>
      <c r="O8" s="869"/>
      <c r="P8" s="868"/>
      <c r="Q8" s="869"/>
      <c r="R8" s="868"/>
      <c r="S8" s="869"/>
      <c r="T8" s="868"/>
      <c r="U8" s="869"/>
    </row>
    <row r="9" spans="1:21" s="589" customFormat="1" ht="21" customHeight="1" x14ac:dyDescent="0.25">
      <c r="A9" s="899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9"/>
      <c r="B10" s="897" t="s">
        <v>268</v>
      </c>
      <c r="C10" s="864"/>
      <c r="D10" s="863" t="s">
        <v>280</v>
      </c>
      <c r="E10" s="864"/>
      <c r="F10" s="863" t="s">
        <v>275</v>
      </c>
      <c r="G10" s="864"/>
      <c r="H10" s="863"/>
      <c r="I10" s="864"/>
      <c r="J10" s="863" t="s">
        <v>305</v>
      </c>
      <c r="K10" s="864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149" customFormat="1" ht="21" customHeight="1" x14ac:dyDescent="0.25">
      <c r="A11" s="899"/>
      <c r="B11" s="896" t="s">
        <v>285</v>
      </c>
      <c r="C11" s="869"/>
      <c r="D11" s="868" t="s">
        <v>289</v>
      </c>
      <c r="E11" s="869"/>
      <c r="F11" s="868" t="s">
        <v>292</v>
      </c>
      <c r="G11" s="869"/>
      <c r="H11" s="868" t="s">
        <v>306</v>
      </c>
      <c r="I11" s="869"/>
      <c r="J11" s="868" t="s">
        <v>306</v>
      </c>
      <c r="K11" s="869"/>
      <c r="L11" s="868" t="s">
        <v>263</v>
      </c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589" customFormat="1" ht="21" customHeight="1" x14ac:dyDescent="0.25">
      <c r="A12" s="899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0"/>
      <c r="B13" s="897" t="s">
        <v>286</v>
      </c>
      <c r="C13" s="864"/>
      <c r="D13" s="863" t="s">
        <v>291</v>
      </c>
      <c r="E13" s="864"/>
      <c r="F13" s="863" t="s">
        <v>294</v>
      </c>
      <c r="G13" s="864"/>
      <c r="H13" s="863" t="s">
        <v>307</v>
      </c>
      <c r="I13" s="864"/>
      <c r="J13" s="863"/>
      <c r="K13" s="864"/>
      <c r="L13" s="863" t="s">
        <v>387</v>
      </c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93" t="s">
        <v>254</v>
      </c>
      <c r="B14" s="901" t="s">
        <v>258</v>
      </c>
      <c r="C14" s="876"/>
      <c r="D14" s="875" t="s">
        <v>246</v>
      </c>
      <c r="E14" s="876"/>
      <c r="F14" s="875" t="s">
        <v>354</v>
      </c>
      <c r="G14" s="876"/>
      <c r="H14" s="875" t="s">
        <v>258</v>
      </c>
      <c r="I14" s="876"/>
      <c r="J14" s="875"/>
      <c r="K14" s="876"/>
      <c r="L14" s="875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589" customFormat="1" ht="21" customHeight="1" x14ac:dyDescent="0.25">
      <c r="A15" s="894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5"/>
      <c r="B16" s="889" t="s">
        <v>353</v>
      </c>
      <c r="C16" s="871"/>
      <c r="D16" s="889" t="s">
        <v>353</v>
      </c>
      <c r="E16" s="871"/>
      <c r="F16" s="870" t="s">
        <v>352</v>
      </c>
      <c r="G16" s="871"/>
      <c r="H16" s="870" t="s">
        <v>352</v>
      </c>
      <c r="I16" s="871"/>
      <c r="J16" s="870"/>
      <c r="K16" s="871"/>
      <c r="L16" s="870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64" customFormat="1" ht="21" customHeight="1" x14ac:dyDescent="0.25">
      <c r="A17" s="890" t="s">
        <v>256</v>
      </c>
      <c r="B17" s="884" t="s">
        <v>261</v>
      </c>
      <c r="C17" s="885"/>
      <c r="D17" s="884" t="s">
        <v>332</v>
      </c>
      <c r="E17" s="885"/>
      <c r="F17" s="884" t="s">
        <v>263</v>
      </c>
      <c r="G17" s="885"/>
      <c r="H17" s="884" t="s">
        <v>313</v>
      </c>
      <c r="I17" s="885"/>
      <c r="J17" s="884" t="s">
        <v>380</v>
      </c>
      <c r="K17" s="88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589" customFormat="1" ht="21" customHeight="1" x14ac:dyDescent="0.25">
      <c r="A18" s="891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2"/>
      <c r="B19" s="882"/>
      <c r="C19" s="883"/>
      <c r="D19" s="882"/>
      <c r="E19" s="883"/>
      <c r="F19" s="882" t="s">
        <v>264</v>
      </c>
      <c r="G19" s="883"/>
      <c r="H19" s="882"/>
      <c r="I19" s="883"/>
      <c r="J19" s="882"/>
      <c r="K19" s="883"/>
      <c r="L19" s="882"/>
      <c r="M19" s="883"/>
      <c r="N19" s="882"/>
      <c r="O19" s="883"/>
      <c r="P19" s="882"/>
      <c r="Q19" s="883"/>
      <c r="R19" s="882"/>
      <c r="S19" s="883"/>
      <c r="T19" s="882"/>
      <c r="U19" s="883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7" t="s">
        <v>340</v>
      </c>
      <c r="I1" s="1037"/>
      <c r="J1" s="1037"/>
      <c r="K1" s="1037"/>
      <c r="L1" s="1037"/>
      <c r="M1" s="1037"/>
      <c r="N1" s="1037"/>
      <c r="O1" s="1037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33" t="s">
        <v>236</v>
      </c>
      <c r="B2" s="934"/>
      <c r="C2" s="934"/>
      <c r="D2" s="935"/>
      <c r="F2" s="1016" t="s">
        <v>30</v>
      </c>
      <c r="G2" s="1017"/>
      <c r="H2" s="1024" t="s">
        <v>217</v>
      </c>
      <c r="I2" s="1025"/>
      <c r="J2" s="1025"/>
      <c r="K2" s="1025"/>
      <c r="L2" s="1025"/>
      <c r="M2" s="1025"/>
      <c r="N2" s="1025"/>
      <c r="O2" s="1026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9" t="s">
        <v>193</v>
      </c>
      <c r="B3" s="1010"/>
      <c r="C3" s="1010"/>
      <c r="D3" s="1011"/>
      <c r="F3" s="1018"/>
      <c r="G3" s="1019"/>
      <c r="H3" s="494" t="str">
        <f>"中級 (" &amp; HDRAG_GAMES_HBRUN_MED &amp; "場)"</f>
        <v>中級 (299場)</v>
      </c>
      <c r="I3" s="1031" t="str">
        <f>"高級 (" &amp; HDRAG_GAMES_HBRUN_EXP &amp; "場)"</f>
        <v>高級 (225場)</v>
      </c>
      <c r="J3" s="1032"/>
      <c r="K3" s="1033"/>
      <c r="L3" s="1031" t="str">
        <f>"超級 (" &amp; HDRAG_GAMES_HBRUN_MST &amp; "場)"</f>
        <v>超級 (232場)</v>
      </c>
      <c r="M3" s="1032"/>
      <c r="N3" s="1032"/>
      <c r="O3" s="1036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7">
        <f>HDRAG_AVG_HBRUN_MED_ORB</f>
        <v>2.4381270903010033</v>
      </c>
      <c r="I5" s="977">
        <f>HDRAG_AVG_HBRUN_EXP_ORB</f>
        <v>4.4133333333333331</v>
      </c>
      <c r="J5" s="977">
        <f>HDRAG_AVG_HBRUN_EXP_TAIL</f>
        <v>2</v>
      </c>
      <c r="K5" s="1028">
        <f>HDRAG_AVG_HBRUN_EXP_ORIHAL</f>
        <v>0.31555555555555553</v>
      </c>
      <c r="L5" s="977">
        <f>HDRAG_AVG_HBRUN_MST_ORB</f>
        <v>6.3965517241379306</v>
      </c>
      <c r="M5" s="977">
        <f>HDRAG_AVG_HBRUN_MST_TAIL</f>
        <v>2.0517241379310347</v>
      </c>
      <c r="N5" s="977">
        <f>HDRAG_AVG_HBRUN_MST_HORN</f>
        <v>1.9827586206896552</v>
      </c>
      <c r="O5" s="1012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7"/>
      <c r="I6" s="977"/>
      <c r="J6" s="977"/>
      <c r="K6" s="1028"/>
      <c r="L6" s="977"/>
      <c r="M6" s="978"/>
      <c r="N6" s="978"/>
      <c r="O6" s="1013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20" t="s">
        <v>35</v>
      </c>
      <c r="G7" s="1021"/>
      <c r="H7" s="1067" t="s">
        <v>217</v>
      </c>
      <c r="I7" s="1068"/>
      <c r="J7" s="1068"/>
      <c r="K7" s="1068"/>
      <c r="L7" s="1068"/>
      <c r="M7" s="1068"/>
      <c r="N7" s="1068"/>
      <c r="O7" s="1069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22"/>
      <c r="G8" s="1023"/>
      <c r="H8" s="495" t="str">
        <f>"中級 (" &amp; HDRAG_GAMES_HMERC_MED &amp; "場)"</f>
        <v>中級 (246場)</v>
      </c>
      <c r="I8" s="985" t="str">
        <f>"高級 (" &amp; HDRAG_GAMES_HMERC_EXP &amp; "場)"</f>
        <v>高級 (524場)</v>
      </c>
      <c r="J8" s="986"/>
      <c r="K8" s="995"/>
      <c r="L8" s="985" t="str">
        <f>"超級 (" &amp; HDRAG_GAMES_HMERC_MST &amp; "場)"</f>
        <v>超級 (356場)</v>
      </c>
      <c r="M8" s="986"/>
      <c r="N8" s="986"/>
      <c r="O8" s="987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70">
        <f>HDRAG_AVG_HMERC_MED_ORB</f>
        <v>2.3861788617886179</v>
      </c>
      <c r="I10" s="1014">
        <f>HDRAG_AVG_HMERC_EXP_ORB</f>
        <v>4.4217557251908399</v>
      </c>
      <c r="J10" s="979">
        <f>HDRAG_AVG_HMERC_EXP_TAIL</f>
        <v>2.0152671755725189</v>
      </c>
      <c r="K10" s="1029">
        <f>HDRAG_AVG_HMERC_EXP_ORIHAL</f>
        <v>0.35496183206106868</v>
      </c>
      <c r="L10" s="979">
        <f>HDRAG_AVG_HMERC_MST_ORB</f>
        <v>6.4241573033707864</v>
      </c>
      <c r="M10" s="979">
        <f>HDRAG_AVG_HMERC_MST_TAIL</f>
        <v>1.9213483146067416</v>
      </c>
      <c r="N10" s="979">
        <f>HDRAG_AVG_HMERC_MST_HORN</f>
        <v>2.1151685393258428</v>
      </c>
      <c r="O10" s="103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33" t="s">
        <v>237</v>
      </c>
      <c r="B11" s="934"/>
      <c r="C11" s="934"/>
      <c r="D11" s="935"/>
      <c r="F11" s="467" t="s">
        <v>210</v>
      </c>
      <c r="G11" s="468">
        <f>IF(HDRAG_HAS_REC_HMERC,HDRAG_HMERC_ITEMS + G9 + G10,0)</f>
        <v>3116</v>
      </c>
      <c r="H11" s="1071"/>
      <c r="I11" s="1015"/>
      <c r="J11" s="980"/>
      <c r="K11" s="1030"/>
      <c r="L11" s="980"/>
      <c r="M11" s="980"/>
      <c r="N11" s="980"/>
      <c r="O11" s="103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8" t="s">
        <v>31</v>
      </c>
      <c r="G12" s="1039"/>
      <c r="H12" s="1061" t="s">
        <v>217</v>
      </c>
      <c r="I12" s="1062"/>
      <c r="J12" s="1062"/>
      <c r="K12" s="1062"/>
      <c r="L12" s="1062"/>
      <c r="M12" s="1062"/>
      <c r="N12" s="1062"/>
      <c r="O12" s="1063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40"/>
      <c r="G13" s="1041"/>
      <c r="H13" s="496" t="str">
        <f>"中級 (" &amp; HDRAG_GAMES_HMID_MED &amp; "場)"</f>
        <v>中級 (803場)</v>
      </c>
      <c r="I13" s="962" t="str">
        <f>"高級 (" &amp; HDRAG_GAMES_HMID_EXP &amp; "場)"</f>
        <v>高級 (471場)</v>
      </c>
      <c r="J13" s="963"/>
      <c r="K13" s="994"/>
      <c r="L13" s="962" t="str">
        <f>"超級 (" &amp; HDRAG_GAMES_HMID_MST &amp; "場)"</f>
        <v>超級 (131場)</v>
      </c>
      <c r="M13" s="963"/>
      <c r="N13" s="963"/>
      <c r="O13" s="964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4">
        <f>HDRAG_AVG_HMID_MED_ORB</f>
        <v>2.5504358655043586</v>
      </c>
      <c r="I15" s="983">
        <f>HDRAG_AVG_HMID_EXP_ORB</f>
        <v>4.3949044585987265</v>
      </c>
      <c r="J15" s="983">
        <f>HDRAG_AVG_HMID_EXP_TAIL</f>
        <v>1.9660297239915074</v>
      </c>
      <c r="K15" s="1059">
        <f>HDRAG_AVG_HMID_EXP_ORIHAL</f>
        <v>0.32484076433121017</v>
      </c>
      <c r="L15" s="983">
        <f>HDRAG_AVG_HMID_MST_ORB</f>
        <v>6.5038167938931295</v>
      </c>
      <c r="M15" s="983">
        <f>HDRAG_AVG_HMID_MST_TAIL</f>
        <v>1.9541984732824427</v>
      </c>
      <c r="N15" s="983">
        <f>HDRAG_AVG_HMID_MST_HORN</f>
        <v>2.0839694656488548</v>
      </c>
      <c r="O15" s="1065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4"/>
      <c r="I16" s="983"/>
      <c r="J16" s="983"/>
      <c r="K16" s="1059"/>
      <c r="L16" s="983"/>
      <c r="M16" s="984"/>
      <c r="N16" s="984"/>
      <c r="O16" s="1066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42" t="s">
        <v>36</v>
      </c>
      <c r="G17" s="1043"/>
      <c r="H17" s="1050" t="s">
        <v>217</v>
      </c>
      <c r="I17" s="1051"/>
      <c r="J17" s="1051"/>
      <c r="K17" s="1051"/>
      <c r="L17" s="1051"/>
      <c r="M17" s="1051"/>
      <c r="N17" s="1051"/>
      <c r="O17" s="1052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4"/>
      <c r="G18" s="1045"/>
      <c r="H18" s="499" t="str">
        <f>"中級 (" &amp; HDRAG_GAMES_HJUP_MED &amp; "場)"</f>
        <v>中級 (443場)</v>
      </c>
      <c r="I18" s="959" t="str">
        <f>"高級 (" &amp; HDRAG_GAMES_HJUP_EXP &amp; "場)"</f>
        <v>高級 (435場)</v>
      </c>
      <c r="J18" s="960"/>
      <c r="K18" s="993"/>
      <c r="L18" s="959" t="str">
        <f>"超級 (" &amp; HDRAG_GAMES_HJUP_MST &amp; "場)"</f>
        <v>超級 (254場)</v>
      </c>
      <c r="M18" s="960"/>
      <c r="N18" s="960"/>
      <c r="O18" s="961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53">
        <f>HDRAG_AVG_HJUP_MED_ORB</f>
        <v>2.4582392776523703</v>
      </c>
      <c r="I20" s="981">
        <f>HDRAG_AVG_HJUP_EXP_ORB</f>
        <v>4.4206896551724135</v>
      </c>
      <c r="J20" s="981">
        <f>HDRAG_AVG_HJUP_EXP_TAIL</f>
        <v>2.0045977011494251</v>
      </c>
      <c r="K20" s="1060">
        <f>HDRAG_AVG_HJUP_EXP_ORIHAL</f>
        <v>0.30804597701149428</v>
      </c>
      <c r="L20" s="981">
        <f>HDRAG_AVG_HJUP_MST_ORB</f>
        <v>6.4763779527559056</v>
      </c>
      <c r="M20" s="981">
        <f>HDRAG_AVG_HJUP_MST_TAIL</f>
        <v>2.106299212598425</v>
      </c>
      <c r="N20" s="981">
        <f>HDRAG_AVG_HJUP_MST_HORN</f>
        <v>2.0393700787401574</v>
      </c>
      <c r="O20" s="1054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53"/>
      <c r="I21" s="981"/>
      <c r="J21" s="981"/>
      <c r="K21" s="1060"/>
      <c r="L21" s="981"/>
      <c r="M21" s="982"/>
      <c r="N21" s="982"/>
      <c r="O21" s="1055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6" t="s">
        <v>37</v>
      </c>
      <c r="G22" s="1047"/>
      <c r="H22" s="1056" t="s">
        <v>217</v>
      </c>
      <c r="I22" s="1057"/>
      <c r="J22" s="1057"/>
      <c r="K22" s="1057"/>
      <c r="L22" s="1057"/>
      <c r="M22" s="1057"/>
      <c r="N22" s="1057"/>
      <c r="O22" s="1058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8"/>
      <c r="G23" s="1049"/>
      <c r="H23" s="502" t="str">
        <f>"中級 (" &amp; HDRAG_GAMES_HZOD_MED &amp; "場)"</f>
        <v>中級 (241場)</v>
      </c>
      <c r="I23" s="956" t="str">
        <f>"高級 (" &amp; HDRAG_GAMES_HZOD_EXP &amp; "場)"</f>
        <v>高級 (331場)</v>
      </c>
      <c r="J23" s="957"/>
      <c r="K23" s="992"/>
      <c r="L23" s="956" t="str">
        <f>"超級 (" &amp; HDRAG_GAMES_HZOD_MST &amp; "場)"</f>
        <v>超級 (397場)</v>
      </c>
      <c r="M23" s="957"/>
      <c r="N23" s="957"/>
      <c r="O23" s="958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2">
        <f>HDRAG_AVG_HZOD_MED_ORB</f>
        <v>2.3692946058091287</v>
      </c>
      <c r="I25" s="990">
        <f>HDRAG_AVG_HZOD_EXP_ORB</f>
        <v>4.4410876132930515</v>
      </c>
      <c r="J25" s="990">
        <f>HDRAG_AVG_HZOD_EXP_TAIL</f>
        <v>1.9607250755287009</v>
      </c>
      <c r="K25" s="1007">
        <f>HDRAG_AVG_HZOD_EXP_ORIHAL</f>
        <v>0.35649546827794559</v>
      </c>
      <c r="L25" s="990">
        <f>HDRAG_AVG_HZOD_MST_ORB</f>
        <v>6.3576826196473553</v>
      </c>
      <c r="M25" s="990">
        <f>HDRAG_AVG_HZOD_MST_TAIL</f>
        <v>2.005037783375315</v>
      </c>
      <c r="N25" s="990">
        <f>HDRAG_AVG_HZOD_MST_HORN</f>
        <v>1.9899244332493702</v>
      </c>
      <c r="O25" s="1000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3"/>
      <c r="I26" s="991"/>
      <c r="J26" s="991"/>
      <c r="K26" s="1008"/>
      <c r="L26" s="991"/>
      <c r="M26" s="991"/>
      <c r="N26" s="991"/>
      <c r="O26" s="1001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4"/>
      <c r="I27" s="1005"/>
      <c r="J27" s="1005"/>
      <c r="K27" s="1005"/>
      <c r="L27" s="1005"/>
      <c r="M27" s="1005"/>
      <c r="N27" s="1005"/>
      <c r="O27" s="1006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52" t="str">
        <f>"高級 (" &amp; HDRAG_GAMES_HBRUN_EXP + HDRAG_GAMES_HMERC_EXP + HDRAG_GAMES_HMID_EXP + HDRAG_GAMES_HJUP_EXP + HDRAG_GAMES_HZOD_EXP &amp; "場)"</f>
        <v>高級 (1986場)</v>
      </c>
      <c r="J28" s="953"/>
      <c r="K28" s="954"/>
      <c r="L28" s="952" t="str">
        <f>"超級 (" &amp; HDRAG_GAMES_HBRUN_MST + HDRAG_GAMES_HMERC_MST + HDRAG_GAMES_HMID_MST + HDRAG_GAMES_HJUP_MST + HDRAG_GAMES_HZOD_MST &amp; "場)"</f>
        <v>超級 (1370場)</v>
      </c>
      <c r="M28" s="953"/>
      <c r="N28" s="953"/>
      <c r="O28" s="955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5">
        <f>AVERAGE(DATA_HDRAG_HBRUN_MED_ORB,HDRAG_AVG_HMERC_MED_ORB,HDRAG_AVG_HMID_MED_ORB,HDRAG_AVG_HJUP_MED_ORB,HDRAG_AVG_HZOD_MED_ORB)</f>
        <v>2.4381655069661865</v>
      </c>
      <c r="I30" s="967">
        <f>AVERAGE(DATA_HDRAG_HBRUN_EXP_ORB,HDRAG_AVG_HMERC_EXP_ORB,HDRAG_AVG_HMID_EXP_ORB,HDRAG_AVG_HJUP_EXP_ORB,HDRAG_AVG_HZOD_EXP_ORB)</f>
        <v>4.4134429583067902</v>
      </c>
      <c r="J30" s="967">
        <f>AVERAGE(DATA_HDRAG_HBRUN_EXP_TAIL,HDRAG_AVG_HMERC_EXP_TAIL,HDRAG_AVG_HMID_EXP_TAIL,HDRAG_AVG_HJUP_EXP_TAIL,HDRAG_AVG_HZOD_EXP_TAIL)</f>
        <v>1.9997668981495291</v>
      </c>
      <c r="K30" s="988">
        <f>AVERAGE(DATA_HDRAG_HBRUN_EXP_ORIHAL,HDRAG_AVG_HMERC_EXP_ORIHAL,HDRAG_AVG_HMID_EXP_ORIHAL,HDRAG_AVG_HJUP_EXP_ORIHAL,HDRAG_AVG_HZOD_EXP_ORIHAL)</f>
        <v>0.3159141661208808</v>
      </c>
      <c r="L30" s="967">
        <f>AVERAGE(DATA_HDRAG_HBRUN_MST_ORB,HDRAG_AVG_HMERC_MST_ORB,HDRAG_AVG_HMID_MST_ORB,HDRAG_AVG_HJUP_MST_ORB,HDRAG_AVG_HZOD_MST_ORB)</f>
        <v>6.3972967570748613</v>
      </c>
      <c r="M30" s="967">
        <f>AVERAGE(DATA_HDRAG_HBRUN_MST_TAIL,HDRAG_AVG_HMERC_MST_TAIL,HDRAG_AVG_HMID_MST_TAIL,HDRAG_AVG_HJUP_MST_TAIL,HDRAG_AVG_HZOD_MST_TAIL)</f>
        <v>2.0507918804400971</v>
      </c>
      <c r="N30" s="967">
        <f>AVERAGE(DATA_HDRAG_HBRUN_MST_HORN,HDRAG_AVG_HMERC_MST_HORN,HDRAG_AVG_HMID_MST_HORN,HDRAG_AVG_HJUP_MST_HORN,HDRAG_AVG_HZOD_MST_HORN)</f>
        <v>1.9840187818515433</v>
      </c>
      <c r="O30" s="99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6"/>
      <c r="I31" s="968"/>
      <c r="J31" s="968"/>
      <c r="K31" s="989"/>
      <c r="L31" s="968"/>
      <c r="M31" s="968"/>
      <c r="N31" s="968"/>
      <c r="O31" s="999"/>
    </row>
    <row r="32" spans="1:18" ht="15.75" customHeight="1" x14ac:dyDescent="0.25">
      <c r="G32" s="311"/>
      <c r="R32" s="239"/>
    </row>
    <row r="33" spans="3:18" ht="28.5" customHeight="1" x14ac:dyDescent="0.25">
      <c r="F33" s="996"/>
      <c r="G33" s="99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31" t="s">
        <v>24</v>
      </c>
      <c r="Q33" s="932"/>
      <c r="R33" s="581" t="s">
        <v>296</v>
      </c>
    </row>
    <row r="34" spans="3:18" ht="16.5" customHeight="1" x14ac:dyDescent="0.25">
      <c r="F34" s="973" t="s">
        <v>30</v>
      </c>
      <c r="G34" s="974"/>
      <c r="H34" s="907" t="s">
        <v>226</v>
      </c>
      <c r="I34" s="905" t="s">
        <v>223</v>
      </c>
      <c r="J34" s="905" t="s">
        <v>223</v>
      </c>
      <c r="K34" s="905" t="s">
        <v>226</v>
      </c>
      <c r="L34" s="905" t="s">
        <v>223</v>
      </c>
      <c r="M34" s="905" t="s">
        <v>223</v>
      </c>
      <c r="N34" s="905" t="s">
        <v>226</v>
      </c>
      <c r="O34" s="913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5"/>
      <c r="G35" s="976"/>
      <c r="H35" s="908"/>
      <c r="I35" s="906"/>
      <c r="J35" s="906"/>
      <c r="K35" s="906"/>
      <c r="L35" s="906"/>
      <c r="M35" s="906"/>
      <c r="N35" s="906"/>
      <c r="O35" s="914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9" t="s">
        <v>35</v>
      </c>
      <c r="G38" s="970"/>
      <c r="H38" s="915" t="s">
        <v>226</v>
      </c>
      <c r="I38" s="909" t="s">
        <v>223</v>
      </c>
      <c r="J38" s="909" t="s">
        <v>223</v>
      </c>
      <c r="K38" s="909" t="s">
        <v>226</v>
      </c>
      <c r="L38" s="909" t="s">
        <v>223</v>
      </c>
      <c r="M38" s="909" t="s">
        <v>226</v>
      </c>
      <c r="N38" s="909" t="s">
        <v>226</v>
      </c>
      <c r="O38" s="911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71"/>
      <c r="G39" s="972"/>
      <c r="H39" s="916"/>
      <c r="I39" s="910"/>
      <c r="J39" s="910"/>
      <c r="K39" s="910"/>
      <c r="L39" s="910"/>
      <c r="M39" s="910"/>
      <c r="N39" s="910"/>
      <c r="O39" s="912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21" t="s">
        <v>31</v>
      </c>
      <c r="G42" s="922"/>
      <c r="H42" s="919" t="s">
        <v>226</v>
      </c>
      <c r="I42" s="917" t="s">
        <v>226</v>
      </c>
      <c r="J42" s="917" t="s">
        <v>223</v>
      </c>
      <c r="K42" s="917" t="s">
        <v>226</v>
      </c>
      <c r="L42" s="917" t="s">
        <v>226</v>
      </c>
      <c r="M42" s="917" t="s">
        <v>226</v>
      </c>
      <c r="N42" s="917" t="s">
        <v>223</v>
      </c>
      <c r="O42" s="92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23"/>
      <c r="G43" s="924"/>
      <c r="H43" s="920"/>
      <c r="I43" s="918"/>
      <c r="J43" s="918"/>
      <c r="K43" s="918"/>
      <c r="L43" s="918"/>
      <c r="M43" s="918"/>
      <c r="N43" s="918"/>
      <c r="O43" s="93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6" t="s">
        <v>36</v>
      </c>
      <c r="G46" s="947"/>
      <c r="H46" s="950" t="s">
        <v>223</v>
      </c>
      <c r="I46" s="925" t="s">
        <v>226</v>
      </c>
      <c r="J46" s="925" t="s">
        <v>226</v>
      </c>
      <c r="K46" s="925" t="s">
        <v>226</v>
      </c>
      <c r="L46" s="925" t="s">
        <v>223</v>
      </c>
      <c r="M46" s="925" t="s">
        <v>223</v>
      </c>
      <c r="N46" s="925" t="s">
        <v>223</v>
      </c>
      <c r="O46" s="92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48"/>
      <c r="G47" s="949"/>
      <c r="H47" s="951"/>
      <c r="I47" s="926"/>
      <c r="J47" s="926"/>
      <c r="K47" s="926"/>
      <c r="L47" s="926"/>
      <c r="M47" s="926"/>
      <c r="N47" s="926"/>
      <c r="O47" s="92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42" t="s">
        <v>37</v>
      </c>
      <c r="G50" s="943"/>
      <c r="H50" s="940" t="s">
        <v>226</v>
      </c>
      <c r="I50" s="938" t="s">
        <v>226</v>
      </c>
      <c r="J50" s="938" t="s">
        <v>223</v>
      </c>
      <c r="K50" s="938" t="s">
        <v>223</v>
      </c>
      <c r="L50" s="938" t="s">
        <v>226</v>
      </c>
      <c r="M50" s="938" t="s">
        <v>223</v>
      </c>
      <c r="N50" s="938" t="s">
        <v>226</v>
      </c>
      <c r="O50" s="936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44"/>
      <c r="G51" s="945"/>
      <c r="H51" s="941"/>
      <c r="I51" s="939"/>
      <c r="J51" s="939"/>
      <c r="K51" s="939"/>
      <c r="L51" s="939"/>
      <c r="M51" s="939"/>
      <c r="N51" s="939"/>
      <c r="O51" s="937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2" t="s">
        <v>429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670"/>
      <c r="M1" s="670"/>
    </row>
    <row r="2" spans="1:21" s="667" customFormat="1" ht="21" customHeight="1" x14ac:dyDescent="0.25">
      <c r="A2" s="903" t="s">
        <v>319</v>
      </c>
      <c r="B2" s="856"/>
      <c r="C2" s="857"/>
      <c r="D2" s="856"/>
      <c r="E2" s="857"/>
      <c r="F2" s="856"/>
      <c r="G2" s="857"/>
      <c r="H2" s="856"/>
      <c r="I2" s="857"/>
      <c r="J2" s="856"/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589" customFormat="1" ht="21" customHeight="1" x14ac:dyDescent="0.25">
      <c r="A3" s="904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4"/>
      <c r="B4" s="851"/>
      <c r="C4" s="852"/>
      <c r="D4" s="851"/>
      <c r="E4" s="852"/>
      <c r="F4" s="851"/>
      <c r="G4" s="858"/>
      <c r="H4" s="858"/>
      <c r="I4" s="852"/>
      <c r="J4" s="851"/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664" customFormat="1" ht="21" customHeight="1" x14ac:dyDescent="0.25">
      <c r="A5" s="877" t="s">
        <v>320</v>
      </c>
      <c r="B5" s="1074" t="s">
        <v>426</v>
      </c>
      <c r="C5" s="862"/>
      <c r="D5" s="1074" t="s">
        <v>426</v>
      </c>
      <c r="E5" s="862"/>
      <c r="F5" s="861" t="s">
        <v>431</v>
      </c>
      <c r="G5" s="862"/>
      <c r="H5" s="861" t="s">
        <v>433</v>
      </c>
      <c r="I5" s="862"/>
      <c r="J5" s="861" t="s">
        <v>412</v>
      </c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590" customFormat="1" ht="21" customHeight="1" x14ac:dyDescent="0.25">
      <c r="A6" s="878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9"/>
      <c r="B7" s="1078" t="s">
        <v>427</v>
      </c>
      <c r="C7" s="860"/>
      <c r="D7" s="859" t="s">
        <v>428</v>
      </c>
      <c r="E7" s="860"/>
      <c r="F7" s="859" t="s">
        <v>432</v>
      </c>
      <c r="G7" s="860"/>
      <c r="H7" s="859" t="s">
        <v>436</v>
      </c>
      <c r="I7" s="860"/>
      <c r="J7" s="859" t="s">
        <v>435</v>
      </c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668" customFormat="1" ht="21" customHeight="1" x14ac:dyDescent="0.25">
      <c r="A8" s="898" t="s">
        <v>321</v>
      </c>
      <c r="B8" s="896" t="s">
        <v>293</v>
      </c>
      <c r="C8" s="869"/>
      <c r="D8" s="868" t="s">
        <v>342</v>
      </c>
      <c r="E8" s="869"/>
      <c r="F8" s="868" t="s">
        <v>345</v>
      </c>
      <c r="G8" s="869"/>
      <c r="H8" s="868" t="s">
        <v>347</v>
      </c>
      <c r="I8" s="869"/>
      <c r="J8" s="868" t="s">
        <v>318</v>
      </c>
      <c r="K8" s="869"/>
      <c r="L8" s="868"/>
      <c r="M8" s="869"/>
      <c r="N8" s="868"/>
      <c r="O8" s="869"/>
      <c r="P8" s="868"/>
      <c r="Q8" s="869"/>
      <c r="R8" s="868"/>
      <c r="S8" s="869"/>
      <c r="T8" s="868"/>
      <c r="U8" s="869"/>
    </row>
    <row r="9" spans="1:21" s="589" customFormat="1" ht="21" customHeight="1" x14ac:dyDescent="0.25">
      <c r="A9" s="899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9"/>
      <c r="B10" s="1075" t="s">
        <v>341</v>
      </c>
      <c r="C10" s="1076"/>
      <c r="D10" s="1077" t="s">
        <v>344</v>
      </c>
      <c r="E10" s="1076"/>
      <c r="F10" s="1077" t="s">
        <v>346</v>
      </c>
      <c r="G10" s="1076"/>
      <c r="H10" s="1077" t="s">
        <v>349</v>
      </c>
      <c r="I10" s="1076"/>
      <c r="J10" s="1077" t="s">
        <v>350</v>
      </c>
      <c r="K10" s="1076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668" customFormat="1" ht="21" customHeight="1" x14ac:dyDescent="0.25">
      <c r="A11" s="899"/>
      <c r="B11" s="896" t="s">
        <v>333</v>
      </c>
      <c r="C11" s="869"/>
      <c r="D11" s="868" t="s">
        <v>420</v>
      </c>
      <c r="E11" s="869"/>
      <c r="F11" s="868" t="s">
        <v>424</v>
      </c>
      <c r="G11" s="869"/>
      <c r="H11" s="868"/>
      <c r="I11" s="869"/>
      <c r="J11" s="868"/>
      <c r="K11" s="869"/>
      <c r="L11" s="868"/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589" customFormat="1" ht="21" customHeight="1" x14ac:dyDescent="0.25">
      <c r="A12" s="899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0"/>
      <c r="B13" s="1075" t="s">
        <v>386</v>
      </c>
      <c r="C13" s="1076"/>
      <c r="D13" s="1077"/>
      <c r="E13" s="1076"/>
      <c r="F13" s="1077" t="s">
        <v>386</v>
      </c>
      <c r="G13" s="1076"/>
      <c r="H13" s="1077"/>
      <c r="I13" s="1076"/>
      <c r="J13" s="1077"/>
      <c r="K13" s="1076"/>
      <c r="L13" s="863"/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72" t="s">
        <v>322</v>
      </c>
      <c r="B14" s="875" t="s">
        <v>355</v>
      </c>
      <c r="C14" s="876"/>
      <c r="D14" s="875" t="s">
        <v>364</v>
      </c>
      <c r="E14" s="876"/>
      <c r="F14" s="875" t="s">
        <v>363</v>
      </c>
      <c r="G14" s="876"/>
      <c r="H14" s="875" t="s">
        <v>361</v>
      </c>
      <c r="I14" s="876"/>
      <c r="J14" s="875" t="s">
        <v>370</v>
      </c>
      <c r="K14" s="876"/>
      <c r="L14" s="901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589" customFormat="1" ht="21" customHeight="1" x14ac:dyDescent="0.25">
      <c r="A15" s="873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3"/>
      <c r="B16" s="870" t="s">
        <v>360</v>
      </c>
      <c r="C16" s="871"/>
      <c r="D16" s="1079" t="s">
        <v>367</v>
      </c>
      <c r="E16" s="1080"/>
      <c r="F16" s="870" t="s">
        <v>369</v>
      </c>
      <c r="G16" s="871"/>
      <c r="H16" s="870" t="s">
        <v>365</v>
      </c>
      <c r="I16" s="871"/>
      <c r="J16" s="870" t="s">
        <v>365</v>
      </c>
      <c r="K16" s="871"/>
      <c r="L16" s="889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57" customFormat="1" ht="21" customHeight="1" x14ac:dyDescent="0.25">
      <c r="A17" s="873"/>
      <c r="B17" s="875" t="s">
        <v>355</v>
      </c>
      <c r="C17" s="876"/>
      <c r="D17" s="875" t="s">
        <v>359</v>
      </c>
      <c r="E17" s="876"/>
      <c r="F17" s="875" t="s">
        <v>364</v>
      </c>
      <c r="G17" s="876"/>
      <c r="H17" s="1072" t="s">
        <v>417</v>
      </c>
      <c r="I17" s="1073"/>
      <c r="J17" s="1072"/>
      <c r="K17" s="1073"/>
      <c r="L17" s="875"/>
      <c r="M17" s="876"/>
      <c r="N17" s="875"/>
      <c r="O17" s="876"/>
      <c r="P17" s="875"/>
      <c r="Q17" s="876"/>
      <c r="R17" s="875"/>
      <c r="S17" s="876"/>
      <c r="T17" s="875"/>
      <c r="U17" s="876"/>
    </row>
    <row r="18" spans="1:21" s="589" customFormat="1" ht="21" customHeight="1" x14ac:dyDescent="0.25">
      <c r="A18" s="873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3"/>
      <c r="B19" s="870" t="s">
        <v>358</v>
      </c>
      <c r="C19" s="871"/>
      <c r="D19" s="870" t="s">
        <v>376</v>
      </c>
      <c r="E19" s="871"/>
      <c r="F19" s="870" t="s">
        <v>366</v>
      </c>
      <c r="G19" s="871"/>
      <c r="H19" s="870"/>
      <c r="I19" s="871"/>
      <c r="J19" s="870"/>
      <c r="K19" s="871"/>
      <c r="L19" s="870"/>
      <c r="M19" s="871"/>
      <c r="N19" s="870"/>
      <c r="O19" s="871"/>
      <c r="P19" s="870"/>
      <c r="Q19" s="871"/>
      <c r="R19" s="870"/>
      <c r="S19" s="871"/>
      <c r="T19" s="870"/>
      <c r="U19" s="871"/>
    </row>
    <row r="20" spans="1:21" s="157" customFormat="1" ht="21" customHeight="1" x14ac:dyDescent="0.25">
      <c r="A20" s="873"/>
      <c r="B20" s="1072" t="s">
        <v>370</v>
      </c>
      <c r="C20" s="1073"/>
      <c r="D20" s="1072" t="s">
        <v>258</v>
      </c>
      <c r="E20" s="1073"/>
      <c r="F20" s="875" t="s">
        <v>355</v>
      </c>
      <c r="G20" s="876"/>
      <c r="H20" s="1072" t="s">
        <v>379</v>
      </c>
      <c r="I20" s="1073"/>
      <c r="J20" s="1072"/>
      <c r="K20" s="1073"/>
      <c r="L20" s="875"/>
      <c r="M20" s="876"/>
      <c r="N20" s="875"/>
      <c r="O20" s="876"/>
      <c r="P20" s="875"/>
      <c r="Q20" s="876"/>
      <c r="R20" s="875"/>
      <c r="S20" s="876"/>
      <c r="T20" s="875"/>
      <c r="U20" s="876"/>
    </row>
    <row r="21" spans="1:21" s="589" customFormat="1" ht="21" customHeight="1" x14ac:dyDescent="0.25">
      <c r="A21" s="873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4"/>
      <c r="B22" s="870" t="s">
        <v>378</v>
      </c>
      <c r="C22" s="871"/>
      <c r="D22" s="870" t="s">
        <v>378</v>
      </c>
      <c r="E22" s="871"/>
      <c r="F22" s="870" t="s">
        <v>378</v>
      </c>
      <c r="G22" s="871"/>
      <c r="H22" s="870" t="s">
        <v>378</v>
      </c>
      <c r="I22" s="871"/>
      <c r="J22" s="870"/>
      <c r="K22" s="871"/>
      <c r="L22" s="870"/>
      <c r="M22" s="871"/>
      <c r="N22" s="870"/>
      <c r="O22" s="871"/>
      <c r="P22" s="870"/>
      <c r="Q22" s="871"/>
      <c r="R22" s="870"/>
      <c r="S22" s="871"/>
      <c r="T22" s="870"/>
      <c r="U22" s="871"/>
    </row>
    <row r="23" spans="1:21" s="669" customFormat="1" ht="21" customHeight="1" x14ac:dyDescent="0.25">
      <c r="A23" s="890" t="s">
        <v>323</v>
      </c>
      <c r="B23" s="1081"/>
      <c r="C23" s="1082"/>
      <c r="D23" s="1081"/>
      <c r="E23" s="1082"/>
      <c r="F23" s="884"/>
      <c r="G23" s="885"/>
      <c r="H23" s="884"/>
      <c r="I23" s="885"/>
      <c r="J23" s="884"/>
      <c r="K23" s="885"/>
      <c r="L23" s="884"/>
      <c r="M23" s="885"/>
      <c r="N23" s="884"/>
      <c r="O23" s="885"/>
      <c r="P23" s="884"/>
      <c r="Q23" s="885"/>
      <c r="R23" s="884"/>
      <c r="S23" s="885"/>
      <c r="T23" s="884"/>
      <c r="U23" s="885"/>
    </row>
    <row r="24" spans="1:21" s="589" customFormat="1" ht="21" customHeight="1" x14ac:dyDescent="0.25">
      <c r="A24" s="891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2"/>
      <c r="B25" s="882"/>
      <c r="C25" s="883"/>
      <c r="D25" s="882"/>
      <c r="E25" s="883"/>
      <c r="F25" s="882"/>
      <c r="G25" s="883"/>
      <c r="H25" s="882"/>
      <c r="I25" s="883"/>
      <c r="J25" s="882"/>
      <c r="K25" s="883"/>
      <c r="L25" s="882"/>
      <c r="M25" s="883"/>
      <c r="N25" s="882"/>
      <c r="O25" s="883"/>
      <c r="P25" s="882"/>
      <c r="Q25" s="883"/>
      <c r="R25" s="882"/>
      <c r="S25" s="883"/>
      <c r="T25" s="882"/>
      <c r="U25" s="883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abSelected="1"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83" t="s">
        <v>317</v>
      </c>
      <c r="D2" s="1084"/>
      <c r="E2" s="1085"/>
      <c r="F2" s="1105" t="s">
        <v>327</v>
      </c>
      <c r="G2" s="1105" t="s">
        <v>328</v>
      </c>
      <c r="I2" s="1107" t="s">
        <v>375</v>
      </c>
      <c r="J2" s="1086" t="s">
        <v>66</v>
      </c>
      <c r="K2" s="1083" t="s">
        <v>455</v>
      </c>
      <c r="L2" s="1085"/>
      <c r="M2" s="1083" t="s">
        <v>214</v>
      </c>
      <c r="N2" s="1084"/>
      <c r="O2" s="1085"/>
      <c r="P2" s="1083" t="s">
        <v>219</v>
      </c>
      <c r="Q2" s="1084"/>
      <c r="R2" s="1084"/>
      <c r="S2" s="1085"/>
      <c r="T2" s="219"/>
      <c r="U2" s="1122" t="s">
        <v>452</v>
      </c>
      <c r="V2" s="1123"/>
      <c r="W2" s="112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06"/>
      <c r="G3" s="1106"/>
      <c r="I3" s="1108"/>
      <c r="J3" s="1087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992</v>
      </c>
      <c r="D4" s="619">
        <v>965</v>
      </c>
      <c r="E4" s="619"/>
      <c r="F4" s="619">
        <v>20</v>
      </c>
      <c r="G4" s="620">
        <v>15</v>
      </c>
      <c r="I4" s="1108"/>
      <c r="J4" s="612" t="s">
        <v>319</v>
      </c>
      <c r="K4" s="672">
        <f>IFERROR(COUNT(AGITO_FLAME_STD_SILVER),"")</f>
        <v>77</v>
      </c>
      <c r="L4" s="635">
        <f>IFERROR(AVERAGE(AGITO_FLAME_STD_SILVER) + 2, "")</f>
        <v>7.2337662337662341</v>
      </c>
      <c r="M4" s="672">
        <f>IFERROR(COUNT(AGITO_FLAME_EXP_SILVER),"")</f>
        <v>590</v>
      </c>
      <c r="N4" s="635">
        <f>IFERROR(AVERAGE(AGITO_FLAME_EXP_SILVER),"")</f>
        <v>2.5677966101694913</v>
      </c>
      <c r="O4" s="636">
        <f>IFERROR(AVERAGE(AGITO_FLAME_EXP_GOLD),"")</f>
        <v>3.4728813559322034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08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08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08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8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9"/>
      <c r="J9" s="681" t="s">
        <v>211</v>
      </c>
      <c r="K9" s="682">
        <f>IFERROR(COUNT(AGITO_FLAME_STD_SILVER,AGITO_WATER_STD_SILVER,AGITO_WIND_STD_SILVER,AGITO_LIGHT_STD_SILVER,AGITO_SHADOW_STD_SILVER),"")</f>
        <v>763</v>
      </c>
      <c r="L9" s="685">
        <f>IFERROR(AVERAGE(AGITO_FLAME_STD_SILVER,AGITO_WATER_STD_SILVER,AGITO_WIND_STD_SILVER,AGITO_LIGHT_STD_SILVER,AGITO_SHADOW_STD_SILVER) + 2,"")</f>
        <v>7.1965923984272608</v>
      </c>
      <c r="M9" s="682">
        <f>IFERROR(COUNT(AGITO_FLAME_EXP_SILVER,AGITO_WATER_EXP_SILVER,AGITO_WIND_EXP_SILVER,AGITO_LIGHT_EXP_SILVER,AGITO_SHADOW_EXP_SILVER),"")</f>
        <v>2999</v>
      </c>
      <c r="N9" s="685">
        <f>IFERROR(AVERAGE(AGITO_FLAME_EXP_SILVER,AGITO_WATER_EXP_SILVER,AGITO_WIND_EXP_SILVER,AGITO_LIGHT_EXP_SILVER,AGITO_SHADOW_EXP_SILVER),"")</f>
        <v>2.5995331777259088</v>
      </c>
      <c r="O9" s="683">
        <f>IFERROR(AVERAGE(AGITO_FLAME_EXP_GOLD,AGITO_WATER_EXP_GOLD,AGITO_WIND_EXP_GOLD,AGITO_LIGHT_EXP_GOLD,AGITO_SHADOW_EXP_GOLD),"")</f>
        <v>3.4721573857952652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093" t="s">
        <v>38</v>
      </c>
      <c r="D10" s="1094"/>
      <c r="E10" s="1094"/>
      <c r="F10" s="1095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092" t="s">
        <v>65</v>
      </c>
      <c r="D11" s="1090"/>
      <c r="E11" s="1090" t="s">
        <v>64</v>
      </c>
      <c r="F11" s="1091"/>
      <c r="G11" s="740"/>
      <c r="I11" s="1112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0" t="s">
        <v>24</v>
      </c>
      <c r="T11" s="1111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73" t="s">
        <v>319</v>
      </c>
      <c r="C12" s="1096">
        <f>IF(ISBLANK(G4),"",INDEX(DATA_AGITO_BUILDING_25,G4+ 1, 3))</f>
        <v>0</v>
      </c>
      <c r="D12" s="1096"/>
      <c r="E12" s="1096">
        <f>IF(ISBLANK(G4),"",INDEX(DATA_AGITO_BUILDING_25,G4 + 1, 4))</f>
        <v>0</v>
      </c>
      <c r="F12" s="1097"/>
      <c r="G12" s="739"/>
      <c r="I12" s="1113"/>
      <c r="J12" s="1118">
        <v>614</v>
      </c>
      <c r="K12" s="1103">
        <v>614</v>
      </c>
      <c r="L12" s="1103">
        <v>614</v>
      </c>
      <c r="M12" s="1103">
        <v>614</v>
      </c>
      <c r="N12" s="1103">
        <v>614</v>
      </c>
      <c r="O12" s="1103">
        <v>614</v>
      </c>
      <c r="P12" s="1103">
        <v>614</v>
      </c>
      <c r="Q12" s="1103">
        <v>614</v>
      </c>
      <c r="R12" s="746" cm="1">
        <f t="array" ref="R12">IF(ISBLANK(C4),"",(SUM(J15:Q15) + C4) / AGITO_WEAPON_MUB_614_SILVER)</f>
        <v>12.96</v>
      </c>
      <c r="S12" s="592" cm="1">
        <f t="array" ref="S12">IF(ISBLANK(C4),"",-(F4 * AGITO_WEAPON_MUB_614_SILVER - SUM(J15:Q15) - C4))</f>
        <v>-1408</v>
      </c>
      <c r="T12" s="735" t="s">
        <v>65</v>
      </c>
      <c r="U12" s="770">
        <f>IF(AND(K4&gt;0,S12&lt;0), _xlfn.CEILING.MATH(-S12/L4),"")</f>
        <v>195</v>
      </c>
      <c r="V12" s="771">
        <f>IF(AND(M4&gt;0,S12&lt;0), _xlfn.CEILING.MATH(-S12/N4),"")</f>
        <v>549</v>
      </c>
      <c r="W12" s="772" t="s">
        <v>131</v>
      </c>
      <c r="X12" s="645">
        <f>IFERROR((-F4 * AGITO_WEAPON_MUB_614_SILVER - S12)/(-F4 * AGITO_WEAPON_MUB_614_SILVER),"")</f>
        <v>0.64800000000000002</v>
      </c>
    </row>
    <row r="13" spans="1:26" s="284" customFormat="1" ht="18.95" customHeight="1" x14ac:dyDescent="0.25">
      <c r="B13" s="975"/>
      <c r="C13" s="1098"/>
      <c r="D13" s="1098"/>
      <c r="E13" s="1098"/>
      <c r="F13" s="1099"/>
      <c r="G13" s="739"/>
      <c r="I13" s="1113"/>
      <c r="J13" s="1119"/>
      <c r="K13" s="1104"/>
      <c r="L13" s="1104"/>
      <c r="M13" s="1104"/>
      <c r="N13" s="1104"/>
      <c r="O13" s="1104"/>
      <c r="P13" s="1104"/>
      <c r="Q13" s="1104"/>
      <c r="R13" s="747" cm="1">
        <f t="array" ref="R13">IF(ISBLANK(D4),"",(SUM(J16:Q16) + D4) / AGITO_WEAPON_MUB_614_GOLD)</f>
        <v>14.433333333333334</v>
      </c>
      <c r="S13" s="593" cm="1">
        <f t="array" ref="S13">IF(ISBLANK(D4),"",-(F4 * AGITO_WEAPON_MUB_614_GOLD - SUM(J16:Q16) - D4))</f>
        <v>-835</v>
      </c>
      <c r="T13" s="733" t="s">
        <v>64</v>
      </c>
      <c r="U13" s="773" t="s">
        <v>131</v>
      </c>
      <c r="V13" s="774">
        <f>IF(AND(M4&gt;0,S13&lt;0), _xlfn.CEILING.MATH(-S13/O4),"")</f>
        <v>241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0.72166666666666668</v>
      </c>
    </row>
    <row r="14" spans="1:26" s="284" customFormat="1" ht="18.95" customHeight="1" x14ac:dyDescent="0.25">
      <c r="B14" s="975"/>
      <c r="C14" s="1098"/>
      <c r="D14" s="1098"/>
      <c r="E14" s="1098"/>
      <c r="F14" s="1099"/>
      <c r="G14" s="739"/>
      <c r="I14" s="1113"/>
      <c r="J14" s="1119"/>
      <c r="K14" s="1104"/>
      <c r="L14" s="1104"/>
      <c r="M14" s="1104"/>
      <c r="N14" s="1104"/>
      <c r="O14" s="1104"/>
      <c r="P14" s="1104"/>
      <c r="Q14" s="1104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13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13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13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71" t="s">
        <v>320</v>
      </c>
      <c r="C18" s="1132">
        <f>IF(ISBLANK(G5),"",INDEX(DATA_AGITO_BUILDING_25,G5+ 1, 3))</f>
        <v>0</v>
      </c>
      <c r="D18" s="1132"/>
      <c r="E18" s="1132">
        <f>IF(ISBLANK(G5),"",INDEX(DATA_AGITO_BUILDING_25,G5+ 1, 4))</f>
        <v>0</v>
      </c>
      <c r="F18" s="1133"/>
      <c r="G18" s="739"/>
      <c r="I18" s="1113"/>
      <c r="J18" s="1117">
        <v>614</v>
      </c>
      <c r="K18" s="1102">
        <v>614</v>
      </c>
      <c r="L18" s="1102">
        <v>614</v>
      </c>
      <c r="M18" s="1102">
        <v>614</v>
      </c>
      <c r="N18" s="1102">
        <v>614</v>
      </c>
      <c r="O18" s="1102">
        <v>614</v>
      </c>
      <c r="P18" s="1102">
        <v>614</v>
      </c>
      <c r="Q18" s="1102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71"/>
      <c r="C19" s="1132"/>
      <c r="D19" s="1132"/>
      <c r="E19" s="1132"/>
      <c r="F19" s="1133"/>
      <c r="G19" s="739"/>
      <c r="I19" s="1113"/>
      <c r="J19" s="1117"/>
      <c r="K19" s="1102"/>
      <c r="L19" s="1102"/>
      <c r="M19" s="1102"/>
      <c r="N19" s="1102"/>
      <c r="O19" s="1102"/>
      <c r="P19" s="1102"/>
      <c r="Q19" s="1102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71"/>
      <c r="C20" s="1132"/>
      <c r="D20" s="1132"/>
      <c r="E20" s="1132"/>
      <c r="F20" s="1133"/>
      <c r="G20" s="739"/>
      <c r="I20" s="1113"/>
      <c r="J20" s="1117"/>
      <c r="K20" s="1102"/>
      <c r="L20" s="1102"/>
      <c r="M20" s="1102"/>
      <c r="N20" s="1102"/>
      <c r="O20" s="1102"/>
      <c r="P20" s="1102"/>
      <c r="Q20" s="1102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13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13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13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23" t="s">
        <v>321</v>
      </c>
      <c r="C24" s="1134">
        <f>IF(ISBLANK(G6),"",INDEX(DATA_AGITO_BUILDING_25,G6+ 1, 1))</f>
        <v>0</v>
      </c>
      <c r="D24" s="1134"/>
      <c r="E24" s="1134">
        <f>IF(ISBLANK(G6),"",INDEX(DATA_AGITO_BUILDING_25,G6+ 1, 2))</f>
        <v>0</v>
      </c>
      <c r="F24" s="1135"/>
      <c r="G24" s="739"/>
      <c r="I24" s="1113"/>
      <c r="J24" s="1100">
        <v>624</v>
      </c>
      <c r="K24" s="1101">
        <v>624</v>
      </c>
      <c r="L24" s="1101">
        <v>624</v>
      </c>
      <c r="M24" s="1101">
        <v>624</v>
      </c>
      <c r="N24" s="1101">
        <v>624</v>
      </c>
      <c r="O24" s="1101">
        <v>624</v>
      </c>
      <c r="P24" s="1101">
        <v>624</v>
      </c>
      <c r="Q24" s="1101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923"/>
      <c r="C25" s="1134"/>
      <c r="D25" s="1134"/>
      <c r="E25" s="1134"/>
      <c r="F25" s="1135"/>
      <c r="G25" s="739"/>
      <c r="I25" s="1113"/>
      <c r="J25" s="1100"/>
      <c r="K25" s="1101"/>
      <c r="L25" s="1101"/>
      <c r="M25" s="1101"/>
      <c r="N25" s="1101"/>
      <c r="O25" s="1101"/>
      <c r="P25" s="1101"/>
      <c r="Q25" s="1101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923"/>
      <c r="C26" s="1134"/>
      <c r="D26" s="1134"/>
      <c r="E26" s="1134"/>
      <c r="F26" s="1135"/>
      <c r="G26" s="739"/>
      <c r="I26" s="1113"/>
      <c r="J26" s="1100"/>
      <c r="K26" s="1101"/>
      <c r="L26" s="1101"/>
      <c r="M26" s="1101"/>
      <c r="N26" s="1101"/>
      <c r="O26" s="1101"/>
      <c r="P26" s="1101"/>
      <c r="Q26" s="1101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13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13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13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48" t="s">
        <v>322</v>
      </c>
      <c r="C30" s="1129">
        <f>IF(ISBLANK(G7),"",INDEX(DATA_AGITO_BUILDING_25,G7+ 1, 3))</f>
        <v>0</v>
      </c>
      <c r="D30" s="1129"/>
      <c r="E30" s="1129">
        <f>IF(ISBLANK(G7),"",INDEX(DATA_AGITO_BUILDING_25,G7+ 1, 4))</f>
        <v>0</v>
      </c>
      <c r="F30" s="1130"/>
      <c r="G30" s="739"/>
      <c r="I30" s="1113"/>
      <c r="J30" s="1121">
        <v>614</v>
      </c>
      <c r="K30" s="1120">
        <v>614</v>
      </c>
      <c r="L30" s="1120">
        <v>614</v>
      </c>
      <c r="M30" s="1120">
        <v>614</v>
      </c>
      <c r="N30" s="1120">
        <v>614</v>
      </c>
      <c r="O30" s="1120">
        <v>614</v>
      </c>
      <c r="P30" s="1120">
        <v>614</v>
      </c>
      <c r="Q30" s="1120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8"/>
      <c r="C31" s="1129"/>
      <c r="D31" s="1129"/>
      <c r="E31" s="1129"/>
      <c r="F31" s="1130"/>
      <c r="G31" s="739"/>
      <c r="I31" s="1113"/>
      <c r="J31" s="1121"/>
      <c r="K31" s="1120"/>
      <c r="L31" s="1120"/>
      <c r="M31" s="1120"/>
      <c r="N31" s="1120"/>
      <c r="O31" s="1120"/>
      <c r="P31" s="1120"/>
      <c r="Q31" s="1120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948"/>
      <c r="C32" s="1129"/>
      <c r="D32" s="1129"/>
      <c r="E32" s="1129"/>
      <c r="F32" s="1130"/>
      <c r="G32" s="739"/>
      <c r="I32" s="1113"/>
      <c r="J32" s="1121"/>
      <c r="K32" s="1120"/>
      <c r="L32" s="1120"/>
      <c r="M32" s="1120"/>
      <c r="N32" s="1120"/>
      <c r="O32" s="1120"/>
      <c r="P32" s="1120"/>
      <c r="Q32" s="1120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13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13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13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31" t="s">
        <v>323</v>
      </c>
      <c r="C36" s="1125" t="str">
        <f>IF(ISBLANK(G8),"",INDEX(DATA_AGITO_BUILDING_25,G8+ 1, 3))</f>
        <v/>
      </c>
      <c r="D36" s="1125"/>
      <c r="E36" s="1125" t="str">
        <f>IF(ISBLANK(G8),"",INDEX(DATA_AGITO_BUILDING_25,G8+ 1, 4))</f>
        <v/>
      </c>
      <c r="F36" s="1126"/>
      <c r="G36" s="739"/>
      <c r="I36" s="1113"/>
      <c r="J36" s="1115"/>
      <c r="K36" s="1088"/>
      <c r="L36" s="1088"/>
      <c r="M36" s="1088"/>
      <c r="N36" s="1088"/>
      <c r="O36" s="1088"/>
      <c r="P36" s="1088"/>
      <c r="Q36" s="1088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31"/>
      <c r="C37" s="1125"/>
      <c r="D37" s="1125"/>
      <c r="E37" s="1125"/>
      <c r="F37" s="1126"/>
      <c r="G37" s="739"/>
      <c r="I37" s="1113"/>
      <c r="J37" s="1115"/>
      <c r="K37" s="1088"/>
      <c r="L37" s="1088"/>
      <c r="M37" s="1088"/>
      <c r="N37" s="1088"/>
      <c r="O37" s="1088"/>
      <c r="P37" s="1088"/>
      <c r="Q37" s="1088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44"/>
      <c r="C38" s="1127"/>
      <c r="D38" s="1127"/>
      <c r="E38" s="1127"/>
      <c r="F38" s="1128"/>
      <c r="G38" s="739"/>
      <c r="I38" s="1113"/>
      <c r="J38" s="1116"/>
      <c r="K38" s="1089"/>
      <c r="L38" s="1089"/>
      <c r="M38" s="1089"/>
      <c r="N38" s="1089"/>
      <c r="O38" s="1089"/>
      <c r="P38" s="1089"/>
      <c r="Q38" s="1089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13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13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14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580" zoomScaleNormal="100" workbookViewId="0">
      <selection activeCell="C593" sqref="C593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9" t="s">
        <v>214</v>
      </c>
      <c r="C1" s="1139"/>
      <c r="D1" s="1139" t="s">
        <v>219</v>
      </c>
      <c r="E1" s="1139"/>
      <c r="F1" s="1142"/>
      <c r="G1" s="606" t="s">
        <v>212</v>
      </c>
      <c r="H1" s="1140" t="s">
        <v>214</v>
      </c>
      <c r="I1" s="1140"/>
      <c r="J1" s="1140" t="s">
        <v>219</v>
      </c>
      <c r="K1" s="1140"/>
      <c r="L1" s="1143"/>
      <c r="M1" s="633" t="s">
        <v>212</v>
      </c>
      <c r="N1" s="1075" t="s">
        <v>214</v>
      </c>
      <c r="O1" s="1075"/>
      <c r="P1" s="1075" t="s">
        <v>219</v>
      </c>
      <c r="Q1" s="1075"/>
      <c r="R1" s="1076"/>
      <c r="S1" s="605" t="s">
        <v>212</v>
      </c>
      <c r="T1" s="1141" t="s">
        <v>214</v>
      </c>
      <c r="U1" s="1141"/>
      <c r="V1" s="1141" t="s">
        <v>219</v>
      </c>
      <c r="W1" s="1141"/>
      <c r="X1" s="1080"/>
      <c r="Y1" s="732" t="s">
        <v>212</v>
      </c>
      <c r="Z1" s="1136" t="s">
        <v>214</v>
      </c>
      <c r="AA1" s="1136"/>
      <c r="AB1" s="1136" t="s">
        <v>219</v>
      </c>
      <c r="AC1" s="1136"/>
      <c r="AD1" s="1137"/>
      <c r="AF1" s="1138" t="s">
        <v>326</v>
      </c>
      <c r="AG1" s="1138" t="s">
        <v>504</v>
      </c>
      <c r="AH1" s="1138"/>
      <c r="AI1" s="1138" t="s">
        <v>505</v>
      </c>
      <c r="AJ1" s="1138"/>
      <c r="AK1" s="1138" t="s">
        <v>449</v>
      </c>
      <c r="AL1" s="113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8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2:21" x14ac:dyDescent="0.25"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2:21" x14ac:dyDescent="0.25"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2:21" x14ac:dyDescent="0.25"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2:21" x14ac:dyDescent="0.25"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2:21" x14ac:dyDescent="0.25"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2:21" x14ac:dyDescent="0.25"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2:21" x14ac:dyDescent="0.25"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2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2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2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2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2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2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2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2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2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H18" sqref="H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32.5703125" hidden="1" customWidth="1"/>
    <col min="6" max="7" width="11.85546875" customWidth="1"/>
  </cols>
  <sheetData>
    <row r="1" spans="1:7" x14ac:dyDescent="0.25">
      <c r="A1" s="836" t="s">
        <v>507</v>
      </c>
      <c r="B1" s="836" t="s">
        <v>508</v>
      </c>
      <c r="C1" s="836" t="s">
        <v>509</v>
      </c>
      <c r="D1" s="836" t="s">
        <v>510</v>
      </c>
      <c r="E1" s="836" t="s">
        <v>511</v>
      </c>
      <c r="F1" s="880" t="s">
        <v>512</v>
      </c>
      <c r="G1" s="880"/>
    </row>
    <row r="2" spans="1:7" x14ac:dyDescent="0.25">
      <c r="A2" s="1145">
        <v>8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45">
        <f>SUM(C:C) + A5</f>
        <v>14.04</v>
      </c>
      <c r="G2" s="1145"/>
    </row>
    <row r="3" spans="1:7" x14ac:dyDescent="0.25">
      <c r="A3" s="1145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45"/>
      <c r="G3" s="1145"/>
    </row>
    <row r="4" spans="1:7" x14ac:dyDescent="0.25">
      <c r="A4" s="836" t="s">
        <v>513</v>
      </c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80" t="str">
        <f>"Predicted left to " &amp; A2</f>
        <v>Predicted left to 8</v>
      </c>
      <c r="G4" s="880"/>
    </row>
    <row r="5" spans="1:7" x14ac:dyDescent="0.25">
      <c r="A5" s="1145">
        <v>4.25</v>
      </c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144" t="str">
        <f>IF(F2&gt;A2,"",_xlfn.FORECAST.LINEAR(A2-A5, D:D, E:E) - MAX(D:D))</f>
        <v/>
      </c>
      <c r="G5" s="880" t="s">
        <v>514</v>
      </c>
    </row>
    <row r="6" spans="1:7" x14ac:dyDescent="0.25">
      <c r="A6" s="1145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144"/>
      <c r="G6" s="880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80" t="str">
        <f>"Predicted total to " &amp; A2</f>
        <v>Predicted total to 8</v>
      </c>
      <c r="G7" s="880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144">
        <f>_xlfn.FORECAST.LINEAR(8, D:D, E:E)</f>
        <v>870.65623278212047</v>
      </c>
      <c r="G8" s="880" t="s">
        <v>514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144"/>
      <c r="G9" s="880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B14" s="688">
        <v>18</v>
      </c>
      <c r="C14" s="688">
        <v>0.12</v>
      </c>
      <c r="D14" s="688">
        <f>IF(B14,SUM(B$2:B14),"")</f>
        <v>560</v>
      </c>
      <c r="E14" s="688">
        <f>IF(C14,SUM(C$2:C14),"")</f>
        <v>5</v>
      </c>
    </row>
    <row r="15" spans="1:7" x14ac:dyDescent="0.25">
      <c r="B15" s="688">
        <v>43</v>
      </c>
      <c r="C15" s="688">
        <v>0.38</v>
      </c>
      <c r="D15" s="688">
        <f>IF(B15,SUM(B$2:B15),"")</f>
        <v>603</v>
      </c>
      <c r="E15" s="688">
        <f>IF(C15,SUM(C$2:C15),"")</f>
        <v>5.38</v>
      </c>
    </row>
    <row r="16" spans="1:7" x14ac:dyDescent="0.25">
      <c r="B16" s="688">
        <v>30</v>
      </c>
      <c r="C16" s="688">
        <v>0.28999999999999998</v>
      </c>
      <c r="D16" s="688">
        <f>IF(B16,SUM(B$2:B16),"")</f>
        <v>633</v>
      </c>
      <c r="E16" s="688">
        <f>IF(C16,SUM(C$2:C16),"")</f>
        <v>5.67</v>
      </c>
    </row>
    <row r="17" spans="2:5" x14ac:dyDescent="0.25">
      <c r="B17" s="688">
        <v>42</v>
      </c>
      <c r="C17" s="688">
        <v>0.49</v>
      </c>
      <c r="D17" s="688">
        <f>IF(B17,SUM(B$2:B17),"")</f>
        <v>675</v>
      </c>
      <c r="E17" s="688">
        <f>IF(C17,SUM(C$2:C17),"")</f>
        <v>6.16</v>
      </c>
    </row>
    <row r="18" spans="2:5" x14ac:dyDescent="0.25">
      <c r="B18" s="688">
        <v>27</v>
      </c>
      <c r="C18" s="688">
        <v>0.21</v>
      </c>
      <c r="D18" s="688">
        <f>IF(B18,SUM(B$2:B18),"")</f>
        <v>702</v>
      </c>
      <c r="E18" s="688">
        <f>IF(C18,SUM(C$2:C18),"")</f>
        <v>6.37</v>
      </c>
    </row>
    <row r="19" spans="2:5" x14ac:dyDescent="0.25">
      <c r="B19" s="688">
        <v>60</v>
      </c>
      <c r="C19" s="688">
        <v>0.6</v>
      </c>
      <c r="D19" s="688">
        <f>IF(B19,SUM(B$2:B19),"")</f>
        <v>762</v>
      </c>
      <c r="E19" s="688">
        <f>IF(C19,SUM(C$2:C19),"")</f>
        <v>6.97</v>
      </c>
    </row>
    <row r="20" spans="2:5" x14ac:dyDescent="0.25">
      <c r="B20" s="688">
        <v>15</v>
      </c>
      <c r="C20" s="688">
        <v>0.16</v>
      </c>
      <c r="D20" s="688">
        <f>IF(B20,SUM(B$2:B20),"")</f>
        <v>777</v>
      </c>
      <c r="E20" s="688">
        <f>IF(C20,SUM(C$2:C20),"")</f>
        <v>7.13</v>
      </c>
    </row>
    <row r="21" spans="2:5" x14ac:dyDescent="0.25">
      <c r="B21" s="688">
        <v>25</v>
      </c>
      <c r="C21" s="688">
        <v>0.19</v>
      </c>
      <c r="D21" s="688">
        <f>IF(B21,SUM(B$2:B21),"")</f>
        <v>802</v>
      </c>
      <c r="E21" s="688">
        <f>IF(C21,SUM(C$2:C21),"")</f>
        <v>7.32</v>
      </c>
    </row>
    <row r="22" spans="2:5" x14ac:dyDescent="0.25">
      <c r="B22" s="688">
        <v>10</v>
      </c>
      <c r="C22" s="688">
        <v>0.08</v>
      </c>
      <c r="D22" s="688">
        <f>IF(B22,SUM(B$2:B22),"")</f>
        <v>812</v>
      </c>
      <c r="E22" s="688">
        <f>IF(C22,SUM(C$2:C22),"")</f>
        <v>7.4</v>
      </c>
    </row>
    <row r="23" spans="2:5" x14ac:dyDescent="0.25">
      <c r="B23" s="688">
        <v>44</v>
      </c>
      <c r="C23" s="688">
        <v>0.46</v>
      </c>
      <c r="D23" s="688">
        <f>IF(B23,SUM(B$2:B23),"")</f>
        <v>856</v>
      </c>
      <c r="E23" s="688">
        <f>IF(C23,SUM(C$2:C23),"")</f>
        <v>7.86</v>
      </c>
    </row>
    <row r="24" spans="2:5" x14ac:dyDescent="0.25">
      <c r="B24" s="688">
        <v>62</v>
      </c>
      <c r="C24" s="688">
        <v>0.66</v>
      </c>
      <c r="D24" s="688">
        <f>IF(B24,SUM(B$2:B24),"")</f>
        <v>918</v>
      </c>
      <c r="E24" s="688">
        <f>IF(C24,SUM(C$2:C24),"")</f>
        <v>8.52</v>
      </c>
    </row>
    <row r="25" spans="2:5" x14ac:dyDescent="0.25">
      <c r="B25" s="688">
        <v>72</v>
      </c>
      <c r="C25" s="688">
        <v>0.65</v>
      </c>
      <c r="D25" s="688">
        <f>IF(B25,SUM(B$2:B25),"")</f>
        <v>990</v>
      </c>
      <c r="E25" s="688">
        <f>IF(C25,SUM(C$2:C25),"")</f>
        <v>9.17</v>
      </c>
    </row>
    <row r="26" spans="2:5" x14ac:dyDescent="0.25">
      <c r="B26" s="688">
        <v>63</v>
      </c>
      <c r="C26" s="688">
        <v>0.62</v>
      </c>
      <c r="D26" s="688">
        <f>IF(B26,SUM(B$2:B26),"")</f>
        <v>1053</v>
      </c>
      <c r="E26" s="688">
        <f>IF(C26,SUM(C$2:C26),"")</f>
        <v>9.7899999999999991</v>
      </c>
    </row>
    <row r="27" spans="2:5" x14ac:dyDescent="0.25"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10">
    <mergeCell ref="F7:G7"/>
    <mergeCell ref="F8:F9"/>
    <mergeCell ref="G8:G9"/>
    <mergeCell ref="F1:G1"/>
    <mergeCell ref="A2:A3"/>
    <mergeCell ref="F2:G3"/>
    <mergeCell ref="F4:G4"/>
    <mergeCell ref="A5:A6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01"/>
  <sheetViews>
    <sheetView topLeftCell="A82" workbookViewId="0">
      <selection activeCell="L3" sqref="L3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6" t="s">
        <v>443</v>
      </c>
      <c r="F1" s="1146"/>
      <c r="G1" s="1146"/>
      <c r="H1" s="1146"/>
      <c r="I1" s="1146"/>
      <c r="J1" s="1146"/>
      <c r="L1" s="1138" t="s">
        <v>444</v>
      </c>
      <c r="M1" s="1138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22575.121420420772</v>
      </c>
      <c r="F3" s="706" cm="1">
        <f t="array" ref="F3">SUMIF($H6:$H99999,"&gt;0") / SCOUT_DAYS_FROM_EARLIEST * 30</f>
        <v>54658.106637651814</v>
      </c>
      <c r="G3" s="706"/>
      <c r="H3" s="706" cm="1">
        <f t="array" ref="H3">(SUMIF($F6:$F99999,"&gt;0") + SUMIF($H6:$H99999,"&gt;0")) / SCOUT_DAYS_FROM_EARLIEST * 30</f>
        <v>77233.228058072578</v>
      </c>
      <c r="I3" s="706" cm="1">
        <f t="array" ref="I3">(SUMIF($F6:$F99999,"&lt;0") + SUMIF($H6:$H99999,"&lt;0")) / SCOUT_DAYS_FROM_EARLIEST * 30</f>
        <v>-79500.199049871822</v>
      </c>
      <c r="J3" s="706">
        <f>H3+I3</f>
        <v>-2266.9709917992441</v>
      </c>
      <c r="L3" s="95" cm="1">
        <f t="array" ref="L3">SUM(L6:L99999) / SCOUT_DAYS_FROM_EARLIEST * 30</f>
        <v>66752.24926351817</v>
      </c>
      <c r="M3" s="709" cm="1">
        <f t="array" ref="M3">SUM(M6:M99999) / SCOUT_DAYS_FROM_EARLIEST * 30</f>
        <v>1241.1157408636609</v>
      </c>
    </row>
    <row r="4" spans="1:13" s="694" customFormat="1" ht="15" customHeight="1" x14ac:dyDescent="0.25">
      <c r="A4" s="1147" t="s">
        <v>388</v>
      </c>
      <c r="B4" s="1084" t="s">
        <v>395</v>
      </c>
      <c r="C4" s="1084" t="s">
        <v>82</v>
      </c>
      <c r="D4" s="1084"/>
      <c r="E4" s="1084"/>
      <c r="F4" s="1084" t="s">
        <v>94</v>
      </c>
      <c r="G4" s="1084"/>
      <c r="H4" s="1084"/>
      <c r="I4" s="1084"/>
      <c r="J4" s="1084"/>
      <c r="K4" s="795" t="s">
        <v>443</v>
      </c>
      <c r="L4" s="1084" t="s">
        <v>405</v>
      </c>
      <c r="M4" s="1084"/>
    </row>
    <row r="5" spans="1:13" s="687" customFormat="1" ht="15" customHeight="1" x14ac:dyDescent="0.25">
      <c r="A5" s="1148"/>
      <c r="B5" s="1010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1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1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1" x14ac:dyDescent="0.25">
      <c r="A100" s="691">
        <v>44011.334027777775</v>
      </c>
      <c r="B100" s="832" t="s">
        <v>515</v>
      </c>
      <c r="C100" s="688">
        <v>9960</v>
      </c>
      <c r="D100" s="688">
        <v>108380</v>
      </c>
      <c r="E100" s="688">
        <f t="shared" ref="E100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>G100 - _xlfn.XLOOKUP(A100-30, $A$6:$A$14999,G$6:G$14999,"",-1,2)</f>
        <v>16980</v>
      </c>
    </row>
    <row r="101" spans="1:11" x14ac:dyDescent="0.25">
      <c r="B101" s="832" t="s">
        <v>516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20"/>
  <sheetViews>
    <sheetView workbookViewId="0">
      <selection activeCell="C21" sqref="C21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80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5234</v>
      </c>
      <c r="E2" s="599">
        <f ca="1">D2/(NOW()-$A$4)</f>
        <v>33.049936673721447</v>
      </c>
      <c r="G2" s="880"/>
      <c r="H2" s="785">
        <v>72</v>
      </c>
      <c r="I2" s="785">
        <v>4</v>
      </c>
      <c r="J2" s="785">
        <v>9960</v>
      </c>
      <c r="K2" s="785">
        <v>108350</v>
      </c>
      <c r="L2" s="785">
        <v>1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8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8"/>
      <c r="H4" s="781">
        <v>0</v>
      </c>
      <c r="I4" s="781">
        <v>0</v>
      </c>
      <c r="J4" s="781">
        <v>360</v>
      </c>
      <c r="K4" s="781">
        <v>99950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20" si="0">D5/(B5-A5)</f>
        <v>11.421052631578947</v>
      </c>
      <c r="J5" s="781" t="s">
        <v>475</v>
      </c>
      <c r="K5" s="781">
        <f>-((H4-H2) + (I4-I2) * 10 + (J4-J2) / 120 + (K4-K2) / 120 + L2)</f>
        <v>261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  <row r="20" spans="1:5" x14ac:dyDescent="0.25">
      <c r="A20" s="783">
        <v>44011</v>
      </c>
      <c r="B20" s="783">
        <v>44015</v>
      </c>
      <c r="C20" s="781" t="s">
        <v>517</v>
      </c>
      <c r="D20" s="781">
        <v>261</v>
      </c>
      <c r="E20" s="599">
        <f t="shared" si="0"/>
        <v>65.25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2" t="s">
        <v>502</v>
      </c>
      <c r="B1" s="1153"/>
      <c r="C1" s="1153"/>
      <c r="D1" s="1153"/>
      <c r="E1" s="1153"/>
      <c r="F1" s="1153"/>
      <c r="G1" s="1154"/>
    </row>
    <row r="2" spans="1:7" s="812" customFormat="1" ht="17.25" customHeight="1" x14ac:dyDescent="0.25">
      <c r="A2" s="1083" t="s">
        <v>493</v>
      </c>
      <c r="B2" s="1084"/>
      <c r="C2" s="1084"/>
      <c r="D2" s="1084"/>
      <c r="E2" s="1085"/>
      <c r="F2" s="1084" t="s">
        <v>498</v>
      </c>
      <c r="G2" s="1085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5" t="s">
        <v>494</v>
      </c>
      <c r="B9" s="1156"/>
      <c r="C9" s="1156"/>
      <c r="D9" s="1156"/>
      <c r="E9" s="1156"/>
      <c r="F9" s="1156"/>
      <c r="G9" s="1157"/>
    </row>
    <row r="10" spans="1:7" ht="15" customHeight="1" x14ac:dyDescent="0.25">
      <c r="A10" s="1162" t="s">
        <v>501</v>
      </c>
      <c r="B10" s="1163"/>
      <c r="C10" s="1163"/>
      <c r="D10" s="1163"/>
      <c r="E10" s="1163"/>
      <c r="F10" s="1163"/>
      <c r="G10" s="1164"/>
    </row>
    <row r="11" spans="1:7" s="805" customFormat="1" ht="7.5" customHeight="1" x14ac:dyDescent="0.25">
      <c r="A11" s="1161" t="s">
        <v>500</v>
      </c>
      <c r="B11" s="1159"/>
      <c r="C11" s="1159"/>
      <c r="D11" s="1159"/>
      <c r="E11" s="1159"/>
      <c r="F11" s="1159"/>
      <c r="G11" s="1160"/>
    </row>
    <row r="12" spans="1:7" s="805" customFormat="1" ht="15" customHeight="1" x14ac:dyDescent="0.25">
      <c r="A12" s="1158" t="s">
        <v>497</v>
      </c>
      <c r="B12" s="1159"/>
      <c r="C12" s="1159"/>
      <c r="D12" s="1159"/>
      <c r="E12" s="1159"/>
      <c r="F12" s="1159"/>
      <c r="G12" s="1160"/>
    </row>
    <row r="13" spans="1:7" s="805" customFormat="1" ht="7.5" customHeight="1" x14ac:dyDescent="0.25">
      <c r="A13" s="1161" t="s">
        <v>500</v>
      </c>
      <c r="B13" s="1159"/>
      <c r="C13" s="1159"/>
      <c r="D13" s="1159"/>
      <c r="E13" s="1159"/>
      <c r="F13" s="1159"/>
      <c r="G13" s="1160"/>
    </row>
    <row r="14" spans="1:7" ht="15" customHeight="1" x14ac:dyDescent="0.25">
      <c r="A14" s="1151" t="s">
        <v>496</v>
      </c>
      <c r="B14" s="1149"/>
      <c r="C14" s="1149"/>
      <c r="D14" s="1149"/>
      <c r="E14" s="827"/>
      <c r="F14" s="1149" t="s">
        <v>495</v>
      </c>
      <c r="G14" s="115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5" t="s">
        <v>487</v>
      </c>
      <c r="B1" s="1166"/>
      <c r="C1" s="1166"/>
      <c r="D1" s="1166"/>
      <c r="E1" s="1166"/>
      <c r="F1" s="1166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7" t="str">
        <f>B1&amp; "日"</f>
        <v>1日</v>
      </c>
      <c r="G1" s="1168"/>
      <c r="H1" s="1168"/>
      <c r="I1" s="1167" t="str">
        <f>C1 &amp; "日"</f>
        <v>7日</v>
      </c>
      <c r="J1" s="1168"/>
      <c r="K1" s="1168"/>
      <c r="L1" s="1167" t="s">
        <v>147</v>
      </c>
      <c r="M1" s="1168"/>
      <c r="N1" s="116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-262 D 04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-264 D 19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-273 D 14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-279 D 01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-265 D 15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-060 D 00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-158 D 00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-210 D 17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-227 D 00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-246 D 13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-258 D 13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-283 D 04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-262 D 05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-267 D 22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-272 D 06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-279 D 02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-281 D 00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-275 D 18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-250 D 01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-239 D 00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-255 D 06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-254 D 07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-265 D 04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-256 D 21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-260 D 20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-261 D 06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-256 D 15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-257 D 23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-269 D 14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-257 D 05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-258 D 12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-268 D 21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-259 D 10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-258 D 16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-268 D 11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-259 D 13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-258 D 23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-248 D 22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-259 D 19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-259 D 13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-247 D 18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-260 D 14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-256 D 21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-254 D 15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-260 D 22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-259 D 09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-261 D 20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-261 D 05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-260 D 05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-268 D 09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-261 D 12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-260 D 15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-273 D 09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-262 D 00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-261 D 15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-264 D 05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-260 D 22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-258 D 18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-264 D 22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-259 D 19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-259 D 11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-250 D 16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-259 D 14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-260 D 17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-249 D 18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-258 D 20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-258 D 00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-246 D 20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-257 D 20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-258 D 04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-235 D 07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-257 D 18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-258 D 10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-238 D 17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-257 D 08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-258 D 16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-244 D 14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-257 D 13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-259 D 05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-250 D 18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-257 D 16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-259 D 18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-243 D 03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-259 D 01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-257 D 21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-259 D 16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-259 D 02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-258 D 19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-259 D 17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-259 D 04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-259 D 04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-244 D 09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-258 D 13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-257 D 20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-252 D 20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-259 D 01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-259 D 00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-270 D 07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-260 D 06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-261 D 03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-269 D 17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-260 D 11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-260 D 06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-273 D 19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-261 D 06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-261 D 03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-278 D 21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-261 D 22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-262 D 14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-281 D 12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-263 D 07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-263 D 13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-282 D 19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-264 D 06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-263 D 17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-290 D 01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-265 D 18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-264 D 06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-290 D 04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-266 D 19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-264 D 18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-290 D 10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-267 D 18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-265 D 01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-291 D 05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-268 D 14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-265 D 14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-291 D 14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-269 D 14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-265 D 21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-290 D 04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-270 D 03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-265 D 22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-290 D 07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-271 D 02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-266 D 06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-290 D 12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-271 D 14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-266 D 11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-285 D 11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-271 D 17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-265 D 18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-283 D 02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-272 D 00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-266 D 00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-282 D 10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-272 D 08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-266 D 07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-276 D 21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-273 D 05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-266 D 21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-279 D 16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-273 D 15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-267 D 10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-281 D 18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-274 D 07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-268 D 00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-284 D 17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-275 D 04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-268 D 12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-290 D 20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-276 D 19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-269 D 01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-294 D 09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-278 D 11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-270 D 08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-294 D 00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-279 D 13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-270 D 18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-292 D 16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-280 D 01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-270 D 23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-292 D 12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-280 D 13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-271 D 06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-292 D 10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-281 D 13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-271 D 09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-292 D 11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-281 D 22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-271 D 12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-289 D 03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-282 D 03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-271 D 15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-282 D 18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-284 D 03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-272 D 01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-282 D 13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-284 D 20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-272 D 06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-282 D 03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-285 D 00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-272 D 07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-282 D 13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-285 D 18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-272 D 11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-280 D 08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-287 D 05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-272 D 12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-280 D 10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-287 D 04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-273 D 02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-281 D 22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-287 D 01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-273 D 09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-283 D 01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-287 D 11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-273 D 18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-287 D 18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-287 D 12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-274 D 10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-287 D 22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-287 D 11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-274 D 12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-278 D 07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-286 D 23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-273 D 15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-276 D 05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-286 D 16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-273 D 20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-274 D 15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-286 D 15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-274 D 12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-286 D 13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-286 D 13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-275 D 14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-289 D 00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-286 D 13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-275 D 18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-292 D 09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-286 D 10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-276 D 08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-291 D 19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-286 D 11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-276 D 11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-291 D 14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-286 D 13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-276 D 14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-291 D 18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-286 D 15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-276 D 20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-291 D 21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-286 D 18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-276 D 23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-278 D 10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-285 D 19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-275 D 19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-255 D 03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-285 D 01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-275 D 21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-258 D 16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-284 D 20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-276 D 04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-263 D 14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-284 D 18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-276 D 07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-272 D 16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-284 D 12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-276 D 11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-286 D 17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-284 D 09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-276 D 17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-287 D 07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-284 D 09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-276 D 20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-287 D 15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-284 D 09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-276 D 23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-289 D 01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-284 D 11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-277 D 07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-289 D 14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-284 D 16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-277 D 11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-285 D 16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-284 D 08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-276 D 23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-279 D 04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-284 D 06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-277 D 00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-275 D 22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-284 D 03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-276 D 23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-276 D 00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-284 D 01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-277 D 01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-239 D 09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-282 D 18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-275 D 16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-260 D 22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-282 D 14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-276 D 14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-293 D 00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-282 D 14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-278 D 04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-224 D 21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-277 D 20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-276 D 04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-233 D 15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-275 D 23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-275 D 17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-239 D 02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-275 D 06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-275 D 19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-271 D 21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-274 D 19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-275 D 19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-281 D 16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-274 D 05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-276 D 08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-277 D 03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-273 D 04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-275 D 23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-275 D 07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-273 D 21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-276 D 08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-277 D 19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-274 D 13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-276 D 11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-280 D 09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-274 D 23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-276 D 07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-279 D 22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-276 D 02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-276 D 16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-280 D 10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-275 D 12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-276 D 13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-281 D 05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-276 D 04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-276 D 19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-277 D 08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-276 D 11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-276 D 16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-280 D 02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-277 D 00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-276 D 22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-281 D 05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-280 D 00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-277 D 11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-280 D 19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-280 D 01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-277 D 10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-279 D 22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-279 D 22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-277 D 09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-278 D 13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-279 D 15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-277 D 12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-277 D 17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-279 D 00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-277 D 09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-277 D 20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-278 D 23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-277 D 11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-278 D 14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-278 D 21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-277 D 15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-279 D 08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-278 D 22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-277 D 15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-272 D 19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-278 D 09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-277 D 06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-272 D 16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-277 D 22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-277 D 08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-272 D 19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-277 D 16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-277 D 06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-274 D 06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-277 D 15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-277 D 07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-277 D 23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-277 D 15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-277 D 09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-278 D 11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-277 D 17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-277 D 11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-279 D 05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-277 D 18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-277 D 12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-276 D 19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-277 D 11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-277 D 05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-281 D 19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-277 D 11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-277 D 14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-281 D 06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-277 D 14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-277 D 13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-279 D 07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-277 D 11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-277 D 10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-279 D 01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-277 D 13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-277 D 12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-277 D 16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-277 D 20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-277 D 17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-280 D 20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-278 D 03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-277 D 21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-281 D 14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-278 D 06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-277 D 21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-280 D 12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-278 D 05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-277 D 18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-281 D 04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-278 D 07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-277 D 19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-279 D 22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-278 D 09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-277 D 20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-279 D 00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-278 D 13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-277 D 23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-279 D 14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-278 D 20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-278 D 02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-281 D 08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-279 D 00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-278 D 02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-278 D 07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-278 D 23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-278 D 00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-278 D 11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-279 D 01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-278 D 01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-279 D 05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-279 D 09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-278 D 07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-279 D 12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-279 D 12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-278 D 06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-280 D 17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-279 D 14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-278 D 07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-280 D 02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-279 D 19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-278 D 07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-279 D 09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-279 D 20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-278 D 09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-278 D 00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-279 D 21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-278 D 08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-278 D 10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-279 D 21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-278 D 10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-278 D 16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-280 D 00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-278 D 11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-278 D 16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-279 D 23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-278 D 10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-279 D 00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-280 D 00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-278 D 12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-279 D 04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-280 D 00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-278 D 12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-279 D 05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-279 D 23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-278 D 12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-278 D 01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-279 D 19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-278 D 10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-279 D 06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-279 D 22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-278 D 15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-280 D 20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-280 D 01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-278 D 19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-280 D 14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-279 D 23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-278 D 18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-280 D 16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-280 D 00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-278 D 19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-281 D 17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-280 D 02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-278 D 22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-281 D 21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-280 D 02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-278 D 23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-281 D 23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-280 D 07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-279 D 03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-282 D 10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-280 D 09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-279 D 05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-279 D 08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-280 D 01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-278 D 20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-276 D 03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-280 D 01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-278 D 21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-276 D 00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-280 D 02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-278 D 23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-276 D 18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-280 D 02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-279 D 00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-277 D 10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-280 D 02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-279 D 00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-276 D 14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-279 D 20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-278 D 18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-278 D 00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-279 D 20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-278 D 20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-275 D 09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-279 D 15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-278 D 17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-276 D 03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-279 D 15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-278 D 19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-276 D 22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-279 D 14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-278 D 20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-277 D 13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-279 D 15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-278 D 21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-277 D 23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-279 D 15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-278 D 21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-278 D 18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-279 D 16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-279 D 00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-280 D 13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-279 D 17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-279 D 00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-279 D 06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-279 D 10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-278 D 18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-278 D 23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-279 D 10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-278 D 19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-279 D 19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-279 D 16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-279 D 04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-280 D 06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-279 D 14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-279 D 02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-280 D 11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-279 D 16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-279 D 04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-281 D 08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-279 D 18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-279 D 06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-281 D 09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-279 D 20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-279 D 08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-281 D 13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-279 D 22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-279 D 09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-281 D 19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-280 D 01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-279 D 13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-282 D 00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-280 D 04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-279 D 15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-282 D 12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-280 D 09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-279 D 20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-282 D 13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-280 D 11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-279 D 22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-282 D 14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-280 D 13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-279 D 23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-283 D 00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-280 D 20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-280 D 06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-282 D 22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-280 D 22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-280 D 06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-283 D 15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-281 D 16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-281 D 03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-283 D 18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-281 D 21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-281 D 07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-283 D 19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-282 D 01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-281 D 09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-283 D 19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-282 D 05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-281 D 13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-283 D 20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-282 D 10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-281 D 18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-283 D 20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-282 D 12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-281 D 19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-283 D 08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-282 D 18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-282 D 03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0">
        <v>43677.583333333336</v>
      </c>
      <c r="C1" s="1170"/>
      <c r="D1" s="233" t="s">
        <v>124</v>
      </c>
      <c r="E1" s="231" t="s">
        <v>77</v>
      </c>
      <c r="F1" s="231" t="s">
        <v>69</v>
      </c>
      <c r="G1" s="1138" t="s">
        <v>70</v>
      </c>
      <c r="H1" s="1138"/>
      <c r="I1" s="1138"/>
      <c r="J1" s="1138"/>
      <c r="K1" s="25"/>
      <c r="L1" s="230" t="s">
        <v>72</v>
      </c>
      <c r="M1" s="230"/>
      <c r="N1" s="880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0">
        <v>43688.583333333336</v>
      </c>
      <c r="C2" s="117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9" t="str">
        <f ca="1">IF(NOW() &gt; $B$2,"",(NOW()-$B$1)/($B$2-$B$1))</f>
        <v/>
      </c>
      <c r="H2" s="1169"/>
      <c r="I2" s="1169"/>
      <c r="J2" s="1169"/>
      <c r="K2" s="25" t="s">
        <v>74</v>
      </c>
      <c r="L2" s="123">
        <v>100000</v>
      </c>
      <c r="N2" s="880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80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80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71" t="s">
        <v>71</v>
      </c>
      <c r="C5" s="1171"/>
      <c r="D5" s="1172" t="s">
        <v>128</v>
      </c>
      <c r="E5" s="1172"/>
      <c r="F5" s="1172" t="s">
        <v>73</v>
      </c>
      <c r="G5" s="1172"/>
      <c r="H5" s="1172" t="s">
        <v>76</v>
      </c>
      <c r="I5" s="1172"/>
      <c r="J5" s="1138" t="s">
        <v>126</v>
      </c>
      <c r="K5" s="1138"/>
      <c r="L5" s="1173" t="s">
        <v>127</v>
      </c>
      <c r="M5" s="1173"/>
      <c r="N5" s="1138" t="s">
        <v>125</v>
      </c>
      <c r="O5" s="113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74" t="s">
        <v>204</v>
      </c>
      <c r="C2" s="1174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75" t="s">
        <v>17</v>
      </c>
      <c r="U3" s="1175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82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6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7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83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6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7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8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95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6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9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95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6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84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94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7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85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94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7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90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93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92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91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93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92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6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7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7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0">
        <f ca="1">SUM(MAX(L4,L5),MAX(L6,L7),MAX(L8,L9),MAX(L10,L11),MAX(L12,L13))</f>
        <v>0</v>
      </c>
      <c r="M14" s="1180">
        <f ca="1">SUM(MAX(M4,M5),MAX(M6,M7),MAX(M8,M9),MAX(M10,M11),MAX(M12,M13))</f>
        <v>0</v>
      </c>
      <c r="N14" s="1178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8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1"/>
      <c r="M15" s="1181"/>
      <c r="N15" s="1179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8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8">
        <f ca="1">IFERROR(ROUND(J16/(O16*INPUT_IO_DROP_RATE),0),NA())</f>
        <v>0</v>
      </c>
      <c r="M16" s="1198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9">
        <f>SUM(D迎擊!AK:AK)</f>
        <v>1045</v>
      </c>
      <c r="AD16" s="49"/>
    </row>
    <row r="17" spans="2:27" x14ac:dyDescent="0.25">
      <c r="B17" s="1208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8">
        <f ca="1">IFERROR(ROUND(J17/O17,0),NA())</f>
        <v>0</v>
      </c>
      <c r="M17" s="1198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9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8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8">
        <f ca="1">IFERROR(ROUND(J18/O18,0),NA())</f>
        <v>0</v>
      </c>
      <c r="M18" s="1198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9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10" t="s">
        <v>132</v>
      </c>
      <c r="C20" s="1211"/>
      <c r="D20" s="1211"/>
      <c r="E20" s="1211"/>
      <c r="F20" s="1211"/>
      <c r="G20" s="1211"/>
      <c r="H20" s="1211"/>
      <c r="I20" s="1199">
        <v>2</v>
      </c>
      <c r="J20" s="1203" t="s">
        <v>164</v>
      </c>
      <c r="K20" s="1204"/>
      <c r="L20" s="119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9"/>
      <c r="N20" s="1199"/>
      <c r="O20" s="1199"/>
      <c r="P20" s="1200"/>
    </row>
    <row r="21" spans="2:27" ht="22.5" customHeight="1" thickBot="1" x14ac:dyDescent="0.3">
      <c r="B21" s="1212"/>
      <c r="C21" s="1213"/>
      <c r="D21" s="1213"/>
      <c r="E21" s="1213"/>
      <c r="F21" s="1213"/>
      <c r="G21" s="1213"/>
      <c r="H21" s="1213"/>
      <c r="I21" s="1201"/>
      <c r="J21" s="1205"/>
      <c r="K21" s="1206"/>
      <c r="L21" s="1201"/>
      <c r="M21" s="1201"/>
      <c r="N21" s="1201"/>
      <c r="O21" s="1201"/>
      <c r="P21" s="1202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4" t="s">
        <v>80</v>
      </c>
      <c r="B1" s="1214"/>
      <c r="C1" s="1219" t="s">
        <v>26</v>
      </c>
      <c r="D1" s="1219" t="s">
        <v>79</v>
      </c>
      <c r="E1" s="1219"/>
      <c r="F1" s="1219" t="s">
        <v>26</v>
      </c>
      <c r="G1" s="1225" t="s">
        <v>80</v>
      </c>
      <c r="H1" s="1225"/>
      <c r="I1" s="1220" t="s">
        <v>26</v>
      </c>
      <c r="J1" s="1220" t="s">
        <v>79</v>
      </c>
      <c r="K1" s="1220"/>
      <c r="L1" s="1220" t="s">
        <v>26</v>
      </c>
      <c r="M1" s="1224" t="s">
        <v>80</v>
      </c>
      <c r="N1" s="1224"/>
      <c r="O1" s="1221" t="s">
        <v>26</v>
      </c>
      <c r="P1" s="1221" t="s">
        <v>79</v>
      </c>
      <c r="Q1" s="1221"/>
      <c r="R1" s="1221" t="s">
        <v>26</v>
      </c>
      <c r="S1" s="1228" t="s">
        <v>80</v>
      </c>
      <c r="T1" s="1228"/>
      <c r="U1" s="1222" t="s">
        <v>26</v>
      </c>
      <c r="V1" s="1222" t="s">
        <v>79</v>
      </c>
      <c r="W1" s="1222"/>
      <c r="X1" s="1222" t="s">
        <v>26</v>
      </c>
      <c r="Y1" s="1227" t="s">
        <v>80</v>
      </c>
      <c r="Z1" s="1227"/>
      <c r="AA1" s="1223" t="s">
        <v>26</v>
      </c>
      <c r="AB1" s="1223" t="s">
        <v>79</v>
      </c>
      <c r="AC1" s="1223"/>
      <c r="AD1" s="1223" t="s">
        <v>26</v>
      </c>
      <c r="AE1" s="1217" t="s">
        <v>88</v>
      </c>
      <c r="AF1" s="1217"/>
      <c r="AG1" s="1218" t="s">
        <v>89</v>
      </c>
      <c r="AH1" s="1218"/>
      <c r="AI1" s="1215" t="s">
        <v>90</v>
      </c>
      <c r="AJ1" s="1215"/>
      <c r="AK1" s="1216" t="s">
        <v>26</v>
      </c>
      <c r="AM1" s="931" t="s">
        <v>129</v>
      </c>
      <c r="AN1" s="1226"/>
      <c r="AO1" s="1226"/>
      <c r="AP1" s="1226"/>
      <c r="AQ1" s="1226"/>
      <c r="AR1" s="1226"/>
      <c r="AS1" s="1226"/>
      <c r="AT1" s="1226"/>
      <c r="AU1" s="932"/>
      <c r="AV1" s="239"/>
      <c r="AW1" s="931" t="s">
        <v>58</v>
      </c>
      <c r="AX1" s="1226"/>
      <c r="AY1" s="1226"/>
      <c r="AZ1" s="1226"/>
      <c r="BA1" s="1226"/>
      <c r="BB1" s="1226"/>
      <c r="BC1" s="1226"/>
      <c r="BD1" s="1226"/>
      <c r="BE1" s="932"/>
    </row>
    <row r="2" spans="1:57" x14ac:dyDescent="0.25">
      <c r="A2" s="260" t="s">
        <v>28</v>
      </c>
      <c r="B2" s="106" t="s">
        <v>87</v>
      </c>
      <c r="C2" s="1219"/>
      <c r="D2" s="104" t="s">
        <v>28</v>
      </c>
      <c r="E2" s="106" t="s">
        <v>87</v>
      </c>
      <c r="F2" s="1219"/>
      <c r="G2" s="256" t="s">
        <v>28</v>
      </c>
      <c r="H2" s="107" t="s">
        <v>87</v>
      </c>
      <c r="I2" s="1220"/>
      <c r="J2" s="258" t="s">
        <v>28</v>
      </c>
      <c r="K2" s="102" t="s">
        <v>87</v>
      </c>
      <c r="L2" s="1220"/>
      <c r="M2" s="254" t="s">
        <v>28</v>
      </c>
      <c r="N2" s="100" t="s">
        <v>87</v>
      </c>
      <c r="O2" s="1221"/>
      <c r="P2" s="254" t="s">
        <v>28</v>
      </c>
      <c r="Q2" s="100" t="s">
        <v>87</v>
      </c>
      <c r="R2" s="1221"/>
      <c r="S2" s="249" t="s">
        <v>28</v>
      </c>
      <c r="T2" s="98" t="s">
        <v>87</v>
      </c>
      <c r="U2" s="1222"/>
      <c r="V2" s="249" t="s">
        <v>28</v>
      </c>
      <c r="W2" s="98" t="s">
        <v>87</v>
      </c>
      <c r="X2" s="1222"/>
      <c r="Y2" s="251" t="s">
        <v>28</v>
      </c>
      <c r="Z2" s="109" t="s">
        <v>87</v>
      </c>
      <c r="AA2" s="1223"/>
      <c r="AB2" s="251" t="s">
        <v>28</v>
      </c>
      <c r="AC2" s="109" t="s">
        <v>87</v>
      </c>
      <c r="AD2" s="122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6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0" t="s">
        <v>158</v>
      </c>
      <c r="B1" s="1232" t="s">
        <v>161</v>
      </c>
      <c r="C1" s="1232"/>
      <c r="D1" s="1232"/>
      <c r="E1" s="1232"/>
      <c r="F1" s="1232"/>
      <c r="G1" s="1232"/>
      <c r="H1" s="1232"/>
      <c r="I1" s="328"/>
      <c r="J1" s="1232" t="s">
        <v>159</v>
      </c>
      <c r="K1" s="1232"/>
      <c r="L1" s="1232"/>
      <c r="M1" s="1232"/>
      <c r="N1" s="1232"/>
      <c r="O1" s="423" t="s">
        <v>200</v>
      </c>
      <c r="P1" s="328"/>
      <c r="Q1" s="1233" t="s">
        <v>160</v>
      </c>
      <c r="R1" s="1233"/>
      <c r="S1" s="1233"/>
      <c r="T1" s="1233"/>
      <c r="U1" s="1233"/>
      <c r="V1" s="1233"/>
      <c r="W1" s="1233"/>
    </row>
    <row r="2" spans="1:23" ht="25.5" customHeight="1" x14ac:dyDescent="0.25">
      <c r="A2" s="1230"/>
      <c r="B2" s="1238" t="s">
        <v>51</v>
      </c>
      <c r="C2" s="1238"/>
      <c r="D2" s="1239" t="s">
        <v>53</v>
      </c>
      <c r="E2" s="1239"/>
      <c r="F2" s="1237" t="s">
        <v>55</v>
      </c>
      <c r="G2" s="1237"/>
      <c r="H2" s="123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0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35">
        <f>FLOOR(C7/MAX(DATA_DRAG_ACCU_EXP),1)</f>
        <v>60</v>
      </c>
      <c r="H3" s="123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0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35">
        <f>MATCH(C10,DATA_DRAG_ACCU_EXP,0)</f>
        <v>97</v>
      </c>
      <c r="H4" s="123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0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35">
        <f>INDEX(DATA_DRAG_LV_EXP,G4)-(C9-C10)</f>
        <v>23760</v>
      </c>
      <c r="H5" s="123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0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4" t="str">
        <f>IF(R7&gt;0,R6/R7,"")</f>
        <v/>
      </c>
      <c r="V6" s="1234"/>
      <c r="W6" s="1234"/>
    </row>
    <row r="7" spans="1:23" ht="25.5" customHeight="1" x14ac:dyDescent="0.25">
      <c r="A7" s="1230"/>
      <c r="B7" s="118" t="s">
        <v>85</v>
      </c>
      <c r="C7" s="119">
        <f>C6-C8</f>
        <v>75540600</v>
      </c>
      <c r="D7" s="82" t="s">
        <v>54</v>
      </c>
      <c r="E7" s="83"/>
      <c r="F7" s="1138" t="s">
        <v>66</v>
      </c>
      <c r="G7" s="1138"/>
      <c r="H7" s="113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0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8" t="s">
        <v>50</v>
      </c>
      <c r="G8" s="123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0"/>
      <c r="B9" s="90" t="s">
        <v>82</v>
      </c>
      <c r="C9" s="90">
        <f>MOD(C7,DRAG_EXP_100)</f>
        <v>1139400</v>
      </c>
      <c r="F9" s="1138"/>
      <c r="G9" s="123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0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0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0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9" t="s">
        <v>162</v>
      </c>
      <c r="B13" s="1231" t="s">
        <v>163</v>
      </c>
      <c r="C13" s="1231"/>
      <c r="D13" s="1231"/>
      <c r="E13" s="1231"/>
      <c r="F13" s="1231"/>
      <c r="G13" s="1231"/>
      <c r="H13" s="1231"/>
      <c r="O13" s="422"/>
    </row>
    <row r="14" spans="1:23" s="239" customFormat="1" ht="25.5" customHeight="1" x14ac:dyDescent="0.25">
      <c r="A14" s="1230"/>
      <c r="B14" s="1238" t="s">
        <v>51</v>
      </c>
      <c r="C14" s="1238"/>
      <c r="D14" s="1239" t="s">
        <v>53</v>
      </c>
      <c r="E14" s="1239"/>
      <c r="F14" s="1240" t="s">
        <v>55</v>
      </c>
      <c r="G14" s="1240"/>
      <c r="H14" s="1240"/>
    </row>
    <row r="15" spans="1:23" ht="25.5" customHeight="1" x14ac:dyDescent="0.25">
      <c r="A15" s="1230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41">
        <f>FLOOR(C19/MAX(DATA_WYRM_ACCU_EXP),1)</f>
        <v>133</v>
      </c>
      <c r="H15" s="1241"/>
    </row>
    <row r="16" spans="1:23" ht="25.5" customHeight="1" x14ac:dyDescent="0.25">
      <c r="A16" s="1230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35">
        <f>MATCH(C22,DATA_WYRM_ACCU_EXP,0)</f>
        <v>48</v>
      </c>
      <c r="H16" s="1235"/>
    </row>
    <row r="17" spans="1:8" ht="25.5" customHeight="1" x14ac:dyDescent="0.25">
      <c r="A17" s="1230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35">
        <f>INDEX(DATA_WYRM_LV_EXP,G16)-(C21-C22)</f>
        <v>530</v>
      </c>
      <c r="H17" s="1235"/>
    </row>
    <row r="18" spans="1:8" ht="25.5" customHeight="1" x14ac:dyDescent="0.25">
      <c r="A18" s="1230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0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1" t="s">
        <v>96</v>
      </c>
      <c r="B1" s="1221"/>
      <c r="C1" s="1221"/>
      <c r="D1" s="209"/>
      <c r="E1" s="1243" t="s">
        <v>97</v>
      </c>
      <c r="F1" s="1243"/>
      <c r="G1" s="124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2">
        <v>67</v>
      </c>
      <c r="C8" s="124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5" t="s">
        <v>41</v>
      </c>
      <c r="J24" s="1245"/>
      <c r="K24" s="1244">
        <f>K14+K22</f>
        <v>0</v>
      </c>
      <c r="L24" s="124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80" t="s">
        <v>96</v>
      </c>
      <c r="B1" s="880"/>
      <c r="C1" s="880"/>
      <c r="D1" s="880"/>
      <c r="E1" s="880"/>
      <c r="F1" s="880"/>
      <c r="G1" s="880" t="s">
        <v>97</v>
      </c>
      <c r="H1" s="880"/>
      <c r="I1" s="880"/>
      <c r="J1" s="880"/>
      <c r="K1" s="880"/>
      <c r="L1" s="880"/>
      <c r="N1" s="880" t="s">
        <v>104</v>
      </c>
      <c r="O1" s="880"/>
    </row>
    <row r="2" spans="1:15" x14ac:dyDescent="0.25">
      <c r="A2" s="1246" t="s">
        <v>102</v>
      </c>
      <c r="B2" s="1246"/>
      <c r="C2" s="1248" t="s">
        <v>95</v>
      </c>
      <c r="D2" s="1248"/>
      <c r="E2" s="1247" t="s">
        <v>103</v>
      </c>
      <c r="F2" s="1247"/>
      <c r="G2" s="1250" t="s">
        <v>99</v>
      </c>
      <c r="H2" s="1250"/>
      <c r="I2" s="1247" t="s">
        <v>100</v>
      </c>
      <c r="J2" s="1247"/>
      <c r="K2" s="1249" t="s">
        <v>101</v>
      </c>
      <c r="L2" s="124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3" t="s">
        <v>155</v>
      </c>
      <c r="D1" s="1252">
        <f>INDEX(DATA_EVTBLD,B1,3)-B3</f>
        <v>2428</v>
      </c>
      <c r="E1" s="1251" t="s">
        <v>24</v>
      </c>
      <c r="F1" s="1254">
        <f>1-(INDEX(DATA_EVTBLD,B1,3)-B3)/DATA_EVTBLD_MAX</f>
        <v>0.68935516888433979</v>
      </c>
      <c r="G1" s="1254"/>
      <c r="H1" s="1254"/>
      <c r="I1" s="1254"/>
      <c r="J1" s="1254"/>
      <c r="K1" s="1254"/>
      <c r="L1" s="1254"/>
    </row>
    <row r="2" spans="1:12" ht="14.65" customHeight="1" x14ac:dyDescent="0.25">
      <c r="A2" s="312" t="s">
        <v>374</v>
      </c>
      <c r="B2" s="318">
        <v>30</v>
      </c>
      <c r="C2" s="1253"/>
      <c r="D2" s="1252"/>
      <c r="E2" s="1251"/>
      <c r="F2" s="1254"/>
      <c r="G2" s="1254"/>
      <c r="H2" s="1254"/>
      <c r="I2" s="1254"/>
      <c r="J2" s="1254"/>
      <c r="K2" s="1254"/>
      <c r="L2" s="1254"/>
    </row>
    <row r="3" spans="1:12" ht="14.65" customHeight="1" x14ac:dyDescent="0.25">
      <c r="A3" s="312" t="s">
        <v>154</v>
      </c>
      <c r="B3" s="318">
        <v>2122</v>
      </c>
      <c r="C3" s="1253"/>
      <c r="D3" s="1252"/>
      <c r="E3" s="1251"/>
      <c r="F3" s="1254"/>
      <c r="G3" s="1254"/>
      <c r="H3" s="1254"/>
      <c r="I3" s="1254"/>
      <c r="J3" s="1254"/>
      <c r="K3" s="1254"/>
      <c r="L3" s="125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2020-06-29T13:47:43Z</dcterms:modified>
</cp:coreProperties>
</file>