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563" documentId="1_{591E01BB-ADD9-E94E-8B37-A36187A018E2}" xr6:coauthVersionLast="45" xr6:coauthVersionMax="45" xr10:uidLastSave="{97D05CA5-0A69-4B2D-B63A-3A639C2048FB}"/>
  <bookViews>
    <workbookView xWindow="6900" yWindow="120" windowWidth="21390" windowHeight="1435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44" l="1" a="1"/>
  <c r="W8" i="44" s="1"/>
  <c r="V8" i="44" s="1" a="1"/>
  <c r="V8" i="44" s="1"/>
  <c r="U8" i="44" s="1" a="1"/>
  <c r="U8" i="44" s="1"/>
  <c r="W7" i="44" a="1"/>
  <c r="W7" i="44" s="1"/>
  <c r="V7" i="44" s="1" a="1"/>
  <c r="V7" i="44" s="1"/>
  <c r="U7" i="44" s="1" a="1"/>
  <c r="U7" i="44" s="1"/>
  <c r="W5" i="44" a="1"/>
  <c r="W5" i="44" s="1"/>
  <c r="V5" i="44" s="1" a="1"/>
  <c r="V5" i="44" s="1"/>
  <c r="U5" i="44" s="1" a="1"/>
  <c r="U5" i="44" s="1"/>
  <c r="W4" i="44" a="1"/>
  <c r="W4" i="44" s="1"/>
  <c r="V4" i="44" s="1" a="1"/>
  <c r="V4" i="44" s="1"/>
  <c r="U4" i="44" s="1" a="1"/>
  <c r="U4" i="44" s="1"/>
  <c r="G73" i="47" l="1"/>
  <c r="F73" i="47"/>
  <c r="H73" i="47" s="1"/>
  <c r="I73" i="47" s="1"/>
  <c r="E73" i="47"/>
  <c r="X38" i="44" l="1"/>
  <c r="S38" i="44" a="1"/>
  <c r="S38" i="44" s="1"/>
  <c r="W38" i="44" s="1"/>
  <c r="R38" i="44" a="1"/>
  <c r="R38" i="44" s="1"/>
  <c r="S37" i="44" a="1"/>
  <c r="S37" i="44" s="1"/>
  <c r="W37" i="44" s="1"/>
  <c r="S36" i="44" a="1"/>
  <c r="S36" i="44" s="1"/>
  <c r="V36" i="44" s="1"/>
  <c r="S32" i="44" a="1"/>
  <c r="S32" i="44" s="1"/>
  <c r="X32" i="44" s="1"/>
  <c r="S31" i="44" a="1"/>
  <c r="S31" i="44" s="1"/>
  <c r="W31" i="44" s="1"/>
  <c r="S30" i="44" a="1"/>
  <c r="S30" i="44" s="1"/>
  <c r="U30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W9" i="44" s="1" a="1"/>
  <c r="W9" i="44" s="1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Q8" i="44"/>
  <c r="P8" i="44"/>
  <c r="R7" i="44"/>
  <c r="Q7" i="44"/>
  <c r="P7" i="44"/>
  <c r="R6" i="44"/>
  <c r="W6" i="44" s="1" a="1"/>
  <c r="W6" i="44" s="1"/>
  <c r="Q6" i="44"/>
  <c r="P6" i="44"/>
  <c r="R5" i="44"/>
  <c r="Q5" i="44"/>
  <c r="P5" i="44"/>
  <c r="R4" i="44"/>
  <c r="Q4" i="44"/>
  <c r="P4" i="44"/>
  <c r="V9" i="44" l="1" a="1"/>
  <c r="V9" i="44" s="1"/>
  <c r="U9" i="44" s="1" a="1"/>
  <c r="U9" i="44" s="1"/>
  <c r="V6" i="44" a="1"/>
  <c r="V6" i="44" s="1"/>
  <c r="U6" i="44" s="1" a="1"/>
  <c r="U6" i="44" s="1"/>
  <c r="R26" i="44" a="1"/>
  <c r="R26" i="44" s="1"/>
  <c r="S26" i="44" a="1"/>
  <c r="S26" i="44" s="1"/>
  <c r="X26" i="44" s="1"/>
  <c r="V30" i="44"/>
  <c r="W32" i="44"/>
  <c r="V31" i="44"/>
  <c r="U36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L9" i="44"/>
  <c r="K9" i="44"/>
  <c r="C6" i="37"/>
  <c r="R37" i="44" a="1"/>
  <c r="R37" i="44" s="1"/>
  <c r="R36" i="44" a="1"/>
  <c r="R36" i="44" s="1"/>
  <c r="O8" i="44"/>
  <c r="L8" i="44"/>
  <c r="K8" i="44"/>
  <c r="O7" i="44"/>
  <c r="L7" i="44"/>
  <c r="K7" i="44"/>
  <c r="O6" i="44"/>
  <c r="L6" i="44"/>
  <c r="K6" i="44"/>
  <c r="O5" i="44"/>
  <c r="L5" i="44"/>
  <c r="K5" i="44"/>
  <c r="O4" i="44"/>
  <c r="L4" i="44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R13" i="44" a="1"/>
  <c r="R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AR19" i="7"/>
  <c r="F211" i="33"/>
  <c r="AP25" i="7"/>
  <c r="AV18" i="7"/>
  <c r="I140" i="33"/>
  <c r="I135" i="33"/>
  <c r="F178" i="33"/>
  <c r="AN27" i="7"/>
  <c r="AV33" i="7"/>
  <c r="AO13" i="7"/>
  <c r="F39" i="33"/>
  <c r="I150" i="33"/>
  <c r="I180" i="33"/>
  <c r="I67" i="33"/>
  <c r="AU32" i="7"/>
  <c r="F61" i="33"/>
  <c r="I57" i="33"/>
  <c r="F71" i="33"/>
  <c r="F82" i="33"/>
  <c r="I54" i="33"/>
  <c r="I73" i="33"/>
  <c r="I109" i="33"/>
  <c r="F70" i="33"/>
  <c r="F160" i="33"/>
  <c r="I111" i="33"/>
  <c r="F28" i="33"/>
  <c r="F99" i="33"/>
  <c r="F186" i="33"/>
  <c r="E7" i="16"/>
  <c r="AU34" i="7"/>
  <c r="F13" i="33"/>
  <c r="I36" i="33"/>
  <c r="AN18" i="7"/>
  <c r="F221" i="33"/>
  <c r="G6" i="18"/>
  <c r="I186" i="33"/>
  <c r="AP20" i="7"/>
  <c r="F206" i="33"/>
  <c r="AO21" i="7"/>
  <c r="I121" i="33"/>
  <c r="F135" i="33"/>
  <c r="I168" i="33"/>
  <c r="I42" i="33"/>
  <c r="I219" i="33"/>
  <c r="I128" i="33"/>
  <c r="I132" i="33"/>
  <c r="I196" i="33"/>
  <c r="F218" i="33"/>
  <c r="AN15" i="7"/>
  <c r="F68" i="33"/>
  <c r="AP29" i="7"/>
  <c r="AV4" i="7"/>
  <c r="I6" i="33"/>
  <c r="AU24" i="7"/>
  <c r="AP31" i="7"/>
  <c r="AN23" i="7"/>
  <c r="AQ20" i="7"/>
  <c r="I117" i="33"/>
  <c r="AV3" i="7"/>
  <c r="I64" i="33"/>
  <c r="AN6" i="7"/>
  <c r="F14" i="33"/>
  <c r="AU28" i="7"/>
  <c r="F155" i="33"/>
  <c r="I162" i="33"/>
  <c r="F124" i="33"/>
  <c r="F183" i="33"/>
  <c r="F143" i="33"/>
  <c r="F147" i="33"/>
  <c r="AP18" i="7"/>
  <c r="F56" i="33"/>
  <c r="F3" i="33"/>
  <c r="F151" i="33"/>
  <c r="AV29" i="7"/>
  <c r="I84" i="33"/>
  <c r="AP21" i="7"/>
  <c r="F164" i="33"/>
  <c r="I99" i="33"/>
  <c r="I171" i="33"/>
  <c r="F33" i="33"/>
  <c r="F189" i="33"/>
  <c r="AQ19" i="7"/>
  <c r="F104" i="33"/>
  <c r="F94" i="33"/>
  <c r="I115" i="33"/>
  <c r="I5" i="33"/>
  <c r="G5" i="18"/>
  <c r="F204" i="33"/>
  <c r="AN34" i="7"/>
  <c r="AU19" i="7"/>
  <c r="AN26" i="7"/>
  <c r="F216" i="33"/>
  <c r="AO17" i="7"/>
  <c r="F217" i="33"/>
  <c r="F52" i="33"/>
  <c r="AQ4" i="7"/>
  <c r="AN10" i="7"/>
  <c r="F21" i="33"/>
  <c r="F36" i="33"/>
  <c r="I127" i="33"/>
  <c r="I122" i="33"/>
  <c r="AP22" i="7"/>
  <c r="AU35" i="7"/>
  <c r="AU9" i="7"/>
  <c r="AP28" i="7"/>
  <c r="F136" i="33"/>
  <c r="I38" i="33"/>
  <c r="I156" i="33"/>
  <c r="AP12" i="7"/>
  <c r="I189" i="33"/>
  <c r="I112" i="33"/>
  <c r="I190" i="33"/>
  <c r="F185" i="33"/>
  <c r="F182" i="33"/>
  <c r="I80" i="33"/>
  <c r="AQ35" i="7"/>
  <c r="AV28" i="7"/>
  <c r="I188" i="33"/>
  <c r="AO26" i="7"/>
  <c r="AU33" i="7"/>
  <c r="I212" i="33"/>
  <c r="F194" i="33"/>
  <c r="AR11" i="7"/>
  <c r="I30" i="33"/>
  <c r="AU31" i="7"/>
  <c r="F72" i="33"/>
  <c r="F84" i="33"/>
  <c r="G8" i="18"/>
  <c r="F100" i="33"/>
  <c r="AO8" i="7"/>
  <c r="AN12" i="7"/>
  <c r="F152" i="33"/>
  <c r="AR35" i="7"/>
  <c r="F86" i="33"/>
  <c r="AU17" i="7"/>
  <c r="F127" i="33"/>
  <c r="F210" i="33"/>
  <c r="F89" i="33"/>
  <c r="F74" i="33"/>
  <c r="F85" i="33"/>
  <c r="F133" i="33"/>
  <c r="F19" i="33"/>
  <c r="G10" i="18"/>
  <c r="AR5" i="7"/>
  <c r="I183" i="33"/>
  <c r="I7" i="33"/>
  <c r="F171" i="33"/>
  <c r="F154" i="33"/>
  <c r="AR34" i="7"/>
  <c r="G17" i="18"/>
  <c r="F15" i="33"/>
  <c r="F67" i="33"/>
  <c r="AV30" i="7"/>
  <c r="I139" i="33"/>
  <c r="AP19" i="7"/>
  <c r="F157" i="33"/>
  <c r="F11" i="33"/>
  <c r="I63" i="33"/>
  <c r="I55" i="33"/>
  <c r="F113" i="33"/>
  <c r="F215" i="33"/>
  <c r="I146" i="33"/>
  <c r="F138" i="33"/>
  <c r="F181" i="33"/>
  <c r="AU21" i="7"/>
  <c r="AU15" i="7"/>
  <c r="I200" i="33"/>
  <c r="I69" i="33"/>
  <c r="F139" i="33"/>
  <c r="AV36" i="7"/>
  <c r="I28" i="33"/>
  <c r="AP16" i="7"/>
  <c r="AO28" i="7"/>
  <c r="I170" i="33"/>
  <c r="I181" i="33"/>
  <c r="F175" i="33"/>
  <c r="AV10" i="7"/>
  <c r="I95" i="33"/>
  <c r="AN9" i="7"/>
  <c r="AQ36" i="7"/>
  <c r="I203" i="33"/>
  <c r="F148" i="33"/>
  <c r="AR3" i="7"/>
  <c r="I160" i="33"/>
  <c r="F40" i="33"/>
  <c r="I119" i="33"/>
  <c r="I8" i="33"/>
  <c r="F6" i="33"/>
  <c r="I31" i="33"/>
  <c r="I204" i="33"/>
  <c r="I179" i="33"/>
  <c r="H7" i="16"/>
  <c r="F101" i="33"/>
  <c r="AV32" i="7"/>
  <c r="I33" i="33"/>
  <c r="F118" i="33"/>
  <c r="AQ8" i="7"/>
  <c r="F110" i="33"/>
  <c r="AO36" i="7"/>
  <c r="AQ11" i="7"/>
  <c r="AQ5" i="7"/>
  <c r="AU22" i="7"/>
  <c r="F200" i="33"/>
  <c r="AO29" i="7"/>
  <c r="F142" i="33"/>
  <c r="F180" i="33"/>
  <c r="I195" i="33"/>
  <c r="F102" i="33"/>
  <c r="AU16" i="7"/>
  <c r="AN4" i="7"/>
  <c r="F141" i="33"/>
  <c r="I12" i="33"/>
  <c r="F44" i="33"/>
  <c r="AV19" i="7"/>
  <c r="AO4" i="7"/>
  <c r="I70" i="33"/>
  <c r="AN22" i="7"/>
  <c r="F26" i="33"/>
  <c r="AR15" i="7"/>
  <c r="AN20" i="7"/>
  <c r="AR18" i="7"/>
  <c r="F115" i="33"/>
  <c r="AQ30" i="7"/>
  <c r="AO22" i="7"/>
  <c r="I192" i="33"/>
  <c r="AO10" i="7"/>
  <c r="F193" i="33"/>
  <c r="I136" i="33"/>
  <c r="AO35" i="7"/>
  <c r="I193" i="33"/>
  <c r="AO19" i="7"/>
  <c r="I154" i="33"/>
  <c r="F129" i="33"/>
  <c r="AU7" i="7"/>
  <c r="I213" i="33"/>
  <c r="F163" i="33"/>
  <c r="AR28" i="7"/>
  <c r="F128" i="33"/>
  <c r="F177" i="33"/>
  <c r="AQ17" i="7"/>
  <c r="AP4" i="7"/>
  <c r="AO34" i="7"/>
  <c r="F8" i="33"/>
  <c r="AP34" i="7"/>
  <c r="AU5" i="7"/>
  <c r="F205" i="33"/>
  <c r="G4" i="18"/>
  <c r="F81" i="33"/>
  <c r="I145" i="33"/>
  <c r="AV21" i="7"/>
  <c r="I79" i="33"/>
  <c r="D7" i="16"/>
  <c r="I207" i="33"/>
  <c r="I58" i="33"/>
  <c r="I39" i="33"/>
  <c r="I102" i="33"/>
  <c r="F34" i="33"/>
  <c r="AQ7" i="7"/>
  <c r="I124" i="33"/>
  <c r="F27" i="33"/>
  <c r="AU25" i="7"/>
  <c r="F62" i="33"/>
  <c r="AQ21" i="7"/>
  <c r="AR21" i="7"/>
  <c r="I105" i="33"/>
  <c r="F98" i="33"/>
  <c r="AR13" i="7"/>
  <c r="AR12" i="7"/>
  <c r="AN36" i="7"/>
  <c r="I209" i="33"/>
  <c r="AU11" i="7"/>
  <c r="AQ27" i="7"/>
  <c r="AP14" i="7"/>
  <c r="I116" i="33"/>
  <c r="I11" i="33"/>
  <c r="I29" i="33"/>
  <c r="I17" i="33"/>
  <c r="F220" i="33"/>
  <c r="I165" i="33"/>
  <c r="F132" i="33"/>
  <c r="AN3" i="7"/>
  <c r="F63" i="33"/>
  <c r="I77" i="33"/>
  <c r="AQ6" i="7"/>
  <c r="I48" i="33"/>
  <c r="I184" i="33"/>
  <c r="AU29" i="7"/>
  <c r="AV35" i="7"/>
  <c r="F24" i="33"/>
  <c r="I191" i="33"/>
  <c r="F159" i="33"/>
  <c r="AU6" i="7"/>
  <c r="I8" i="16"/>
  <c r="F49" i="33"/>
  <c r="F29" i="33"/>
  <c r="AP36" i="7"/>
  <c r="I62" i="33"/>
  <c r="I177" i="33"/>
  <c r="H9" i="16"/>
  <c r="F46" i="33"/>
  <c r="I9" i="16"/>
  <c r="F145" i="33"/>
  <c r="AQ32" i="7"/>
  <c r="I49" i="33"/>
  <c r="AV34" i="7"/>
  <c r="E8" i="16"/>
  <c r="I82" i="33"/>
  <c r="AV26" i="7"/>
  <c r="AN24" i="7"/>
  <c r="F35" i="33"/>
  <c r="F17" i="33"/>
  <c r="D9" i="16"/>
  <c r="I40" i="33"/>
  <c r="F213" i="33"/>
  <c r="I201" i="33"/>
  <c r="I110" i="33"/>
  <c r="I52" i="33"/>
  <c r="AQ28" i="7"/>
  <c r="F76" i="33"/>
  <c r="AN28" i="7"/>
  <c r="G12" i="18"/>
  <c r="I32" i="33"/>
  <c r="AR36" i="7"/>
  <c r="AQ9" i="7"/>
  <c r="I133" i="33"/>
  <c r="F108" i="33"/>
  <c r="F96" i="33"/>
  <c r="I126" i="33"/>
  <c r="I22" i="33"/>
  <c r="F170" i="33"/>
  <c r="G7" i="18"/>
  <c r="AP24" i="7"/>
  <c r="I91" i="33"/>
  <c r="AP30" i="7"/>
  <c r="I220" i="33"/>
  <c r="AU3" i="7"/>
  <c r="I138" i="33"/>
  <c r="I87" i="33"/>
  <c r="I96" i="33"/>
  <c r="I169" i="33"/>
  <c r="D8" i="16"/>
  <c r="I15" i="33"/>
  <c r="AO6" i="7"/>
  <c r="I173" i="33"/>
  <c r="I60" i="33"/>
  <c r="AR33" i="7"/>
  <c r="AO20" i="7"/>
  <c r="F50" i="33"/>
  <c r="I176" i="33"/>
  <c r="F156" i="33"/>
  <c r="F179" i="33"/>
  <c r="F150" i="33"/>
  <c r="I51" i="33"/>
  <c r="I205" i="33"/>
  <c r="F198" i="33"/>
  <c r="F79" i="33"/>
  <c r="F25" i="33"/>
  <c r="AQ26" i="7"/>
  <c r="F92" i="33"/>
  <c r="AQ33" i="7"/>
  <c r="AQ25" i="7"/>
  <c r="AO15" i="7"/>
  <c r="F73" i="33"/>
  <c r="F187" i="33"/>
  <c r="I153" i="33"/>
  <c r="I71" i="33"/>
  <c r="AQ15" i="7"/>
  <c r="I202" i="33"/>
  <c r="F42" i="33"/>
  <c r="I66" i="33"/>
  <c r="AU4" i="7"/>
  <c r="I175" i="33"/>
  <c r="AR9" i="7"/>
  <c r="I34" i="33"/>
  <c r="F58" i="33"/>
  <c r="AQ14" i="7"/>
  <c r="I120" i="33"/>
  <c r="F16" i="33"/>
  <c r="F106" i="33"/>
  <c r="AV8" i="7"/>
  <c r="I149" i="33"/>
  <c r="AO9" i="7"/>
  <c r="AP15" i="7"/>
  <c r="I163" i="33"/>
  <c r="I114" i="33"/>
  <c r="F140" i="33"/>
  <c r="I210" i="33"/>
  <c r="F60" i="33"/>
  <c r="F158" i="33"/>
  <c r="F149" i="33"/>
  <c r="AO33" i="7"/>
  <c r="F30" i="33"/>
  <c r="AN5" i="7"/>
  <c r="F77" i="33"/>
  <c r="I83" i="33"/>
  <c r="I167" i="33"/>
  <c r="AO3" i="7"/>
  <c r="AN21" i="7"/>
  <c r="I7" i="16"/>
  <c r="I147" i="33"/>
  <c r="AQ34" i="7"/>
  <c r="I142" i="33"/>
  <c r="F192" i="33"/>
  <c r="AR8" i="7"/>
  <c r="F87" i="33"/>
  <c r="AV22" i="7"/>
  <c r="F168" i="33"/>
  <c r="AN30" i="7"/>
  <c r="AV12" i="7"/>
  <c r="AN11" i="7"/>
  <c r="F203" i="33"/>
  <c r="F207" i="33"/>
  <c r="F126" i="33"/>
  <c r="F114" i="33"/>
  <c r="I19" i="33"/>
  <c r="F88" i="33"/>
  <c r="I141" i="33"/>
  <c r="AV16" i="7"/>
  <c r="I25" i="33"/>
  <c r="AU12" i="7"/>
  <c r="I21" i="33"/>
  <c r="F184" i="33"/>
  <c r="F53" i="33"/>
  <c r="I94" i="33"/>
  <c r="F38" i="33"/>
  <c r="F120" i="33"/>
  <c r="I129" i="33"/>
  <c r="F222" i="33"/>
  <c r="F169" i="33"/>
  <c r="I89" i="33"/>
  <c r="F51" i="33"/>
  <c r="F202" i="33"/>
  <c r="AP32" i="7"/>
  <c r="AR17" i="7"/>
  <c r="I88" i="33"/>
  <c r="AP6" i="7"/>
  <c r="AU13" i="7"/>
  <c r="F167" i="33"/>
  <c r="I208" i="33"/>
  <c r="I106" i="33"/>
  <c r="I37" i="33"/>
  <c r="I75" i="33"/>
  <c r="F125" i="33"/>
  <c r="AO25" i="7"/>
  <c r="F196" i="33"/>
  <c r="I43" i="33"/>
  <c r="AQ18" i="7"/>
  <c r="F4" i="33"/>
  <c r="AU14" i="7"/>
  <c r="AU8" i="7"/>
  <c r="F95" i="33"/>
  <c r="I100" i="33"/>
  <c r="I221" i="33"/>
  <c r="I164" i="33"/>
  <c r="F209" i="33"/>
  <c r="I86" i="33"/>
  <c r="F188" i="33"/>
  <c r="F45" i="33"/>
  <c r="AV14" i="7"/>
  <c r="I41" i="33"/>
  <c r="AP8" i="7"/>
  <c r="AR7" i="7"/>
  <c r="AQ23" i="7"/>
  <c r="F18" i="33"/>
  <c r="F121" i="33"/>
  <c r="I143" i="33"/>
  <c r="F109" i="33"/>
  <c r="AU23" i="7"/>
  <c r="I155" i="33"/>
  <c r="AN31" i="7"/>
  <c r="F153" i="33"/>
  <c r="I131" i="33"/>
  <c r="G18" i="18"/>
  <c r="F59" i="33"/>
  <c r="F111" i="33"/>
  <c r="F112" i="33"/>
  <c r="AV24" i="7"/>
  <c r="AV31" i="7"/>
  <c r="AN7" i="7"/>
  <c r="AO30" i="7"/>
  <c r="AQ29" i="7"/>
  <c r="AN29" i="7"/>
  <c r="AO16" i="7"/>
  <c r="I93" i="33"/>
  <c r="I123" i="33"/>
  <c r="AO5" i="7"/>
  <c r="AQ13" i="7"/>
  <c r="F54" i="33"/>
  <c r="I68" i="33"/>
  <c r="F97" i="33"/>
  <c r="F48" i="33"/>
  <c r="F20" i="33"/>
  <c r="I206" i="33"/>
  <c r="F5" i="33"/>
  <c r="F69" i="33"/>
  <c r="AN16" i="7"/>
  <c r="I90" i="33"/>
  <c r="F201" i="33"/>
  <c r="AV13" i="7"/>
  <c r="I107" i="33"/>
  <c r="E9" i="16"/>
  <c r="AP10" i="7"/>
  <c r="AN19" i="7"/>
  <c r="I185" i="33"/>
  <c r="I130" i="33"/>
  <c r="AU26" i="7"/>
  <c r="I97" i="33"/>
  <c r="I27" i="33"/>
  <c r="I182" i="33"/>
  <c r="AO24" i="7"/>
  <c r="I26" i="33"/>
  <c r="AR24" i="7"/>
  <c r="F83" i="33"/>
  <c r="F146" i="33"/>
  <c r="AV17" i="7"/>
  <c r="I53" i="33"/>
  <c r="F107" i="33"/>
  <c r="I76" i="33"/>
  <c r="I197" i="33"/>
  <c r="AQ22" i="7"/>
  <c r="I81" i="33"/>
  <c r="AN17" i="7"/>
  <c r="I152" i="33"/>
  <c r="I72" i="33"/>
  <c r="AO14" i="7"/>
  <c r="AV5" i="7"/>
  <c r="AP7" i="7"/>
  <c r="AP11" i="7"/>
  <c r="F165" i="33"/>
  <c r="I113" i="33"/>
  <c r="F55" i="33"/>
  <c r="AN25" i="7"/>
  <c r="AV6" i="7"/>
  <c r="AR31" i="7"/>
  <c r="I178" i="33"/>
  <c r="I45" i="33"/>
  <c r="AQ3" i="7"/>
  <c r="I108" i="33"/>
  <c r="F122" i="33"/>
  <c r="I23" i="33"/>
  <c r="I46" i="33"/>
  <c r="F43" i="33"/>
  <c r="F173" i="33"/>
  <c r="AV9" i="7"/>
  <c r="F93" i="33"/>
  <c r="AV27" i="7"/>
  <c r="F119" i="33"/>
  <c r="I199" i="33"/>
  <c r="AN35" i="7"/>
  <c r="F41" i="33"/>
  <c r="I211" i="33"/>
  <c r="AR23" i="7"/>
  <c r="I18" i="33"/>
  <c r="AV15" i="7"/>
  <c r="I16" i="33"/>
  <c r="I4" i="33"/>
  <c r="I215" i="33"/>
  <c r="I166" i="33"/>
  <c r="AR16" i="7"/>
  <c r="I10" i="33"/>
  <c r="F176" i="33"/>
  <c r="AN33" i="7"/>
  <c r="AO12" i="7"/>
  <c r="F64" i="33"/>
  <c r="F172" i="33"/>
  <c r="AU18" i="7"/>
  <c r="I61" i="33"/>
  <c r="F134" i="33"/>
  <c r="AO23" i="7"/>
  <c r="I161" i="33"/>
  <c r="I14" i="33"/>
  <c r="I50" i="33"/>
  <c r="I137" i="33"/>
  <c r="F195" i="33"/>
  <c r="I159" i="33"/>
  <c r="I92" i="33"/>
  <c r="AO18" i="7"/>
  <c r="AV23" i="7"/>
  <c r="F137" i="33"/>
  <c r="F9" i="33"/>
  <c r="AR29" i="7"/>
  <c r="F7" i="33"/>
  <c r="I144" i="33"/>
  <c r="F208" i="33"/>
  <c r="F78" i="33"/>
  <c r="AU20" i="7"/>
  <c r="AR26" i="7"/>
  <c r="I20" i="33"/>
  <c r="F12" i="33"/>
  <c r="AQ10" i="7"/>
  <c r="AR4" i="7"/>
  <c r="AN14" i="7"/>
  <c r="F37" i="33"/>
  <c r="I174" i="33"/>
  <c r="AR10" i="7"/>
  <c r="AP33" i="7"/>
  <c r="F23" i="33"/>
  <c r="AP5" i="7"/>
  <c r="F197" i="33"/>
  <c r="AR32" i="7"/>
  <c r="F32" i="33"/>
  <c r="AR30" i="7"/>
  <c r="G11" i="18"/>
  <c r="AP17" i="7"/>
  <c r="AV25" i="7"/>
  <c r="F123" i="33"/>
  <c r="AP27" i="7"/>
  <c r="I65" i="33"/>
  <c r="I101" i="33"/>
  <c r="F117" i="33"/>
  <c r="I218" i="33"/>
  <c r="G13" i="18"/>
  <c r="F10" i="33"/>
  <c r="G16" i="18"/>
  <c r="AO7" i="7"/>
  <c r="F80" i="33"/>
  <c r="F166" i="33"/>
  <c r="AR25" i="7"/>
  <c r="F212" i="33"/>
  <c r="AU36" i="7"/>
  <c r="F91" i="33"/>
  <c r="I78" i="33"/>
  <c r="F199" i="33"/>
  <c r="AQ31" i="7"/>
  <c r="F75" i="33"/>
  <c r="I59" i="33"/>
  <c r="I74" i="33"/>
  <c r="I118" i="33"/>
  <c r="AP26" i="7"/>
  <c r="AV7" i="7"/>
  <c r="I24" i="33"/>
  <c r="F214" i="33"/>
  <c r="G9" i="18"/>
  <c r="I214" i="33"/>
  <c r="I9" i="33"/>
  <c r="I56" i="33"/>
  <c r="H8" i="16"/>
  <c r="AN8" i="7"/>
  <c r="F162" i="33"/>
  <c r="I13" i="33"/>
  <c r="F219" i="33"/>
  <c r="F131" i="33"/>
  <c r="AR27" i="7"/>
  <c r="I217" i="33"/>
  <c r="I198" i="33"/>
  <c r="AP3" i="7"/>
  <c r="AU27" i="7"/>
  <c r="F57" i="33"/>
  <c r="AU10" i="7"/>
  <c r="F103" i="33"/>
  <c r="AO31" i="7"/>
  <c r="I194" i="33"/>
  <c r="AU30" i="7"/>
  <c r="AP9" i="7"/>
  <c r="I187" i="33"/>
  <c r="F66" i="33"/>
  <c r="AR22" i="7"/>
  <c r="I222" i="33"/>
  <c r="I151" i="33"/>
  <c r="AN13" i="7"/>
  <c r="I85" i="33"/>
  <c r="F161" i="33"/>
  <c r="F116" i="33"/>
  <c r="AR20" i="7"/>
  <c r="I44" i="33"/>
  <c r="AV11" i="7"/>
  <c r="I104" i="33"/>
  <c r="AV20" i="7"/>
  <c r="I158" i="33"/>
  <c r="F190" i="33"/>
  <c r="I35" i="33"/>
  <c r="F65" i="33"/>
  <c r="F90" i="33"/>
  <c r="I134" i="33"/>
  <c r="F31" i="33"/>
  <c r="F144" i="33"/>
  <c r="AQ12" i="7"/>
  <c r="F130" i="33"/>
  <c r="AP23" i="7"/>
  <c r="AQ24" i="7"/>
  <c r="F191" i="33"/>
  <c r="I216" i="33"/>
  <c r="I148" i="33"/>
  <c r="AO11" i="7"/>
  <c r="F105" i="33"/>
  <c r="AR6" i="7"/>
  <c r="I98" i="33"/>
  <c r="AP13" i="7"/>
  <c r="F174" i="33"/>
  <c r="I103" i="33"/>
  <c r="I172" i="33"/>
  <c r="F22" i="33"/>
  <c r="I3" i="33"/>
  <c r="AN32" i="7"/>
  <c r="AO27" i="7"/>
  <c r="I157" i="33"/>
  <c r="AQ16" i="7"/>
  <c r="I125" i="33"/>
  <c r="AP35" i="7"/>
  <c r="I47" i="33"/>
  <c r="F47" i="33"/>
  <c r="AO32" i="7"/>
  <c r="AR14" i="7"/>
  <c r="S25" i="44" l="1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X25" i="44" l="1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M4" i="18" l="1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<sst xmlns="http://schemas.openxmlformats.org/spreadsheetml/2006/main" count="1375" uniqueCount="483">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</sst>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20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15" borderId="6" xfId="0" applyNumberFormat="1" applyFont="1" applyFill="1" applyBorder="1" applyAlignment="1">
      <alignment horizontal="center" vertical="center"/>
    </xf>
    <xf numFmtId="0" fontId="6" fillId="15" borderId="11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54" fillId="15" borderId="10" xfId="1" applyNumberFormat="1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F0DFF"/>
      <color rgb="FFFF7DFF"/>
      <color rgb="FF481F67"/>
      <color rgb="FFF3A671"/>
      <color rgb="FFFFDA65"/>
      <color rgb="FFFFFF93"/>
      <color rgb="FF83C937"/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18" t="s">
        <v>197</v>
      </c>
      <c r="B10" s="439" t="s">
        <v>198</v>
      </c>
    </row>
    <row r="11" spans="1:3" s="426" customFormat="1" ht="35.25" customHeight="1" x14ac:dyDescent="0.25">
      <c r="A11" s="819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0" t="s">
        <v>194</v>
      </c>
      <c r="B17" s="815" t="s">
        <v>194</v>
      </c>
      <c r="C17" s="442" t="s">
        <v>202</v>
      </c>
    </row>
    <row r="18" spans="1:3" s="425" customFormat="1" ht="22.5" customHeight="1" x14ac:dyDescent="0.25">
      <c r="A18" s="821"/>
      <c r="B18" s="816"/>
      <c r="C18" s="442" t="s">
        <v>232</v>
      </c>
    </row>
    <row r="19" spans="1:3" s="425" customFormat="1" ht="22.5" customHeight="1" x14ac:dyDescent="0.25">
      <c r="A19" s="821"/>
      <c r="B19" s="816"/>
      <c r="C19" s="447" t="s">
        <v>229</v>
      </c>
    </row>
    <row r="20" spans="1:3" s="425" customFormat="1" ht="22.5" customHeight="1" x14ac:dyDescent="0.25">
      <c r="A20" s="821"/>
      <c r="B20" s="816"/>
      <c r="C20" s="447" t="s">
        <v>228</v>
      </c>
    </row>
    <row r="21" spans="1:3" s="438" customFormat="1" ht="22.5" customHeight="1" thickBot="1" x14ac:dyDescent="0.3">
      <c r="A21" s="822"/>
      <c r="B21" s="817"/>
      <c r="C21" s="443" t="s">
        <v>233</v>
      </c>
    </row>
    <row r="22" spans="1:3" s="435" customFormat="1" ht="22.5" customHeight="1" x14ac:dyDescent="0.25">
      <c r="A22" s="820" t="s">
        <v>207</v>
      </c>
      <c r="B22" s="815" t="s">
        <v>208</v>
      </c>
      <c r="C22" s="441" t="s">
        <v>209</v>
      </c>
    </row>
    <row r="23" spans="1:3" s="425" customFormat="1" ht="22.5" customHeight="1" x14ac:dyDescent="0.25">
      <c r="A23" s="821"/>
      <c r="B23" s="816"/>
      <c r="C23" s="442" t="s">
        <v>210</v>
      </c>
    </row>
    <row r="24" spans="1:3" s="425" customFormat="1" ht="22.5" customHeight="1" x14ac:dyDescent="0.25">
      <c r="A24" s="821"/>
      <c r="B24" s="816"/>
      <c r="C24" s="425" t="s">
        <v>213</v>
      </c>
    </row>
    <row r="25" spans="1:3" s="425" customFormat="1" ht="22.5" customHeight="1" x14ac:dyDescent="0.25">
      <c r="A25" s="821"/>
      <c r="B25" s="816"/>
      <c r="C25" s="442" t="s">
        <v>211</v>
      </c>
    </row>
    <row r="26" spans="1:3" s="438" customFormat="1" ht="22.5" customHeight="1" thickBot="1" x14ac:dyDescent="0.3">
      <c r="A26" s="822"/>
      <c r="B26" s="817"/>
      <c r="C26" s="438" t="s">
        <v>212</v>
      </c>
    </row>
    <row r="27" spans="1:3" s="435" customFormat="1" ht="22.5" customHeight="1" x14ac:dyDescent="0.25">
      <c r="A27" s="820" t="s">
        <v>215</v>
      </c>
      <c r="B27" s="815" t="s">
        <v>215</v>
      </c>
      <c r="C27" s="441" t="s">
        <v>216</v>
      </c>
    </row>
    <row r="28" spans="1:3" s="425" customFormat="1" ht="22.5" customHeight="1" x14ac:dyDescent="0.25">
      <c r="A28" s="821"/>
      <c r="B28" s="816"/>
      <c r="C28" s="447" t="s">
        <v>268</v>
      </c>
    </row>
    <row r="29" spans="1:3" s="425" customFormat="1" ht="22.5" customHeight="1" x14ac:dyDescent="0.25">
      <c r="A29" s="821"/>
      <c r="B29" s="816"/>
      <c r="C29" s="447" t="s">
        <v>270</v>
      </c>
    </row>
    <row r="30" spans="1:3" s="425" customFormat="1" ht="22.5" customHeight="1" x14ac:dyDescent="0.25">
      <c r="A30" s="821"/>
      <c r="B30" s="816"/>
      <c r="C30" s="425" t="s">
        <v>269</v>
      </c>
    </row>
    <row r="31" spans="1:3" s="437" customFormat="1" ht="22.5" customHeight="1" thickBot="1" x14ac:dyDescent="0.3">
      <c r="A31" s="822"/>
      <c r="B31" s="436" t="s">
        <v>217</v>
      </c>
      <c r="C31" s="437" t="s">
        <v>341</v>
      </c>
    </row>
    <row r="32" spans="1:3" s="435" customFormat="1" ht="22.5" customHeight="1" x14ac:dyDescent="0.25">
      <c r="A32" s="812" t="s">
        <v>221</v>
      </c>
      <c r="B32" s="809" t="s">
        <v>221</v>
      </c>
      <c r="C32" s="441" t="s">
        <v>222</v>
      </c>
    </row>
    <row r="33" spans="1:3" s="425" customFormat="1" ht="22.5" customHeight="1" x14ac:dyDescent="0.25">
      <c r="A33" s="813"/>
      <c r="B33" s="810"/>
      <c r="C33" s="442" t="s">
        <v>223</v>
      </c>
    </row>
    <row r="34" spans="1:3" s="425" customFormat="1" ht="22.5" customHeight="1" x14ac:dyDescent="0.25">
      <c r="A34" s="813"/>
      <c r="B34" s="810"/>
      <c r="C34" s="442" t="s">
        <v>224</v>
      </c>
    </row>
    <row r="35" spans="1:3" s="438" customFormat="1" ht="22.5" customHeight="1" thickBot="1" x14ac:dyDescent="0.3">
      <c r="A35" s="814"/>
      <c r="B35" s="811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52" t="s">
        <v>441</v>
      </c>
      <c r="B1" s="852"/>
      <c r="C1" s="852"/>
      <c r="D1" s="852"/>
      <c r="E1" s="852"/>
      <c r="F1" s="852"/>
      <c r="G1" s="852"/>
      <c r="H1" s="852"/>
      <c r="I1" s="852"/>
      <c r="J1" s="852"/>
      <c r="K1" s="852"/>
      <c r="L1" s="852"/>
      <c r="M1" s="852"/>
    </row>
    <row r="2" spans="1:21" s="11" customFormat="1" ht="18.75" customHeight="1" x14ac:dyDescent="0.25">
      <c r="A2" s="853" t="s">
        <v>342</v>
      </c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25" t="s">
        <v>275</v>
      </c>
      <c r="B3" s="828" t="s">
        <v>336</v>
      </c>
      <c r="C3" s="829"/>
      <c r="D3" s="828" t="s">
        <v>322</v>
      </c>
      <c r="E3" s="829"/>
      <c r="F3" s="828" t="s">
        <v>326</v>
      </c>
      <c r="G3" s="829"/>
      <c r="H3" s="828" t="s">
        <v>326</v>
      </c>
      <c r="I3" s="829"/>
      <c r="J3" s="828" t="s">
        <v>363</v>
      </c>
      <c r="K3" s="829"/>
      <c r="L3" s="828"/>
      <c r="M3" s="829"/>
      <c r="N3" s="828"/>
      <c r="O3" s="829"/>
      <c r="P3" s="828"/>
      <c r="Q3" s="829"/>
      <c r="R3" s="828"/>
      <c r="S3" s="829"/>
      <c r="T3" s="828"/>
      <c r="U3" s="829"/>
    </row>
    <row r="4" spans="1:21" s="612" customFormat="1" ht="21" customHeight="1" x14ac:dyDescent="0.25">
      <c r="A4" s="826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27"/>
      <c r="B5" s="823" t="s">
        <v>337</v>
      </c>
      <c r="C5" s="824"/>
      <c r="D5" s="823" t="s">
        <v>325</v>
      </c>
      <c r="E5" s="824"/>
      <c r="F5" s="823" t="s">
        <v>330</v>
      </c>
      <c r="G5" s="830"/>
      <c r="H5" s="830"/>
      <c r="I5" s="824"/>
      <c r="J5" s="823" t="s">
        <v>366</v>
      </c>
      <c r="K5" s="824"/>
      <c r="L5" s="823"/>
      <c r="M5" s="824"/>
      <c r="N5" s="823"/>
      <c r="O5" s="824"/>
      <c r="P5" s="823"/>
      <c r="Q5" s="824"/>
      <c r="R5" s="823"/>
      <c r="S5" s="824"/>
      <c r="T5" s="823"/>
      <c r="U5" s="824"/>
    </row>
    <row r="6" spans="1:21" s="609" customFormat="1" ht="21" customHeight="1" x14ac:dyDescent="0.25">
      <c r="A6" s="849" t="s">
        <v>277</v>
      </c>
      <c r="B6" s="833" t="s">
        <v>271</v>
      </c>
      <c r="C6" s="834"/>
      <c r="D6" s="833" t="s">
        <v>296</v>
      </c>
      <c r="E6" s="834"/>
      <c r="F6" s="833" t="s">
        <v>304</v>
      </c>
      <c r="G6" s="834"/>
      <c r="H6" s="833" t="s">
        <v>411</v>
      </c>
      <c r="I6" s="834"/>
      <c r="J6" s="833"/>
      <c r="K6" s="834"/>
      <c r="L6" s="833"/>
      <c r="M6" s="834"/>
      <c r="N6" s="833"/>
      <c r="O6" s="834"/>
      <c r="P6" s="833"/>
      <c r="Q6" s="834"/>
      <c r="R6" s="833"/>
      <c r="S6" s="834"/>
      <c r="T6" s="833"/>
      <c r="U6" s="834"/>
    </row>
    <row r="7" spans="1:21" s="613" customFormat="1" ht="21" customHeight="1" x14ac:dyDescent="0.25">
      <c r="A7" s="850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50"/>
      <c r="B8" s="831" t="s">
        <v>409</v>
      </c>
      <c r="C8" s="832"/>
      <c r="D8" s="831"/>
      <c r="E8" s="832"/>
      <c r="F8" s="831" t="s">
        <v>328</v>
      </c>
      <c r="G8" s="832"/>
      <c r="H8" s="831"/>
      <c r="I8" s="832"/>
      <c r="J8" s="831"/>
      <c r="K8" s="832"/>
      <c r="L8" s="831"/>
      <c r="M8" s="832"/>
      <c r="N8" s="831"/>
      <c r="O8" s="832"/>
      <c r="P8" s="831"/>
      <c r="Q8" s="832"/>
      <c r="R8" s="831"/>
      <c r="S8" s="832"/>
      <c r="T8" s="831"/>
      <c r="U8" s="832"/>
    </row>
    <row r="9" spans="1:21" s="720" customFormat="1" ht="21" customHeight="1" x14ac:dyDescent="0.25">
      <c r="A9" s="850"/>
      <c r="B9" s="833" t="s">
        <v>435</v>
      </c>
      <c r="C9" s="834"/>
      <c r="D9" s="833" t="s">
        <v>296</v>
      </c>
      <c r="E9" s="834"/>
      <c r="F9" s="833" t="s">
        <v>439</v>
      </c>
      <c r="G9" s="834"/>
      <c r="H9" s="833"/>
      <c r="I9" s="834"/>
      <c r="J9" s="833"/>
      <c r="K9" s="834"/>
      <c r="L9" s="833"/>
      <c r="M9" s="834"/>
      <c r="N9" s="833"/>
      <c r="O9" s="834"/>
      <c r="P9" s="833"/>
      <c r="Q9" s="834"/>
      <c r="R9" s="833"/>
      <c r="S9" s="834"/>
      <c r="T9" s="833"/>
      <c r="U9" s="834"/>
    </row>
    <row r="10" spans="1:21" s="613" customFormat="1" ht="21" customHeight="1" x14ac:dyDescent="0.25">
      <c r="A10" s="850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51"/>
      <c r="B11" s="831" t="s">
        <v>438</v>
      </c>
      <c r="C11" s="832"/>
      <c r="D11" s="831" t="s">
        <v>437</v>
      </c>
      <c r="E11" s="832"/>
      <c r="F11" s="831" t="s">
        <v>437</v>
      </c>
      <c r="G11" s="832"/>
      <c r="H11" s="831"/>
      <c r="I11" s="832"/>
      <c r="J11" s="831"/>
      <c r="K11" s="832"/>
      <c r="L11" s="831"/>
      <c r="M11" s="832"/>
      <c r="N11" s="831"/>
      <c r="O11" s="832"/>
      <c r="P11" s="831"/>
      <c r="Q11" s="832"/>
      <c r="R11" s="831"/>
      <c r="S11" s="832"/>
      <c r="T11" s="831"/>
      <c r="U11" s="832"/>
    </row>
    <row r="12" spans="1:21" s="153" customFormat="1" ht="21" customHeight="1" x14ac:dyDescent="0.25">
      <c r="A12" s="837" t="s">
        <v>278</v>
      </c>
      <c r="B12" s="840" t="s">
        <v>303</v>
      </c>
      <c r="C12" s="841"/>
      <c r="D12" s="840" t="s">
        <v>310</v>
      </c>
      <c r="E12" s="841"/>
      <c r="F12" s="840"/>
      <c r="G12" s="841"/>
      <c r="H12" s="840"/>
      <c r="I12" s="841"/>
      <c r="J12" s="840"/>
      <c r="K12" s="841"/>
      <c r="L12" s="840"/>
      <c r="M12" s="841"/>
      <c r="N12" s="840"/>
      <c r="O12" s="841"/>
      <c r="P12" s="840"/>
      <c r="Q12" s="841"/>
      <c r="R12" s="840"/>
      <c r="S12" s="841"/>
      <c r="T12" s="840"/>
      <c r="U12" s="841"/>
    </row>
    <row r="13" spans="1:21" s="612" customFormat="1" ht="21" customHeight="1" x14ac:dyDescent="0.25">
      <c r="A13" s="838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39"/>
      <c r="B14" s="835" t="s">
        <v>307</v>
      </c>
      <c r="C14" s="836"/>
      <c r="D14" s="835" t="s">
        <v>315</v>
      </c>
      <c r="E14" s="836"/>
      <c r="F14" s="835"/>
      <c r="G14" s="836"/>
      <c r="H14" s="835"/>
      <c r="I14" s="836"/>
      <c r="J14" s="835"/>
      <c r="K14" s="836"/>
      <c r="L14" s="835"/>
      <c r="M14" s="836"/>
      <c r="N14" s="835"/>
      <c r="O14" s="836"/>
      <c r="P14" s="835"/>
      <c r="Q14" s="836"/>
      <c r="R14" s="835"/>
      <c r="S14" s="836"/>
      <c r="T14" s="835"/>
      <c r="U14" s="836"/>
    </row>
    <row r="15" spans="1:21" s="161" customFormat="1" ht="21" customHeight="1" x14ac:dyDescent="0.25">
      <c r="A15" s="844" t="s">
        <v>280</v>
      </c>
      <c r="B15" s="847" t="s">
        <v>285</v>
      </c>
      <c r="C15" s="848"/>
      <c r="D15" s="847" t="s">
        <v>285</v>
      </c>
      <c r="E15" s="848"/>
      <c r="F15" s="847"/>
      <c r="G15" s="848"/>
      <c r="H15" s="847"/>
      <c r="I15" s="848"/>
      <c r="J15" s="847"/>
      <c r="K15" s="848"/>
      <c r="L15" s="847"/>
      <c r="M15" s="848"/>
      <c r="N15" s="847"/>
      <c r="O15" s="848"/>
      <c r="P15" s="847"/>
      <c r="Q15" s="848"/>
      <c r="R15" s="847"/>
      <c r="S15" s="848"/>
      <c r="T15" s="847"/>
      <c r="U15" s="848"/>
    </row>
    <row r="16" spans="1:21" s="612" customFormat="1" ht="21" customHeight="1" x14ac:dyDescent="0.25">
      <c r="A16" s="84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46"/>
      <c r="B17" s="842" t="s">
        <v>339</v>
      </c>
      <c r="C17" s="843"/>
      <c r="D17" s="842" t="s">
        <v>298</v>
      </c>
      <c r="E17" s="843"/>
      <c r="F17" s="842"/>
      <c r="G17" s="843"/>
      <c r="H17" s="842"/>
      <c r="I17" s="843"/>
      <c r="J17" s="842"/>
      <c r="K17" s="843"/>
      <c r="L17" s="842"/>
      <c r="M17" s="843"/>
      <c r="N17" s="842"/>
      <c r="O17" s="843"/>
      <c r="P17" s="842"/>
      <c r="Q17" s="843"/>
      <c r="R17" s="842"/>
      <c r="S17" s="843"/>
      <c r="T17" s="842"/>
      <c r="U17" s="843"/>
    </row>
    <row r="18" spans="1:21" s="168" customFormat="1" ht="21" customHeight="1" x14ac:dyDescent="0.25">
      <c r="A18" s="858" t="s">
        <v>282</v>
      </c>
      <c r="B18" s="856" t="s">
        <v>288</v>
      </c>
      <c r="C18" s="857"/>
      <c r="D18" s="856" t="s">
        <v>359</v>
      </c>
      <c r="E18" s="857"/>
      <c r="F18" s="856" t="s">
        <v>290</v>
      </c>
      <c r="G18" s="857"/>
      <c r="H18" s="856" t="s">
        <v>340</v>
      </c>
      <c r="I18" s="857"/>
      <c r="J18" s="856"/>
      <c r="K18" s="857"/>
      <c r="L18" s="856"/>
      <c r="M18" s="857"/>
      <c r="N18" s="856"/>
      <c r="O18" s="857"/>
      <c r="P18" s="856"/>
      <c r="Q18" s="857"/>
      <c r="R18" s="856"/>
      <c r="S18" s="857"/>
      <c r="T18" s="856"/>
      <c r="U18" s="857"/>
    </row>
    <row r="19" spans="1:21" s="612" customFormat="1" ht="21" customHeight="1" x14ac:dyDescent="0.25">
      <c r="A19" s="859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60"/>
      <c r="B20" s="854"/>
      <c r="C20" s="855"/>
      <c r="D20" s="854"/>
      <c r="E20" s="855"/>
      <c r="F20" s="854" t="s">
        <v>291</v>
      </c>
      <c r="G20" s="855"/>
      <c r="H20" s="854"/>
      <c r="I20" s="855"/>
      <c r="J20" s="854"/>
      <c r="K20" s="855"/>
      <c r="L20" s="854"/>
      <c r="M20" s="855"/>
      <c r="N20" s="854"/>
      <c r="O20" s="855"/>
      <c r="P20" s="854"/>
      <c r="Q20" s="855"/>
      <c r="R20" s="854"/>
      <c r="S20" s="855"/>
      <c r="T20" s="854"/>
      <c r="U20" s="855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4" t="s">
        <v>449</v>
      </c>
      <c r="B1" s="874"/>
      <c r="C1" s="874"/>
      <c r="D1" s="874"/>
      <c r="E1" s="874"/>
      <c r="F1" s="874"/>
      <c r="G1" s="874"/>
      <c r="H1" s="874"/>
      <c r="I1" s="874"/>
      <c r="J1" s="874"/>
      <c r="K1" s="874"/>
      <c r="L1" s="874"/>
      <c r="M1" s="874"/>
    </row>
    <row r="2" spans="1:21" s="141" customFormat="1" ht="21" customHeight="1" x14ac:dyDescent="0.25">
      <c r="A2" s="875" t="s">
        <v>276</v>
      </c>
      <c r="B2" s="828" t="s">
        <v>336</v>
      </c>
      <c r="C2" s="829"/>
      <c r="D2" s="828" t="s">
        <v>322</v>
      </c>
      <c r="E2" s="829"/>
      <c r="F2" s="828" t="s">
        <v>326</v>
      </c>
      <c r="G2" s="829"/>
      <c r="H2" s="828" t="s">
        <v>326</v>
      </c>
      <c r="I2" s="829"/>
      <c r="J2" s="828" t="s">
        <v>412</v>
      </c>
      <c r="K2" s="829"/>
      <c r="L2" s="828"/>
      <c r="M2" s="829"/>
      <c r="N2" s="828"/>
      <c r="O2" s="829"/>
      <c r="P2" s="828"/>
      <c r="Q2" s="829"/>
      <c r="R2" s="828"/>
      <c r="S2" s="829"/>
      <c r="T2" s="828"/>
      <c r="U2" s="829"/>
    </row>
    <row r="3" spans="1:21" s="612" customFormat="1" ht="21" customHeight="1" x14ac:dyDescent="0.25">
      <c r="A3" s="876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6"/>
      <c r="B4" s="823" t="s">
        <v>337</v>
      </c>
      <c r="C4" s="824"/>
      <c r="D4" s="823" t="s">
        <v>325</v>
      </c>
      <c r="E4" s="824"/>
      <c r="F4" s="823" t="s">
        <v>330</v>
      </c>
      <c r="G4" s="830"/>
      <c r="H4" s="830"/>
      <c r="I4" s="824"/>
      <c r="J4" s="823" t="s">
        <v>420</v>
      </c>
      <c r="K4" s="824"/>
      <c r="L4" s="823"/>
      <c r="M4" s="824"/>
      <c r="N4" s="823"/>
      <c r="O4" s="824"/>
      <c r="P4" s="823"/>
      <c r="Q4" s="824"/>
      <c r="R4" s="823"/>
      <c r="S4" s="824"/>
      <c r="T4" s="823"/>
      <c r="U4" s="824"/>
    </row>
    <row r="5" spans="1:21" s="720" customFormat="1" ht="21" customHeight="1" x14ac:dyDescent="0.25">
      <c r="A5" s="850"/>
      <c r="B5" s="833" t="s">
        <v>435</v>
      </c>
      <c r="C5" s="834"/>
      <c r="D5" s="833" t="s">
        <v>434</v>
      </c>
      <c r="E5" s="834"/>
      <c r="F5" s="833" t="s">
        <v>296</v>
      </c>
      <c r="G5" s="834"/>
      <c r="H5" s="833"/>
      <c r="I5" s="834"/>
      <c r="J5" s="833"/>
      <c r="K5" s="834"/>
      <c r="L5" s="833"/>
      <c r="M5" s="834"/>
      <c r="N5" s="833"/>
      <c r="O5" s="834"/>
      <c r="P5" s="833"/>
      <c r="Q5" s="834"/>
      <c r="R5" s="833"/>
      <c r="S5" s="834"/>
      <c r="T5" s="833"/>
      <c r="U5" s="834"/>
    </row>
    <row r="6" spans="1:21" s="613" customFormat="1" ht="21" customHeight="1" x14ac:dyDescent="0.25">
      <c r="A6" s="850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51"/>
      <c r="B7" s="831" t="s">
        <v>437</v>
      </c>
      <c r="C7" s="832"/>
      <c r="D7" s="831" t="s">
        <v>437</v>
      </c>
      <c r="E7" s="832"/>
      <c r="F7" s="831" t="s">
        <v>437</v>
      </c>
      <c r="G7" s="832"/>
      <c r="H7" s="831"/>
      <c r="I7" s="832"/>
      <c r="J7" s="831"/>
      <c r="K7" s="832"/>
      <c r="L7" s="831"/>
      <c r="M7" s="832"/>
      <c r="N7" s="831"/>
      <c r="O7" s="832"/>
      <c r="P7" s="831"/>
      <c r="Q7" s="832"/>
      <c r="R7" s="831"/>
      <c r="S7" s="832"/>
      <c r="T7" s="831"/>
      <c r="U7" s="832"/>
    </row>
    <row r="8" spans="1:21" s="153" customFormat="1" ht="21" customHeight="1" x14ac:dyDescent="0.25">
      <c r="A8" s="870" t="s">
        <v>279</v>
      </c>
      <c r="B8" s="868" t="s">
        <v>293</v>
      </c>
      <c r="C8" s="841"/>
      <c r="D8" s="840" t="s">
        <v>303</v>
      </c>
      <c r="E8" s="841"/>
      <c r="F8" s="840" t="s">
        <v>300</v>
      </c>
      <c r="G8" s="841"/>
      <c r="H8" s="840" t="s">
        <v>310</v>
      </c>
      <c r="I8" s="841"/>
      <c r="J8" s="840" t="s">
        <v>310</v>
      </c>
      <c r="K8" s="841"/>
      <c r="L8" s="840" t="s">
        <v>345</v>
      </c>
      <c r="M8" s="841"/>
      <c r="N8" s="840"/>
      <c r="O8" s="841"/>
      <c r="P8" s="840"/>
      <c r="Q8" s="841"/>
      <c r="R8" s="840"/>
      <c r="S8" s="841"/>
      <c r="T8" s="840"/>
      <c r="U8" s="841"/>
    </row>
    <row r="9" spans="1:21" s="612" customFormat="1" ht="21" customHeight="1" x14ac:dyDescent="0.25">
      <c r="A9" s="871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71"/>
      <c r="B10" s="869" t="s">
        <v>295</v>
      </c>
      <c r="C10" s="836"/>
      <c r="D10" s="835" t="s">
        <v>307</v>
      </c>
      <c r="E10" s="836"/>
      <c r="F10" s="835" t="s">
        <v>302</v>
      </c>
      <c r="G10" s="836"/>
      <c r="H10" s="835"/>
      <c r="I10" s="836"/>
      <c r="J10" s="835" t="s">
        <v>332</v>
      </c>
      <c r="K10" s="836"/>
      <c r="L10" s="835"/>
      <c r="M10" s="836"/>
      <c r="N10" s="835"/>
      <c r="O10" s="836"/>
      <c r="P10" s="835"/>
      <c r="Q10" s="836"/>
      <c r="R10" s="835"/>
      <c r="S10" s="836"/>
      <c r="T10" s="835"/>
      <c r="U10" s="836"/>
    </row>
    <row r="11" spans="1:21" s="153" customFormat="1" ht="21" customHeight="1" x14ac:dyDescent="0.25">
      <c r="A11" s="871"/>
      <c r="B11" s="868" t="s">
        <v>312</v>
      </c>
      <c r="C11" s="841"/>
      <c r="D11" s="840" t="s">
        <v>316</v>
      </c>
      <c r="E11" s="841"/>
      <c r="F11" s="840" t="s">
        <v>319</v>
      </c>
      <c r="G11" s="841"/>
      <c r="H11" s="840" t="s">
        <v>333</v>
      </c>
      <c r="I11" s="841"/>
      <c r="J11" s="840" t="s">
        <v>333</v>
      </c>
      <c r="K11" s="841"/>
      <c r="L11" s="840" t="s">
        <v>290</v>
      </c>
      <c r="M11" s="841"/>
      <c r="N11" s="840"/>
      <c r="O11" s="841"/>
      <c r="P11" s="840"/>
      <c r="Q11" s="841"/>
      <c r="R11" s="840"/>
      <c r="S11" s="841"/>
      <c r="T11" s="840"/>
      <c r="U11" s="841"/>
    </row>
    <row r="12" spans="1:21" s="612" customFormat="1" ht="21" customHeight="1" x14ac:dyDescent="0.25">
      <c r="A12" s="871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2"/>
      <c r="B13" s="869" t="s">
        <v>313</v>
      </c>
      <c r="C13" s="836"/>
      <c r="D13" s="835" t="s">
        <v>318</v>
      </c>
      <c r="E13" s="836"/>
      <c r="F13" s="835" t="s">
        <v>321</v>
      </c>
      <c r="G13" s="836"/>
      <c r="H13" s="835" t="s">
        <v>334</v>
      </c>
      <c r="I13" s="836"/>
      <c r="J13" s="835"/>
      <c r="K13" s="836"/>
      <c r="L13" s="835" t="s">
        <v>414</v>
      </c>
      <c r="M13" s="836"/>
      <c r="N13" s="835"/>
      <c r="O13" s="836"/>
      <c r="P13" s="835"/>
      <c r="Q13" s="836"/>
      <c r="R13" s="835"/>
      <c r="S13" s="836"/>
      <c r="T13" s="835"/>
      <c r="U13" s="836"/>
    </row>
    <row r="14" spans="1:21" s="161" customFormat="1" ht="21" customHeight="1" x14ac:dyDescent="0.25">
      <c r="A14" s="865" t="s">
        <v>281</v>
      </c>
      <c r="B14" s="873" t="s">
        <v>285</v>
      </c>
      <c r="C14" s="848"/>
      <c r="D14" s="847" t="s">
        <v>273</v>
      </c>
      <c r="E14" s="848"/>
      <c r="F14" s="847" t="s">
        <v>381</v>
      </c>
      <c r="G14" s="848"/>
      <c r="H14" s="847" t="s">
        <v>285</v>
      </c>
      <c r="I14" s="848"/>
      <c r="J14" s="847"/>
      <c r="K14" s="848"/>
      <c r="L14" s="847"/>
      <c r="M14" s="848"/>
      <c r="N14" s="847"/>
      <c r="O14" s="848"/>
      <c r="P14" s="847"/>
      <c r="Q14" s="848"/>
      <c r="R14" s="847"/>
      <c r="S14" s="848"/>
      <c r="T14" s="847"/>
      <c r="U14" s="848"/>
    </row>
    <row r="15" spans="1:21" s="612" customFormat="1" ht="21" customHeight="1" x14ac:dyDescent="0.25">
      <c r="A15" s="866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67"/>
      <c r="B16" s="861" t="s">
        <v>380</v>
      </c>
      <c r="C16" s="843"/>
      <c r="D16" s="861" t="s">
        <v>380</v>
      </c>
      <c r="E16" s="843"/>
      <c r="F16" s="842" t="s">
        <v>379</v>
      </c>
      <c r="G16" s="843"/>
      <c r="H16" s="842" t="s">
        <v>379</v>
      </c>
      <c r="I16" s="843"/>
      <c r="J16" s="842"/>
      <c r="K16" s="843"/>
      <c r="L16" s="842"/>
      <c r="M16" s="843"/>
      <c r="N16" s="842"/>
      <c r="O16" s="843"/>
      <c r="P16" s="842"/>
      <c r="Q16" s="843"/>
      <c r="R16" s="842"/>
      <c r="S16" s="843"/>
      <c r="T16" s="842"/>
      <c r="U16" s="843"/>
    </row>
    <row r="17" spans="1:21" s="168" customFormat="1" ht="21" customHeight="1" x14ac:dyDescent="0.25">
      <c r="A17" s="862" t="s">
        <v>283</v>
      </c>
      <c r="B17" s="856" t="s">
        <v>288</v>
      </c>
      <c r="C17" s="857"/>
      <c r="D17" s="856" t="s">
        <v>359</v>
      </c>
      <c r="E17" s="857"/>
      <c r="F17" s="856" t="s">
        <v>290</v>
      </c>
      <c r="G17" s="857"/>
      <c r="H17" s="856" t="s">
        <v>340</v>
      </c>
      <c r="I17" s="857"/>
      <c r="J17" s="856" t="s">
        <v>407</v>
      </c>
      <c r="K17" s="857"/>
      <c r="L17" s="856"/>
      <c r="M17" s="857"/>
      <c r="N17" s="856"/>
      <c r="O17" s="857"/>
      <c r="P17" s="856"/>
      <c r="Q17" s="857"/>
      <c r="R17" s="856"/>
      <c r="S17" s="857"/>
      <c r="T17" s="856"/>
      <c r="U17" s="857"/>
    </row>
    <row r="18" spans="1:21" s="612" customFormat="1" ht="21" customHeight="1" x14ac:dyDescent="0.25">
      <c r="A18" s="863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64"/>
      <c r="B19" s="854"/>
      <c r="C19" s="855"/>
      <c r="D19" s="854"/>
      <c r="E19" s="855"/>
      <c r="F19" s="854" t="s">
        <v>291</v>
      </c>
      <c r="G19" s="855"/>
      <c r="H19" s="854"/>
      <c r="I19" s="855"/>
      <c r="J19" s="854"/>
      <c r="K19" s="855"/>
      <c r="L19" s="854"/>
      <c r="M19" s="855"/>
      <c r="N19" s="854"/>
      <c r="O19" s="855"/>
      <c r="P19" s="854"/>
      <c r="Q19" s="855"/>
      <c r="R19" s="854"/>
      <c r="S19" s="855"/>
      <c r="T19" s="854"/>
      <c r="U19" s="855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09" t="s">
        <v>367</v>
      </c>
      <c r="I1" s="1009"/>
      <c r="J1" s="1009"/>
      <c r="K1" s="1009"/>
      <c r="L1" s="1009"/>
      <c r="M1" s="1009"/>
      <c r="N1" s="1009"/>
      <c r="O1" s="1009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05" t="s">
        <v>263</v>
      </c>
      <c r="B2" s="906"/>
      <c r="C2" s="906"/>
      <c r="D2" s="907"/>
      <c r="F2" s="988" t="s">
        <v>30</v>
      </c>
      <c r="G2" s="989"/>
      <c r="H2" s="996" t="s">
        <v>244</v>
      </c>
      <c r="I2" s="997"/>
      <c r="J2" s="997"/>
      <c r="K2" s="997"/>
      <c r="L2" s="997"/>
      <c r="M2" s="997"/>
      <c r="N2" s="997"/>
      <c r="O2" s="998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81" t="s">
        <v>220</v>
      </c>
      <c r="B3" s="982"/>
      <c r="C3" s="982"/>
      <c r="D3" s="983"/>
      <c r="F3" s="990"/>
      <c r="G3" s="991"/>
      <c r="H3" s="517" t="str">
        <f>"中級 (" &amp; HDRAG_GAMES_HBRUN_MED &amp; "場)"</f>
        <v>中級 (299場)</v>
      </c>
      <c r="I3" s="1003" t="str">
        <f>"高級 (" &amp; HDRAG_GAMES_HBRUN_EXP &amp; "場)"</f>
        <v>高級 (225場)</v>
      </c>
      <c r="J3" s="1004"/>
      <c r="K3" s="1005"/>
      <c r="L3" s="1003" t="str">
        <f>"超級 (" &amp; HDRAG_GAMES_HBRUN_MST &amp; "場)"</f>
        <v>超級 (232場)</v>
      </c>
      <c r="M3" s="1004"/>
      <c r="N3" s="1004"/>
      <c r="O3" s="100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99">
        <f>HDRAG_AVG_HBRUN_MED_ORB</f>
        <v>2.4381270903010033</v>
      </c>
      <c r="I5" s="949">
        <f>HDRAG_AVG_HBRUN_EXP_ORB</f>
        <v>4.4133333333333331</v>
      </c>
      <c r="J5" s="949">
        <f>HDRAG_AVG_HBRUN_EXP_TAIL</f>
        <v>2</v>
      </c>
      <c r="K5" s="1000">
        <f>HDRAG_AVG_HBRUN_EXP_ORIHAL</f>
        <v>0.31555555555555553</v>
      </c>
      <c r="L5" s="949">
        <f>HDRAG_AVG_HBRUN_MST_ORB</f>
        <v>6.3965517241379306</v>
      </c>
      <c r="M5" s="949">
        <f>HDRAG_AVG_HBRUN_MST_TAIL</f>
        <v>2.0517241379310347</v>
      </c>
      <c r="N5" s="949">
        <f>HDRAG_AVG_HBRUN_MST_HORN</f>
        <v>1.9827586206896552</v>
      </c>
      <c r="O5" s="984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99"/>
      <c r="I6" s="949"/>
      <c r="J6" s="949"/>
      <c r="K6" s="1000"/>
      <c r="L6" s="949"/>
      <c r="M6" s="950"/>
      <c r="N6" s="950"/>
      <c r="O6" s="985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92" t="s">
        <v>35</v>
      </c>
      <c r="G7" s="993"/>
      <c r="H7" s="1039" t="s">
        <v>244</v>
      </c>
      <c r="I7" s="1040"/>
      <c r="J7" s="1040"/>
      <c r="K7" s="1040"/>
      <c r="L7" s="1040"/>
      <c r="M7" s="1040"/>
      <c r="N7" s="1040"/>
      <c r="O7" s="1041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94"/>
      <c r="G8" s="995"/>
      <c r="H8" s="518" t="str">
        <f>"中級 (" &amp; HDRAG_GAMES_HMERC_MED &amp; "場)"</f>
        <v>中級 (246場)</v>
      </c>
      <c r="I8" s="957" t="str">
        <f>"高級 (" &amp; HDRAG_GAMES_HMERC_EXP &amp; "場)"</f>
        <v>高級 (524場)</v>
      </c>
      <c r="J8" s="958"/>
      <c r="K8" s="967"/>
      <c r="L8" s="957" t="str">
        <f>"超級 (" &amp; HDRAG_GAMES_HMERC_MST &amp; "場)"</f>
        <v>超級 (356場)</v>
      </c>
      <c r="M8" s="958"/>
      <c r="N8" s="958"/>
      <c r="O8" s="959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42">
        <f>HDRAG_AVG_HMERC_MED_ORB</f>
        <v>2.3861788617886179</v>
      </c>
      <c r="I10" s="986">
        <f>HDRAG_AVG_HMERC_EXP_ORB</f>
        <v>4.4217557251908399</v>
      </c>
      <c r="J10" s="951">
        <f>HDRAG_AVG_HMERC_EXP_TAIL</f>
        <v>2.0152671755725189</v>
      </c>
      <c r="K10" s="1001">
        <f>HDRAG_AVG_HMERC_EXP_ORIHAL</f>
        <v>0.35496183206106868</v>
      </c>
      <c r="L10" s="951">
        <f>HDRAG_AVG_HMERC_MST_ORB</f>
        <v>6.4241573033707864</v>
      </c>
      <c r="M10" s="951">
        <f>HDRAG_AVG_HMERC_MST_TAIL</f>
        <v>1.9213483146067416</v>
      </c>
      <c r="N10" s="951">
        <f>HDRAG_AVG_HMERC_MST_HORN</f>
        <v>2.1151685393258428</v>
      </c>
      <c r="O10" s="1006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05" t="s">
        <v>264</v>
      </c>
      <c r="B11" s="906"/>
      <c r="C11" s="906"/>
      <c r="D11" s="907"/>
      <c r="F11" s="490" t="s">
        <v>237</v>
      </c>
      <c r="G11" s="491">
        <f>IF(HDRAG_HAS_REC_HMERC,HDRAG_HMERC_ITEMS + G9 + G10,0)</f>
        <v>3116</v>
      </c>
      <c r="H11" s="1043"/>
      <c r="I11" s="987"/>
      <c r="J11" s="952"/>
      <c r="K11" s="1002"/>
      <c r="L11" s="952"/>
      <c r="M11" s="952"/>
      <c r="N11" s="952"/>
      <c r="O11" s="1007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10" t="s">
        <v>31</v>
      </c>
      <c r="G12" s="1011"/>
      <c r="H12" s="1033" t="s">
        <v>244</v>
      </c>
      <c r="I12" s="1034"/>
      <c r="J12" s="1034"/>
      <c r="K12" s="1034"/>
      <c r="L12" s="1034"/>
      <c r="M12" s="1034"/>
      <c r="N12" s="1034"/>
      <c r="O12" s="103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1012"/>
      <c r="G13" s="1013"/>
      <c r="H13" s="519" t="str">
        <f>"中級 (" &amp; HDRAG_GAMES_HMID_MED &amp; "場)"</f>
        <v>中級 (803場)</v>
      </c>
      <c r="I13" s="934" t="str">
        <f>"高級 (" &amp; HDRAG_GAMES_HMID_EXP &amp; "場)"</f>
        <v>高級 (471場)</v>
      </c>
      <c r="J13" s="935"/>
      <c r="K13" s="966"/>
      <c r="L13" s="934" t="str">
        <f>"超級 (" &amp; HDRAG_GAMES_HMID_MST &amp; "場)"</f>
        <v>超級 (131場)</v>
      </c>
      <c r="M13" s="935"/>
      <c r="N13" s="935"/>
      <c r="O13" s="936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36">
        <f>HDRAG_AVG_HMID_MED_ORB</f>
        <v>2.5504358655043586</v>
      </c>
      <c r="I15" s="955">
        <f>HDRAG_AVG_HMID_EXP_ORB</f>
        <v>4.3949044585987265</v>
      </c>
      <c r="J15" s="955">
        <f>HDRAG_AVG_HMID_EXP_TAIL</f>
        <v>1.9660297239915074</v>
      </c>
      <c r="K15" s="1031">
        <f>HDRAG_AVG_HMID_EXP_ORIHAL</f>
        <v>0.32484076433121017</v>
      </c>
      <c r="L15" s="955">
        <f>HDRAG_AVG_HMID_MST_ORB</f>
        <v>6.5038167938931295</v>
      </c>
      <c r="M15" s="955">
        <f>HDRAG_AVG_HMID_MST_TAIL</f>
        <v>1.9541984732824427</v>
      </c>
      <c r="N15" s="955">
        <f>HDRAG_AVG_HMID_MST_HORN</f>
        <v>2.0839694656488548</v>
      </c>
      <c r="O15" s="1037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36"/>
      <c r="I16" s="955"/>
      <c r="J16" s="955"/>
      <c r="K16" s="1031"/>
      <c r="L16" s="955"/>
      <c r="M16" s="956"/>
      <c r="N16" s="956"/>
      <c r="O16" s="1038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1014" t="s">
        <v>36</v>
      </c>
      <c r="G17" s="1015"/>
      <c r="H17" s="1022" t="s">
        <v>244</v>
      </c>
      <c r="I17" s="1023"/>
      <c r="J17" s="1023"/>
      <c r="K17" s="1023"/>
      <c r="L17" s="1023"/>
      <c r="M17" s="1023"/>
      <c r="N17" s="1023"/>
      <c r="O17" s="1024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16"/>
      <c r="G18" s="1017"/>
      <c r="H18" s="522" t="str">
        <f>"中級 (" &amp; HDRAG_GAMES_HJUP_MED &amp; "場)"</f>
        <v>中級 (443場)</v>
      </c>
      <c r="I18" s="931" t="str">
        <f>"高級 (" &amp; HDRAG_GAMES_HJUP_EXP &amp; "場)"</f>
        <v>高級 (435場)</v>
      </c>
      <c r="J18" s="932"/>
      <c r="K18" s="965"/>
      <c r="L18" s="931" t="str">
        <f>"超級 (" &amp; HDRAG_GAMES_HJUP_MST &amp; "場)"</f>
        <v>超級 (254場)</v>
      </c>
      <c r="M18" s="932"/>
      <c r="N18" s="932"/>
      <c r="O18" s="933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25">
        <f>HDRAG_AVG_HJUP_MED_ORB</f>
        <v>2.4582392776523703</v>
      </c>
      <c r="I20" s="953">
        <f>HDRAG_AVG_HJUP_EXP_ORB</f>
        <v>4.4206896551724135</v>
      </c>
      <c r="J20" s="953">
        <f>HDRAG_AVG_HJUP_EXP_TAIL</f>
        <v>2.0045977011494251</v>
      </c>
      <c r="K20" s="1032">
        <f>HDRAG_AVG_HJUP_EXP_ORIHAL</f>
        <v>0.30804597701149428</v>
      </c>
      <c r="L20" s="953">
        <f>HDRAG_AVG_HJUP_MST_ORB</f>
        <v>6.4763779527559056</v>
      </c>
      <c r="M20" s="953">
        <f>HDRAG_AVG_HJUP_MST_TAIL</f>
        <v>2.106299212598425</v>
      </c>
      <c r="N20" s="953">
        <f>HDRAG_AVG_HJUP_MST_HORN</f>
        <v>2.0393700787401574</v>
      </c>
      <c r="O20" s="102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25"/>
      <c r="I21" s="953"/>
      <c r="J21" s="953"/>
      <c r="K21" s="1032"/>
      <c r="L21" s="953"/>
      <c r="M21" s="954"/>
      <c r="N21" s="954"/>
      <c r="O21" s="1027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1018" t="s">
        <v>37</v>
      </c>
      <c r="G22" s="1019"/>
      <c r="H22" s="1028" t="s">
        <v>244</v>
      </c>
      <c r="I22" s="1029"/>
      <c r="J22" s="1029"/>
      <c r="K22" s="1029"/>
      <c r="L22" s="1029"/>
      <c r="M22" s="1029"/>
      <c r="N22" s="1029"/>
      <c r="O22" s="103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20"/>
      <c r="G23" s="1021"/>
      <c r="H23" s="525" t="str">
        <f>"中級 (" &amp; HDRAG_GAMES_HZOD_MED &amp; "場)"</f>
        <v>中級 (241場)</v>
      </c>
      <c r="I23" s="928" t="str">
        <f>"高級 (" &amp; HDRAG_GAMES_HZOD_EXP &amp; "場)"</f>
        <v>高級 (331場)</v>
      </c>
      <c r="J23" s="929"/>
      <c r="K23" s="964"/>
      <c r="L23" s="928" t="str">
        <f>"超級 (" &amp; HDRAG_GAMES_HZOD_MST &amp; "場)"</f>
        <v>超級 (397場)</v>
      </c>
      <c r="M23" s="929"/>
      <c r="N23" s="929"/>
      <c r="O23" s="930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74">
        <f>HDRAG_AVG_HZOD_MED_ORB</f>
        <v>2.3692946058091287</v>
      </c>
      <c r="I25" s="962">
        <f>HDRAG_AVG_HZOD_EXP_ORB</f>
        <v>4.4410876132930515</v>
      </c>
      <c r="J25" s="962">
        <f>HDRAG_AVG_HZOD_EXP_TAIL</f>
        <v>1.9607250755287009</v>
      </c>
      <c r="K25" s="979">
        <f>HDRAG_AVG_HZOD_EXP_ORIHAL</f>
        <v>0.35649546827794559</v>
      </c>
      <c r="L25" s="962">
        <f>HDRAG_AVG_HZOD_MST_ORB</f>
        <v>6.3576826196473553</v>
      </c>
      <c r="M25" s="962">
        <f>HDRAG_AVG_HZOD_MST_TAIL</f>
        <v>2.005037783375315</v>
      </c>
      <c r="N25" s="962">
        <f>HDRAG_AVG_HZOD_MST_HORN</f>
        <v>1.9899244332493702</v>
      </c>
      <c r="O25" s="972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75"/>
      <c r="I26" s="963"/>
      <c r="J26" s="963"/>
      <c r="K26" s="980"/>
      <c r="L26" s="963"/>
      <c r="M26" s="963"/>
      <c r="N26" s="963"/>
      <c r="O26" s="973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76"/>
      <c r="I27" s="977"/>
      <c r="J27" s="977"/>
      <c r="K27" s="977"/>
      <c r="L27" s="977"/>
      <c r="M27" s="977"/>
      <c r="N27" s="977"/>
      <c r="O27" s="978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24" t="str">
        <f>"高級 (" &amp; HDRAG_GAMES_HBRUN_EXP + HDRAG_GAMES_HMERC_EXP + HDRAG_GAMES_HMID_EXP + HDRAG_GAMES_HJUP_EXP + HDRAG_GAMES_HZOD_EXP &amp; "場)"</f>
        <v>高級 (1986場)</v>
      </c>
      <c r="J28" s="925"/>
      <c r="K28" s="926"/>
      <c r="L28" s="924" t="str">
        <f>"超級 (" &amp; HDRAG_GAMES_HBRUN_MST + HDRAG_GAMES_HMERC_MST + HDRAG_GAMES_HMID_MST + HDRAG_GAMES_HJUP_MST + HDRAG_GAMES_HZOD_MST &amp; "場)"</f>
        <v>超級 (1370場)</v>
      </c>
      <c r="M28" s="925"/>
      <c r="N28" s="925"/>
      <c r="O28" s="92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37">
        <f>AVERAGE(DATA_HDRAG_HBRUN_MED_ORB,HDRAG_AVG_HMERC_MED_ORB,HDRAG_AVG_HMID_MED_ORB,HDRAG_AVG_HJUP_MED_ORB,HDRAG_AVG_HZOD_MED_ORB)</f>
        <v>2.4381655069661865</v>
      </c>
      <c r="I30" s="939">
        <f>AVERAGE(DATA_HDRAG_HBRUN_EXP_ORB,HDRAG_AVG_HMERC_EXP_ORB,HDRAG_AVG_HMID_EXP_ORB,HDRAG_AVG_HJUP_EXP_ORB,HDRAG_AVG_HZOD_EXP_ORB)</f>
        <v>4.4134429583067902</v>
      </c>
      <c r="J30" s="939">
        <f>AVERAGE(DATA_HDRAG_HBRUN_EXP_TAIL,HDRAG_AVG_HMERC_EXP_TAIL,HDRAG_AVG_HMID_EXP_TAIL,HDRAG_AVG_HJUP_EXP_TAIL,HDRAG_AVG_HZOD_EXP_TAIL)</f>
        <v>1.9997668981495291</v>
      </c>
      <c r="K30" s="960">
        <f>AVERAGE(DATA_HDRAG_HBRUN_EXP_ORIHAL,HDRAG_AVG_HMERC_EXP_ORIHAL,HDRAG_AVG_HMID_EXP_ORIHAL,HDRAG_AVG_HJUP_EXP_ORIHAL,HDRAG_AVG_HZOD_EXP_ORIHAL)</f>
        <v>0.3159141661208808</v>
      </c>
      <c r="L30" s="939">
        <f>AVERAGE(DATA_HDRAG_HBRUN_MST_ORB,HDRAG_AVG_HMERC_MST_ORB,HDRAG_AVG_HMID_MST_ORB,HDRAG_AVG_HJUP_MST_ORB,HDRAG_AVG_HZOD_MST_ORB)</f>
        <v>6.3972967570748613</v>
      </c>
      <c r="M30" s="939">
        <f>AVERAGE(DATA_HDRAG_HBRUN_MST_TAIL,HDRAG_AVG_HMERC_MST_TAIL,HDRAG_AVG_HMID_MST_TAIL,HDRAG_AVG_HJUP_MST_TAIL,HDRAG_AVG_HZOD_MST_TAIL)</f>
        <v>2.0507918804400971</v>
      </c>
      <c r="N30" s="939">
        <f>AVERAGE(DATA_HDRAG_HBRUN_MST_HORN,HDRAG_AVG_HMERC_MST_HORN,HDRAG_AVG_HMID_MST_HORN,HDRAG_AVG_HJUP_MST_HORN,HDRAG_AVG_HZOD_MST_HORN)</f>
        <v>1.9840187818515433</v>
      </c>
      <c r="O30" s="97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38"/>
      <c r="I31" s="940"/>
      <c r="J31" s="940"/>
      <c r="K31" s="961"/>
      <c r="L31" s="940"/>
      <c r="M31" s="940"/>
      <c r="N31" s="940"/>
      <c r="O31" s="971"/>
    </row>
    <row r="32" spans="1:18" ht="15.75" customHeight="1" x14ac:dyDescent="0.25">
      <c r="G32" s="334"/>
      <c r="R32" s="262"/>
    </row>
    <row r="33" spans="3:18" ht="28.5" customHeight="1" x14ac:dyDescent="0.25">
      <c r="F33" s="968"/>
      <c r="G33" s="969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03" t="s">
        <v>24</v>
      </c>
      <c r="Q33" s="904"/>
      <c r="R33" s="604" t="s">
        <v>323</v>
      </c>
    </row>
    <row r="34" spans="3:18" ht="16.5" customHeight="1" x14ac:dyDescent="0.25">
      <c r="F34" s="945" t="s">
        <v>30</v>
      </c>
      <c r="G34" s="946"/>
      <c r="H34" s="879" t="s">
        <v>253</v>
      </c>
      <c r="I34" s="877" t="s">
        <v>250</v>
      </c>
      <c r="J34" s="877" t="s">
        <v>250</v>
      </c>
      <c r="K34" s="877" t="s">
        <v>253</v>
      </c>
      <c r="L34" s="877" t="s">
        <v>250</v>
      </c>
      <c r="M34" s="877" t="s">
        <v>250</v>
      </c>
      <c r="N34" s="877" t="s">
        <v>253</v>
      </c>
      <c r="O34" s="885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47"/>
      <c r="G35" s="948"/>
      <c r="H35" s="880"/>
      <c r="I35" s="878"/>
      <c r="J35" s="878"/>
      <c r="K35" s="878"/>
      <c r="L35" s="878"/>
      <c r="M35" s="878"/>
      <c r="N35" s="878"/>
      <c r="O35" s="886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41" t="s">
        <v>35</v>
      </c>
      <c r="G38" s="942"/>
      <c r="H38" s="887" t="s">
        <v>253</v>
      </c>
      <c r="I38" s="881" t="s">
        <v>250</v>
      </c>
      <c r="J38" s="881" t="s">
        <v>250</v>
      </c>
      <c r="K38" s="881" t="s">
        <v>253</v>
      </c>
      <c r="L38" s="881" t="s">
        <v>250</v>
      </c>
      <c r="M38" s="881" t="s">
        <v>253</v>
      </c>
      <c r="N38" s="881" t="s">
        <v>253</v>
      </c>
      <c r="O38" s="883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43"/>
      <c r="G39" s="944"/>
      <c r="H39" s="888"/>
      <c r="I39" s="882"/>
      <c r="J39" s="882"/>
      <c r="K39" s="882"/>
      <c r="L39" s="882"/>
      <c r="M39" s="882"/>
      <c r="N39" s="882"/>
      <c r="O39" s="884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93" t="s">
        <v>31</v>
      </c>
      <c r="G42" s="894"/>
      <c r="H42" s="891" t="s">
        <v>253</v>
      </c>
      <c r="I42" s="889" t="s">
        <v>253</v>
      </c>
      <c r="J42" s="889" t="s">
        <v>250</v>
      </c>
      <c r="K42" s="889" t="s">
        <v>253</v>
      </c>
      <c r="L42" s="889" t="s">
        <v>253</v>
      </c>
      <c r="M42" s="889" t="s">
        <v>253</v>
      </c>
      <c r="N42" s="889" t="s">
        <v>250</v>
      </c>
      <c r="O42" s="901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895"/>
      <c r="G43" s="896"/>
      <c r="H43" s="892"/>
      <c r="I43" s="890"/>
      <c r="J43" s="890"/>
      <c r="K43" s="890"/>
      <c r="L43" s="890"/>
      <c r="M43" s="890"/>
      <c r="N43" s="890"/>
      <c r="O43" s="902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18" t="s">
        <v>36</v>
      </c>
      <c r="G46" s="919"/>
      <c r="H46" s="922" t="s">
        <v>250</v>
      </c>
      <c r="I46" s="897" t="s">
        <v>253</v>
      </c>
      <c r="J46" s="897" t="s">
        <v>253</v>
      </c>
      <c r="K46" s="897" t="s">
        <v>253</v>
      </c>
      <c r="L46" s="897" t="s">
        <v>250</v>
      </c>
      <c r="M46" s="897" t="s">
        <v>250</v>
      </c>
      <c r="N46" s="897" t="s">
        <v>250</v>
      </c>
      <c r="O46" s="899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20"/>
      <c r="G47" s="921"/>
      <c r="H47" s="923"/>
      <c r="I47" s="898"/>
      <c r="J47" s="898"/>
      <c r="K47" s="898"/>
      <c r="L47" s="898"/>
      <c r="M47" s="898"/>
      <c r="N47" s="898"/>
      <c r="O47" s="900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914" t="s">
        <v>37</v>
      </c>
      <c r="G50" s="915"/>
      <c r="H50" s="912" t="s">
        <v>253</v>
      </c>
      <c r="I50" s="910" t="s">
        <v>253</v>
      </c>
      <c r="J50" s="910" t="s">
        <v>250</v>
      </c>
      <c r="K50" s="910" t="s">
        <v>250</v>
      </c>
      <c r="L50" s="910" t="s">
        <v>253</v>
      </c>
      <c r="M50" s="910" t="s">
        <v>250</v>
      </c>
      <c r="N50" s="910" t="s">
        <v>253</v>
      </c>
      <c r="O50" s="908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16"/>
      <c r="G51" s="917"/>
      <c r="H51" s="913"/>
      <c r="I51" s="911"/>
      <c r="J51" s="911"/>
      <c r="K51" s="911"/>
      <c r="L51" s="911"/>
      <c r="M51" s="911"/>
      <c r="N51" s="911"/>
      <c r="O51" s="909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52" t="s">
        <v>241</v>
      </c>
      <c r="C1" s="852"/>
      <c r="D1" s="852"/>
      <c r="E1" s="852" t="s">
        <v>246</v>
      </c>
      <c r="F1" s="852"/>
      <c r="G1" s="852"/>
      <c r="H1" s="852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52" t="s">
        <v>241</v>
      </c>
      <c r="C1" s="852"/>
      <c r="D1" s="852"/>
      <c r="E1" s="852" t="s">
        <v>246</v>
      </c>
      <c r="F1" s="852"/>
      <c r="G1" s="852"/>
      <c r="H1" s="852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52" t="s">
        <v>241</v>
      </c>
      <c r="C1" s="852"/>
      <c r="D1" s="852"/>
      <c r="E1" s="852" t="s">
        <v>246</v>
      </c>
      <c r="F1" s="852"/>
      <c r="G1" s="852"/>
      <c r="H1" s="852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52" t="s">
        <v>241</v>
      </c>
      <c r="C1" s="852"/>
      <c r="D1" s="852"/>
      <c r="E1" s="852" t="s">
        <v>246</v>
      </c>
      <c r="F1" s="852"/>
      <c r="G1" s="852"/>
      <c r="H1" s="852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52" t="s">
        <v>241</v>
      </c>
      <c r="C1" s="852"/>
      <c r="D1" s="852"/>
      <c r="E1" s="852" t="s">
        <v>246</v>
      </c>
      <c r="F1" s="852"/>
      <c r="G1" s="852"/>
      <c r="H1" s="852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74" t="s">
        <v>456</v>
      </c>
      <c r="B1" s="874"/>
      <c r="C1" s="874"/>
      <c r="D1" s="874"/>
      <c r="E1" s="874"/>
      <c r="F1" s="874"/>
      <c r="G1" s="874"/>
      <c r="H1" s="874"/>
      <c r="I1" s="874"/>
      <c r="J1" s="874"/>
      <c r="K1" s="874"/>
      <c r="L1" s="693"/>
      <c r="M1" s="693"/>
    </row>
    <row r="2" spans="1:21" s="690" customFormat="1" ht="21" customHeight="1" x14ac:dyDescent="0.25">
      <c r="A2" s="875" t="s">
        <v>346</v>
      </c>
      <c r="B2" s="828"/>
      <c r="C2" s="829"/>
      <c r="D2" s="828"/>
      <c r="E2" s="829"/>
      <c r="F2" s="828"/>
      <c r="G2" s="829"/>
      <c r="H2" s="828"/>
      <c r="I2" s="829"/>
      <c r="J2" s="828"/>
      <c r="K2" s="829"/>
      <c r="L2" s="828"/>
      <c r="M2" s="829"/>
      <c r="N2" s="828"/>
      <c r="O2" s="829"/>
      <c r="P2" s="828"/>
      <c r="Q2" s="829"/>
      <c r="R2" s="828"/>
      <c r="S2" s="829"/>
      <c r="T2" s="828"/>
      <c r="U2" s="829"/>
    </row>
    <row r="3" spans="1:21" s="612" customFormat="1" ht="21" customHeight="1" x14ac:dyDescent="0.25">
      <c r="A3" s="876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6"/>
      <c r="B4" s="823"/>
      <c r="C4" s="824"/>
      <c r="D4" s="823"/>
      <c r="E4" s="824"/>
      <c r="F4" s="823"/>
      <c r="G4" s="830"/>
      <c r="H4" s="830"/>
      <c r="I4" s="824"/>
      <c r="J4" s="823"/>
      <c r="K4" s="824"/>
      <c r="L4" s="823"/>
      <c r="M4" s="824"/>
      <c r="N4" s="823"/>
      <c r="O4" s="824"/>
      <c r="P4" s="823"/>
      <c r="Q4" s="824"/>
      <c r="R4" s="823"/>
      <c r="S4" s="824"/>
      <c r="T4" s="823"/>
      <c r="U4" s="824"/>
    </row>
    <row r="5" spans="1:21" s="687" customFormat="1" ht="21" customHeight="1" x14ac:dyDescent="0.25">
      <c r="A5" s="849" t="s">
        <v>347</v>
      </c>
      <c r="B5" s="1046" t="s">
        <v>453</v>
      </c>
      <c r="C5" s="834"/>
      <c r="D5" s="1046" t="s">
        <v>453</v>
      </c>
      <c r="E5" s="834"/>
      <c r="F5" s="833" t="s">
        <v>458</v>
      </c>
      <c r="G5" s="834"/>
      <c r="H5" s="833" t="s">
        <v>460</v>
      </c>
      <c r="I5" s="834"/>
      <c r="J5" s="833" t="s">
        <v>439</v>
      </c>
      <c r="K5" s="834"/>
      <c r="L5" s="833"/>
      <c r="M5" s="834"/>
      <c r="N5" s="833"/>
      <c r="O5" s="834"/>
      <c r="P5" s="833"/>
      <c r="Q5" s="834"/>
      <c r="R5" s="833"/>
      <c r="S5" s="834"/>
      <c r="T5" s="833"/>
      <c r="U5" s="834"/>
    </row>
    <row r="6" spans="1:21" s="613" customFormat="1" ht="21" customHeight="1" x14ac:dyDescent="0.25">
      <c r="A6" s="850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51"/>
      <c r="B7" s="1050" t="s">
        <v>454</v>
      </c>
      <c r="C7" s="832"/>
      <c r="D7" s="831" t="s">
        <v>455</v>
      </c>
      <c r="E7" s="832"/>
      <c r="F7" s="831" t="s">
        <v>459</v>
      </c>
      <c r="G7" s="832"/>
      <c r="H7" s="831" t="s">
        <v>463</v>
      </c>
      <c r="I7" s="832"/>
      <c r="J7" s="831" t="s">
        <v>462</v>
      </c>
      <c r="K7" s="832"/>
      <c r="L7" s="831"/>
      <c r="M7" s="832"/>
      <c r="N7" s="831"/>
      <c r="O7" s="832"/>
      <c r="P7" s="831"/>
      <c r="Q7" s="832"/>
      <c r="R7" s="831"/>
      <c r="S7" s="832"/>
      <c r="T7" s="831"/>
      <c r="U7" s="832"/>
    </row>
    <row r="8" spans="1:21" s="691" customFormat="1" ht="21" customHeight="1" x14ac:dyDescent="0.25">
      <c r="A8" s="870" t="s">
        <v>348</v>
      </c>
      <c r="B8" s="868" t="s">
        <v>320</v>
      </c>
      <c r="C8" s="841"/>
      <c r="D8" s="840" t="s">
        <v>369</v>
      </c>
      <c r="E8" s="841"/>
      <c r="F8" s="840" t="s">
        <v>372</v>
      </c>
      <c r="G8" s="841"/>
      <c r="H8" s="840" t="s">
        <v>374</v>
      </c>
      <c r="I8" s="841"/>
      <c r="J8" s="840" t="s">
        <v>345</v>
      </c>
      <c r="K8" s="841"/>
      <c r="L8" s="840"/>
      <c r="M8" s="841"/>
      <c r="N8" s="840"/>
      <c r="O8" s="841"/>
      <c r="P8" s="840"/>
      <c r="Q8" s="841"/>
      <c r="R8" s="840"/>
      <c r="S8" s="841"/>
      <c r="T8" s="840"/>
      <c r="U8" s="841"/>
    </row>
    <row r="9" spans="1:21" s="612" customFormat="1" ht="21" customHeight="1" x14ac:dyDescent="0.25">
      <c r="A9" s="871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71"/>
      <c r="B10" s="1047" t="s">
        <v>368</v>
      </c>
      <c r="C10" s="1048"/>
      <c r="D10" s="1049" t="s">
        <v>371</v>
      </c>
      <c r="E10" s="1048"/>
      <c r="F10" s="1049" t="s">
        <v>373</v>
      </c>
      <c r="G10" s="1048"/>
      <c r="H10" s="1049" t="s">
        <v>376</v>
      </c>
      <c r="I10" s="1048"/>
      <c r="J10" s="1049" t="s">
        <v>377</v>
      </c>
      <c r="K10" s="1048"/>
      <c r="L10" s="835"/>
      <c r="M10" s="836"/>
      <c r="N10" s="835"/>
      <c r="O10" s="836"/>
      <c r="P10" s="835"/>
      <c r="Q10" s="836"/>
      <c r="R10" s="835"/>
      <c r="S10" s="836"/>
      <c r="T10" s="835"/>
      <c r="U10" s="836"/>
    </row>
    <row r="11" spans="1:21" s="691" customFormat="1" ht="21" customHeight="1" x14ac:dyDescent="0.25">
      <c r="A11" s="871"/>
      <c r="B11" s="868" t="s">
        <v>360</v>
      </c>
      <c r="C11" s="841"/>
      <c r="D11" s="840" t="s">
        <v>447</v>
      </c>
      <c r="E11" s="841"/>
      <c r="F11" s="840" t="s">
        <v>451</v>
      </c>
      <c r="G11" s="841"/>
      <c r="H11" s="840"/>
      <c r="I11" s="841"/>
      <c r="J11" s="840"/>
      <c r="K11" s="841"/>
      <c r="L11" s="840"/>
      <c r="M11" s="841"/>
      <c r="N11" s="840"/>
      <c r="O11" s="841"/>
      <c r="P11" s="840"/>
      <c r="Q11" s="841"/>
      <c r="R11" s="840"/>
      <c r="S11" s="841"/>
      <c r="T11" s="840"/>
      <c r="U11" s="841"/>
    </row>
    <row r="12" spans="1:21" s="612" customFormat="1" ht="21" customHeight="1" x14ac:dyDescent="0.25">
      <c r="A12" s="871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72"/>
      <c r="B13" s="1047" t="s">
        <v>413</v>
      </c>
      <c r="C13" s="1048"/>
      <c r="D13" s="1049"/>
      <c r="E13" s="1048"/>
      <c r="F13" s="1049" t="s">
        <v>413</v>
      </c>
      <c r="G13" s="1048"/>
      <c r="H13" s="1049"/>
      <c r="I13" s="1048"/>
      <c r="J13" s="1049"/>
      <c r="K13" s="1048"/>
      <c r="L13" s="835"/>
      <c r="M13" s="836"/>
      <c r="N13" s="835"/>
      <c r="O13" s="836"/>
      <c r="P13" s="835"/>
      <c r="Q13" s="836"/>
      <c r="R13" s="835"/>
      <c r="S13" s="836"/>
      <c r="T13" s="835"/>
      <c r="U13" s="836"/>
    </row>
    <row r="14" spans="1:21" s="161" customFormat="1" ht="21" customHeight="1" x14ac:dyDescent="0.25">
      <c r="A14" s="844" t="s">
        <v>349</v>
      </c>
      <c r="B14" s="847" t="s">
        <v>382</v>
      </c>
      <c r="C14" s="848"/>
      <c r="D14" s="847" t="s">
        <v>391</v>
      </c>
      <c r="E14" s="848"/>
      <c r="F14" s="847" t="s">
        <v>390</v>
      </c>
      <c r="G14" s="848"/>
      <c r="H14" s="847" t="s">
        <v>388</v>
      </c>
      <c r="I14" s="848"/>
      <c r="J14" s="847" t="s">
        <v>397</v>
      </c>
      <c r="K14" s="848"/>
      <c r="L14" s="873"/>
      <c r="M14" s="848"/>
      <c r="N14" s="847"/>
      <c r="O14" s="848"/>
      <c r="P14" s="847"/>
      <c r="Q14" s="848"/>
      <c r="R14" s="847"/>
      <c r="S14" s="848"/>
      <c r="T14" s="847"/>
      <c r="U14" s="848"/>
    </row>
    <row r="15" spans="1:21" s="612" customFormat="1" ht="21" customHeight="1" x14ac:dyDescent="0.25">
      <c r="A15" s="845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5"/>
      <c r="B16" s="842" t="s">
        <v>387</v>
      </c>
      <c r="C16" s="843"/>
      <c r="D16" s="1051" t="s">
        <v>394</v>
      </c>
      <c r="E16" s="1052"/>
      <c r="F16" s="842" t="s">
        <v>396</v>
      </c>
      <c r="G16" s="843"/>
      <c r="H16" s="842" t="s">
        <v>392</v>
      </c>
      <c r="I16" s="843"/>
      <c r="J16" s="842" t="s">
        <v>392</v>
      </c>
      <c r="K16" s="843"/>
      <c r="L16" s="861"/>
      <c r="M16" s="843"/>
      <c r="N16" s="842"/>
      <c r="O16" s="843"/>
      <c r="P16" s="842"/>
      <c r="Q16" s="843"/>
      <c r="R16" s="842"/>
      <c r="S16" s="843"/>
      <c r="T16" s="842"/>
      <c r="U16" s="843"/>
    </row>
    <row r="17" spans="1:21" s="161" customFormat="1" ht="21" customHeight="1" x14ac:dyDescent="0.25">
      <c r="A17" s="845"/>
      <c r="B17" s="847" t="s">
        <v>382</v>
      </c>
      <c r="C17" s="848"/>
      <c r="D17" s="847" t="s">
        <v>386</v>
      </c>
      <c r="E17" s="848"/>
      <c r="F17" s="847" t="s">
        <v>391</v>
      </c>
      <c r="G17" s="848"/>
      <c r="H17" s="1044" t="s">
        <v>444</v>
      </c>
      <c r="I17" s="1045"/>
      <c r="J17" s="1044"/>
      <c r="K17" s="1045"/>
      <c r="L17" s="847"/>
      <c r="M17" s="848"/>
      <c r="N17" s="847"/>
      <c r="O17" s="848"/>
      <c r="P17" s="847"/>
      <c r="Q17" s="848"/>
      <c r="R17" s="847"/>
      <c r="S17" s="848"/>
      <c r="T17" s="847"/>
      <c r="U17" s="848"/>
    </row>
    <row r="18" spans="1:21" s="612" customFormat="1" ht="21" customHeight="1" x14ac:dyDescent="0.25">
      <c r="A18" s="845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5"/>
      <c r="B19" s="842" t="s">
        <v>385</v>
      </c>
      <c r="C19" s="843"/>
      <c r="D19" s="842" t="s">
        <v>403</v>
      </c>
      <c r="E19" s="843"/>
      <c r="F19" s="842" t="s">
        <v>393</v>
      </c>
      <c r="G19" s="843"/>
      <c r="H19" s="842"/>
      <c r="I19" s="843"/>
      <c r="J19" s="842"/>
      <c r="K19" s="843"/>
      <c r="L19" s="842"/>
      <c r="M19" s="843"/>
      <c r="N19" s="842"/>
      <c r="O19" s="843"/>
      <c r="P19" s="842"/>
      <c r="Q19" s="843"/>
      <c r="R19" s="842"/>
      <c r="S19" s="843"/>
      <c r="T19" s="842"/>
      <c r="U19" s="843"/>
    </row>
    <row r="20" spans="1:21" s="161" customFormat="1" ht="21" customHeight="1" x14ac:dyDescent="0.25">
      <c r="A20" s="845"/>
      <c r="B20" s="1044" t="s">
        <v>397</v>
      </c>
      <c r="C20" s="1045"/>
      <c r="D20" s="1044" t="s">
        <v>285</v>
      </c>
      <c r="E20" s="1045"/>
      <c r="F20" s="847" t="s">
        <v>382</v>
      </c>
      <c r="G20" s="848"/>
      <c r="H20" s="1044" t="s">
        <v>406</v>
      </c>
      <c r="I20" s="1045"/>
      <c r="J20" s="1044"/>
      <c r="K20" s="1045"/>
      <c r="L20" s="847"/>
      <c r="M20" s="848"/>
      <c r="N20" s="847"/>
      <c r="O20" s="848"/>
      <c r="P20" s="847"/>
      <c r="Q20" s="848"/>
      <c r="R20" s="847"/>
      <c r="S20" s="848"/>
      <c r="T20" s="847"/>
      <c r="U20" s="848"/>
    </row>
    <row r="21" spans="1:21" s="612" customFormat="1" ht="21" customHeight="1" x14ac:dyDescent="0.25">
      <c r="A21" s="845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46"/>
      <c r="B22" s="842" t="s">
        <v>405</v>
      </c>
      <c r="C22" s="843"/>
      <c r="D22" s="842" t="s">
        <v>405</v>
      </c>
      <c r="E22" s="843"/>
      <c r="F22" s="842" t="s">
        <v>405</v>
      </c>
      <c r="G22" s="843"/>
      <c r="H22" s="842" t="s">
        <v>405</v>
      </c>
      <c r="I22" s="843"/>
      <c r="J22" s="842"/>
      <c r="K22" s="843"/>
      <c r="L22" s="842"/>
      <c r="M22" s="843"/>
      <c r="N22" s="842"/>
      <c r="O22" s="843"/>
      <c r="P22" s="842"/>
      <c r="Q22" s="843"/>
      <c r="R22" s="842"/>
      <c r="S22" s="843"/>
      <c r="T22" s="842"/>
      <c r="U22" s="843"/>
    </row>
    <row r="23" spans="1:21" s="692" customFormat="1" ht="21" customHeight="1" x14ac:dyDescent="0.25">
      <c r="A23" s="862" t="s">
        <v>350</v>
      </c>
      <c r="B23" s="1053"/>
      <c r="C23" s="1054"/>
      <c r="D23" s="1053"/>
      <c r="E23" s="1054"/>
      <c r="F23" s="856"/>
      <c r="G23" s="857"/>
      <c r="H23" s="856"/>
      <c r="I23" s="857"/>
      <c r="J23" s="856"/>
      <c r="K23" s="857"/>
      <c r="L23" s="856"/>
      <c r="M23" s="857"/>
      <c r="N23" s="856"/>
      <c r="O23" s="857"/>
      <c r="P23" s="856"/>
      <c r="Q23" s="857"/>
      <c r="R23" s="856"/>
      <c r="S23" s="857"/>
      <c r="T23" s="856"/>
      <c r="U23" s="857"/>
    </row>
    <row r="24" spans="1:21" s="612" customFormat="1" ht="21" customHeight="1" x14ac:dyDescent="0.25">
      <c r="A24" s="863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64"/>
      <c r="B25" s="854"/>
      <c r="C25" s="855"/>
      <c r="D25" s="854"/>
      <c r="E25" s="855"/>
      <c r="F25" s="854"/>
      <c r="G25" s="855"/>
      <c r="H25" s="854"/>
      <c r="I25" s="855"/>
      <c r="J25" s="854"/>
      <c r="K25" s="855"/>
      <c r="L25" s="854"/>
      <c r="M25" s="855"/>
      <c r="N25" s="854"/>
      <c r="O25" s="855"/>
      <c r="P25" s="854"/>
      <c r="Q25" s="855"/>
      <c r="R25" s="854"/>
      <c r="S25" s="855"/>
      <c r="T25" s="854"/>
      <c r="U25" s="855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X6" sqref="X6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55" t="s">
        <v>344</v>
      </c>
      <c r="D2" s="1056"/>
      <c r="E2" s="1057"/>
      <c r="F2" s="1077" t="s">
        <v>354</v>
      </c>
      <c r="G2" s="1077" t="s">
        <v>355</v>
      </c>
      <c r="I2" s="1079" t="s">
        <v>402</v>
      </c>
      <c r="J2" s="1058" t="s">
        <v>66</v>
      </c>
      <c r="K2" s="1055" t="s">
        <v>239</v>
      </c>
      <c r="L2" s="1057"/>
      <c r="M2" s="1055" t="s">
        <v>241</v>
      </c>
      <c r="N2" s="1056"/>
      <c r="O2" s="1057"/>
      <c r="P2" s="1055" t="s">
        <v>246</v>
      </c>
      <c r="Q2" s="1056"/>
      <c r="R2" s="1056"/>
      <c r="S2" s="1057"/>
      <c r="T2" s="240"/>
      <c r="U2" s="1094" t="s">
        <v>480</v>
      </c>
      <c r="V2" s="1095"/>
      <c r="W2" s="1096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78"/>
      <c r="G3" s="1078"/>
      <c r="I3" s="1080"/>
      <c r="J3" s="1059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80"/>
      <c r="J4" s="635" t="s">
        <v>346</v>
      </c>
      <c r="K4" s="695">
        <f>IFERROR(COUNT(AGITO_FLAME_STD_SILVER),"")</f>
        <v>0</v>
      </c>
      <c r="L4" s="658" t="str">
        <f>IFERROR(AVERAGE(AGITO_FLAME_STD_SILVER),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IFERROR(_xlfn.CEILING.MATH((AGITO_WEAPON_MUB_SILVER - V4*N4) / L4),"")</f>
        <v/>
      </c>
      <c r="V4" s="779" t="str" cm="1">
        <f t="array" ref="V4">IFERROR(_xlfn.CEILING.MATH((AGITO_WEAPON_MUB_GOLD - W4*Q4) / O4),"")</f>
        <v/>
      </c>
      <c r="W4" s="780" t="str" cm="1">
        <f t="array" ref="W4">IFERROR(_xlfn.CEILING.MATH(AGITO_WEAPON_MUB_POT / R4),"")</f>
        <v/>
      </c>
    </row>
    <row r="5" spans="1:26" s="307" customFormat="1" ht="21.95" customHeight="1" x14ac:dyDescent="0.25">
      <c r="B5" s="636" t="s">
        <v>347</v>
      </c>
      <c r="C5" s="644">
        <v>2141</v>
      </c>
      <c r="D5" s="645">
        <v>2590</v>
      </c>
      <c r="E5" s="645"/>
      <c r="F5" s="645">
        <v>8</v>
      </c>
      <c r="G5" s="646">
        <v>25</v>
      </c>
      <c r="I5" s="1080"/>
      <c r="J5" s="636" t="s">
        <v>347</v>
      </c>
      <c r="K5" s="632">
        <f>IFERROR(COUNT(AGITO_WATER_STD_SILVER),"")</f>
        <v>70</v>
      </c>
      <c r="L5" s="660">
        <f>IFERROR(AVERAGE(AGITO_WATER_STD_SILVER), "")</f>
        <v>5.128571428571429</v>
      </c>
      <c r="M5" s="632">
        <f>IFERROR(COUNT(AGITO_WATER_EXP_SILVER),"")</f>
        <v>386</v>
      </c>
      <c r="N5" s="660">
        <f>IFERROR(AVERAGE(AGITO_WATER_EXP_SILVER),"")</f>
        <v>2.5854922279792745</v>
      </c>
      <c r="O5" s="661">
        <f>IFERROR(AVERAGE(AGITO_WATER_EXP_GOLD),"")</f>
        <v>3.4792746113989637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IFERROR(_xlfn.CEILING.MATH((AGITO_WEAPON_MUB_SILVER - V5*N5) / L5),"")</f>
        <v/>
      </c>
      <c r="V5" s="782" t="str" cm="1">
        <f t="array" ref="V5">IFERROR(_xlfn.CEILING.MATH((AGITO_WEAPON_MUB_GOLD - W5*Q5) / O5),"")</f>
        <v/>
      </c>
      <c r="W5" s="783" t="str" cm="1">
        <f t="array" ref="W5">IFERROR(_xlfn.CEILING.MATH(AGITO_WEAPON_MUB_POT / R5),"")</f>
        <v/>
      </c>
    </row>
    <row r="6" spans="1:26" ht="21.95" customHeight="1" x14ac:dyDescent="0.25">
      <c r="B6" s="637" t="s">
        <v>348</v>
      </c>
      <c r="C6" s="647">
        <v>2638</v>
      </c>
      <c r="D6" s="648">
        <v>2857</v>
      </c>
      <c r="E6" s="648">
        <v>37</v>
      </c>
      <c r="F6" s="648">
        <v>8</v>
      </c>
      <c r="G6" s="649">
        <v>25</v>
      </c>
      <c r="I6" s="1080"/>
      <c r="J6" s="637" t="s">
        <v>348</v>
      </c>
      <c r="K6" s="633">
        <f>IFERROR(COUNT(AGITO_WIND_STD_SILVER),"")</f>
        <v>367</v>
      </c>
      <c r="L6" s="662">
        <f>IFERROR(AVERAGE(AGITO_WIND_STD_SILVER), "")</f>
        <v>5.1907356948228882</v>
      </c>
      <c r="M6" s="633">
        <f>IFERROR(COUNT(AGITO_WIND_EXP_SILVER),"")</f>
        <v>1064</v>
      </c>
      <c r="N6" s="662">
        <f>IFERROR(AVERAGE(AGITO_WIND_EXP_SILVER),"")</f>
        <v>2.6466165413533833</v>
      </c>
      <c r="O6" s="663">
        <f>IFERROR(AVERAGE(AGITO_WIND_EXP_GOLD),"")</f>
        <v>3.4398496240601504</v>
      </c>
      <c r="P6" s="633">
        <f>IFERROR(COUNT(AGITO_WIND_MST_GOLD),"")</f>
        <v>97</v>
      </c>
      <c r="Q6" s="662">
        <f>IFERROR(AVERAGE(AGITO_WIND_MST_GOLD),"")</f>
        <v>2.0103092783505154</v>
      </c>
      <c r="R6" s="662">
        <f>IFERROR(AVERAGE(AGITO_WIND_MST_POT),"")</f>
        <v>3.1237113402061856</v>
      </c>
      <c r="S6" s="663">
        <f>IFERROR(AVERAGE(AGITO_WIND_MST_ORIHAL),"")</f>
        <v>1.0824742268041236</v>
      </c>
      <c r="T6" s="667"/>
      <c r="U6" s="784" cm="1">
        <f t="array" ref="U6">IFERROR(_xlfn.CEILING.MATH((AGITO_WEAPON_MUB_SILVER - V6*N6) / L6),"")</f>
        <v>28</v>
      </c>
      <c r="V6" s="785" cm="1">
        <f t="array" ref="V6">IFERROR(_xlfn.CEILING.MATH((AGITO_WEAPON_MUB_GOLD - W6*Q6) / O6),"")</f>
        <v>52</v>
      </c>
      <c r="W6" s="786" cm="1">
        <f t="array" ref="W6">IFERROR(_xlfn.CEILING.MATH(AGITO_WEAPON_MUB_POT / R6),"")</f>
        <v>12</v>
      </c>
    </row>
    <row r="7" spans="1:26" ht="21.95" customHeight="1" x14ac:dyDescent="0.25">
      <c r="B7" s="638" t="s">
        <v>349</v>
      </c>
      <c r="C7" s="650">
        <v>2253</v>
      </c>
      <c r="D7" s="651">
        <v>1843</v>
      </c>
      <c r="E7" s="651"/>
      <c r="F7" s="651">
        <v>8</v>
      </c>
      <c r="G7" s="652">
        <v>25</v>
      </c>
      <c r="I7" s="1080"/>
      <c r="J7" s="638" t="s">
        <v>349</v>
      </c>
      <c r="K7" s="699">
        <f>IFERROR(COUNT(AGITO_LIGHT_STD_SILVER),"")</f>
        <v>92</v>
      </c>
      <c r="L7" s="664">
        <f>IFERROR(AVERAGE(AGITO_LIGHT_STD_SILVER), "")</f>
        <v>5.2065217391304346</v>
      </c>
      <c r="M7" s="699">
        <f>IFERROR(COUNT(AGITO_LIGHT_EXP_SILVER),"")</f>
        <v>829</v>
      </c>
      <c r="N7" s="664">
        <f>IFERROR(AVERAGE(AGITO_LIGHT_EXP_SILVER),"")</f>
        <v>2.5693606755126659</v>
      </c>
      <c r="O7" s="665">
        <f>IFERROR(AVERAGE(AGITO_LIGHT_EXP_GOLD),"")</f>
        <v>3.5126658624849214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IFERROR(_xlfn.CEILING.MATH((AGITO_WEAPON_MUB_SILVER - V7*N7) / L7),"")</f>
        <v/>
      </c>
      <c r="V7" s="788" t="str" cm="1">
        <f t="array" ref="V7">IFERROR(_xlfn.CEILING.MATH((AGITO_WEAPON_MUB_GOLD - W7*Q7) / O7),"")</f>
        <v/>
      </c>
      <c r="W7" s="789" t="str" cm="1">
        <f t="array" ref="W7">IFERROR(_xlfn.CEILING.MATH(AGITO_WEAPON_MUB_POT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80"/>
      <c r="J8" s="703" t="s">
        <v>350</v>
      </c>
      <c r="K8" s="700">
        <f>IFERROR(COUNT(AGITO_SHADOW_STD_SILVER),"")</f>
        <v>0</v>
      </c>
      <c r="L8" s="701" t="str">
        <f>IFERROR(AVERAGE(AGITO_SHADOW_STD_SILVER),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IFERROR(_xlfn.CEILING.MATH((AGITO_WEAPON_MUB_SILVER - V8*N8) / L8),"")</f>
        <v/>
      </c>
      <c r="V8" s="791" t="str" cm="1">
        <f t="array" ref="V8">IFERROR(_xlfn.CEILING.MATH((AGITO_WEAPON_MUB_GOLD - W8*Q8) / O8),"")</f>
        <v/>
      </c>
      <c r="W8" s="792" t="str" cm="1">
        <f t="array" ref="W8">IFERROR(_xlfn.CEILING.MATH(AGITO_WEAPON_MUB_POT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81"/>
      <c r="J9" s="704" t="s">
        <v>238</v>
      </c>
      <c r="K9" s="705">
        <f>IFERROR(COUNT(AGITO_FLAME_STD_SILVER,AGITO_WATER_STD_SILVER,AGITO_WIND_STD_SILVER,AGITO_LIGHT_STD_SILVER,AGITO_SHADOW_STD_SILVER),"")</f>
        <v>529</v>
      </c>
      <c r="L9" s="708">
        <f>IFERROR(AVERAGE(AGITO_FLAME_STD_SILVER,AGITO_WATER_STD_SILVER,AGITO_WIND_STD_SILVER,AGITO_LIGHT_STD_SILVER,AGITO_SHADOW_STD_SILVER),"")</f>
        <v>5.1852551984877131</v>
      </c>
      <c r="M9" s="705">
        <f>IFERROR(COUNT(AGITO_FLAME_EXP_SILVER,AGITO_WATER_EXP_SILVER,AGITO_WIND_EXP_SILVER,AGITO_LIGHT_EXP_SILVER,AGITO_SHADOW_EXP_SILVER),"")</f>
        <v>2279</v>
      </c>
      <c r="N9" s="708">
        <f>IFERROR(AVERAGE(AGITO_FLAME_EXP_SILVER,AGITO_WATER_EXP_SILVER,AGITO_WIND_EXP_SILVER,AGITO_LIGHT_EXP_SILVER,AGITO_SHADOW_EXP_SILVER),"")</f>
        <v>2.608161474330847</v>
      </c>
      <c r="O9" s="706">
        <f>IFERROR(AVERAGE(AGITO_FLAME_EXP_GOLD,AGITO_WATER_EXP_GOLD,AGITO_WIND_EXP_GOLD,AGITO_LIGHT_EXP_GOLD,AGITO_SHADOW_EXP_GOLD),"")</f>
        <v>3.4730144800351033</v>
      </c>
      <c r="P9" s="705">
        <f>IFERROR(COUNT(AGITO_FLAME_MST_GOLD,AGITO_WATER_MST_GOLD,AGITO_WIND_MST_GOLD,AGITO_LIGHT_MST_GOLD,AGITO_SHADOW_MST_GOLD),"")</f>
        <v>97</v>
      </c>
      <c r="Q9" s="708">
        <f>IFERROR(AVERAGE(AGITO_FLAME_MST_GOLD,AGITO_WATER_MST_GOLD,AGITO_WIND_MST_GOLD,AGITO_LIGHT_MST_GOLD,AGITO_SHADOW_MST_GOLD),"")</f>
        <v>2.0103092783505154</v>
      </c>
      <c r="R9" s="708">
        <f>IFERROR(AVERAGE(AGITO_FLAME_MST_POT,AGITO_WATER_MST_POT,AGITO_WIND_MST_POT,AGITO_LIGHT_MST_POT,AGITO_SHADOW_MST_POT),"")</f>
        <v>3.1237113402061856</v>
      </c>
      <c r="S9" s="706">
        <f>IFERROR(AVERAGE(AGITO_FLAME_MST_ORIHAL,AGITO_WATER_MST_ORIHAL,AGITO_WIND_MST_ORIHAL,AGITO_LIGHT_MST_ORIHAL,AGITO_SHADOW_MST_ORIHAL),"")</f>
        <v>1.0824742268041236</v>
      </c>
      <c r="T9" s="672"/>
      <c r="U9" s="808" cm="1">
        <f t="array" ref="U9">IFERROR(_xlfn.CEILING.MATH((AGITO_WEAPON_MUB_SILVER - V9*N9) / L9),"")</f>
        <v>29</v>
      </c>
      <c r="V9" s="793" cm="1">
        <f t="array" ref="V9">IFERROR(_xlfn.CEILING.MATH((AGITO_WEAPON_MUB_GOLD - W9*Q9) / O9),"")</f>
        <v>51</v>
      </c>
      <c r="W9" s="794" cm="1">
        <f t="array" ref="W9">IFERROR(_xlfn.CEILING.MATH(AGITO_WEAPON_MUB_POT / R9),"")</f>
        <v>12</v>
      </c>
      <c r="X9" s="667"/>
      <c r="Y9" s="240"/>
      <c r="Z9" s="240"/>
    </row>
    <row r="10" spans="1:26" ht="15" customHeight="1" x14ac:dyDescent="0.25">
      <c r="B10" s="763"/>
      <c r="C10" s="1065" t="s">
        <v>38</v>
      </c>
      <c r="D10" s="1066"/>
      <c r="E10" s="1066"/>
      <c r="F10" s="1067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064" t="s">
        <v>65</v>
      </c>
      <c r="D11" s="1062"/>
      <c r="E11" s="1062" t="s">
        <v>64</v>
      </c>
      <c r="F11" s="1063"/>
      <c r="G11" s="765"/>
      <c r="I11" s="1084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082" t="s">
        <v>24</v>
      </c>
      <c r="T11" s="1083"/>
      <c r="U11" s="795" t="s">
        <v>351</v>
      </c>
      <c r="V11" s="796" t="s">
        <v>352</v>
      </c>
      <c r="W11" s="796" t="s">
        <v>479</v>
      </c>
      <c r="X11" s="666" t="s">
        <v>323</v>
      </c>
    </row>
    <row r="12" spans="1:26" s="307" customFormat="1" ht="18.95" customHeight="1" x14ac:dyDescent="0.25">
      <c r="B12" s="945" t="s">
        <v>346</v>
      </c>
      <c r="C12" s="1068" t="str">
        <f>IF(ISBLANK(G4),"",INDEX(DATA_AGITO_BUILDING,G4+ 1, 1))</f>
        <v/>
      </c>
      <c r="D12" s="1068"/>
      <c r="E12" s="1068" t="str">
        <f>IF(ISBLANK(G4),"",INDEX(DATA_AGITO_BUILDING,G4+ 1, 2))</f>
        <v/>
      </c>
      <c r="F12" s="1069"/>
      <c r="G12" s="764"/>
      <c r="I12" s="1085"/>
      <c r="J12" s="1090"/>
      <c r="K12" s="1075"/>
      <c r="L12" s="1075"/>
      <c r="M12" s="1075"/>
      <c r="N12" s="1075"/>
      <c r="O12" s="1075"/>
      <c r="P12" s="1075"/>
      <c r="Q12" s="1075"/>
      <c r="R12" s="771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0" t="s">
        <v>65</v>
      </c>
      <c r="U12" s="797" t="str">
        <f>IF(AND(K4&gt;0,S12&lt;0), _xlfn.CEILING.MATH(-S12/L4),"")</f>
        <v/>
      </c>
      <c r="V12" s="798" t="str">
        <f>IF(AND(M4&gt;0,S12&lt;0), _xlfn.CEILING.MATH(-S12/N4),"")</f>
        <v/>
      </c>
      <c r="W12" s="799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47"/>
      <c r="C13" s="1070"/>
      <c r="D13" s="1070"/>
      <c r="E13" s="1070"/>
      <c r="F13" s="1071"/>
      <c r="G13" s="764"/>
      <c r="I13" s="1085"/>
      <c r="J13" s="1091"/>
      <c r="K13" s="1076"/>
      <c r="L13" s="1076"/>
      <c r="M13" s="1076"/>
      <c r="N13" s="1076"/>
      <c r="O13" s="1076"/>
      <c r="P13" s="1076"/>
      <c r="Q13" s="1076"/>
      <c r="R13" s="772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8" t="s">
        <v>64</v>
      </c>
      <c r="U13" s="800" t="s">
        <v>157</v>
      </c>
      <c r="V13" s="801" t="str">
        <f>IF(AND(M4&gt;0,S13&lt;0), _xlfn.CEILING.MATH(-S13/O4),"")</f>
        <v/>
      </c>
      <c r="W13" s="802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47"/>
      <c r="C14" s="1070"/>
      <c r="D14" s="1070"/>
      <c r="E14" s="1070"/>
      <c r="F14" s="1071"/>
      <c r="G14" s="764"/>
      <c r="I14" s="1085"/>
      <c r="J14" s="1091"/>
      <c r="K14" s="1076"/>
      <c r="L14" s="1076"/>
      <c r="M14" s="1076"/>
      <c r="N14" s="1076"/>
      <c r="O14" s="1076"/>
      <c r="P14" s="1076"/>
      <c r="Q14" s="1076"/>
      <c r="R14" s="772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8" t="s">
        <v>475</v>
      </c>
      <c r="U14" s="800" t="s">
        <v>157</v>
      </c>
      <c r="V14" s="801" t="s">
        <v>157</v>
      </c>
      <c r="W14" s="802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085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800"/>
      <c r="V15" s="801"/>
      <c r="W15" s="802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085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800"/>
      <c r="V16" s="801"/>
      <c r="W16" s="802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085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800"/>
      <c r="V17" s="801"/>
      <c r="W17" s="802"/>
      <c r="X17" s="669"/>
    </row>
    <row r="18" spans="2:24" s="307" customFormat="1" ht="18.95" customHeight="1" x14ac:dyDescent="0.25">
      <c r="B18" s="943" t="s">
        <v>347</v>
      </c>
      <c r="C18" s="1104">
        <f>IF(ISBLANK(G5),"",INDEX(DATA_AGITO_BUILDING,G5+ 1, 1))</f>
        <v>0</v>
      </c>
      <c r="D18" s="1104"/>
      <c r="E18" s="1104">
        <f>IF(ISBLANK(G5),"",INDEX(DATA_AGITO_BUILDING,G5+ 1, 2))</f>
        <v>0</v>
      </c>
      <c r="F18" s="1105"/>
      <c r="G18" s="764"/>
      <c r="I18" s="1085"/>
      <c r="J18" s="1089">
        <v>614</v>
      </c>
      <c r="K18" s="1074">
        <v>614</v>
      </c>
      <c r="L18" s="1074">
        <v>614</v>
      </c>
      <c r="M18" s="1074">
        <v>614</v>
      </c>
      <c r="N18" s="1074">
        <v>614</v>
      </c>
      <c r="O18" s="1074">
        <v>614</v>
      </c>
      <c r="P18" s="1074">
        <v>614</v>
      </c>
      <c r="Q18" s="1074">
        <v>614</v>
      </c>
      <c r="R18" s="772" cm="1">
        <f t="array" ref="R18">IF(ISBLANK(C5),"",(SUM(J21:Q21) + C5) / AGITO_WEAPON_MUB_SILVER)</f>
        <v>13.360714285714286</v>
      </c>
      <c r="S18" s="616" cm="1">
        <f t="array" ref="S18">IF(ISBLANK(C5),"",-(F5 * AGITO_WEAPON_MUB_SILVER - SUM(J21:Q21) - C5))</f>
        <v>1501</v>
      </c>
      <c r="T18" s="758" t="s">
        <v>65</v>
      </c>
      <c r="U18" s="800" t="str">
        <f>IF(AND(K5&gt;0,S18&lt;0), _xlfn.CEILING.MATH(-S18/L5),"")</f>
        <v/>
      </c>
      <c r="V18" s="801" t="str">
        <f>IF(AND(M5&gt;0,S18&lt;0), _xlfn.CEILING.MATH(-S18/N5),"")</f>
        <v/>
      </c>
      <c r="W18" s="802" t="s">
        <v>157</v>
      </c>
      <c r="X18" s="669">
        <f>IFERROR((-F5 * AGITO_WEAPON_MUB_SILVER - S18)/(-F5 * AGITO_WEAPON_MUB_SILVER),"")</f>
        <v>1.6700892857142857</v>
      </c>
    </row>
    <row r="19" spans="2:24" s="307" customFormat="1" ht="18.95" customHeight="1" x14ac:dyDescent="0.25">
      <c r="B19" s="943"/>
      <c r="C19" s="1104"/>
      <c r="D19" s="1104"/>
      <c r="E19" s="1104"/>
      <c r="F19" s="1105"/>
      <c r="G19" s="764"/>
      <c r="I19" s="1085"/>
      <c r="J19" s="1089"/>
      <c r="K19" s="1074"/>
      <c r="L19" s="1074"/>
      <c r="M19" s="1074"/>
      <c r="N19" s="1074"/>
      <c r="O19" s="1074"/>
      <c r="P19" s="1074"/>
      <c r="Q19" s="1074"/>
      <c r="R19" s="772" cm="1">
        <f t="array" ref="R19">IF(ISBLANK(D5),"",(SUM(J22:Q22) + D5) / AGITO_WEAPON_MUB_GOLD)</f>
        <v>18.95</v>
      </c>
      <c r="S19" s="616" cm="1">
        <f t="array" ref="S19">IF(ISBLANK(D5),"",-(F5 * AGITO_WEAPON_MUB_GOLD - SUM(J22:Q22) - D5))</f>
        <v>2190</v>
      </c>
      <c r="T19" s="758" t="s">
        <v>64</v>
      </c>
      <c r="U19" s="800" t="s">
        <v>157</v>
      </c>
      <c r="V19" s="801" t="str">
        <f>IF(AND(M5&gt;0,S19&lt;0), _xlfn.CEILING.MATH(-S19/O5),"")</f>
        <v/>
      </c>
      <c r="W19" s="802" t="str">
        <f>IF(AND(P5&gt;0,S19&lt;0), _xlfn.CEILING.MATH(-S19/Q5),"")</f>
        <v/>
      </c>
      <c r="X19" s="669">
        <f>IFERROR((-F5 * AGITO_WEAPON_MUB_GOLD - S19)/(-F5 * AGITO_WEAPON_MUB_GOLD),"")</f>
        <v>2.3687499999999999</v>
      </c>
    </row>
    <row r="20" spans="2:24" s="307" customFormat="1" ht="18.95" customHeight="1" x14ac:dyDescent="0.25">
      <c r="B20" s="943"/>
      <c r="C20" s="1104"/>
      <c r="D20" s="1104"/>
      <c r="E20" s="1104"/>
      <c r="F20" s="1105"/>
      <c r="G20" s="764"/>
      <c r="I20" s="1085"/>
      <c r="J20" s="1089"/>
      <c r="K20" s="1074"/>
      <c r="L20" s="1074"/>
      <c r="M20" s="1074"/>
      <c r="N20" s="1074"/>
      <c r="O20" s="1074"/>
      <c r="P20" s="1074"/>
      <c r="Q20" s="1074"/>
      <c r="R20" s="772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8" t="s">
        <v>475</v>
      </c>
      <c r="U20" s="800" t="s">
        <v>157</v>
      </c>
      <c r="V20" s="801" t="s">
        <v>157</v>
      </c>
      <c r="W20" s="802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085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800"/>
      <c r="V21" s="801"/>
      <c r="W21" s="802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085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800"/>
      <c r="V22" s="801"/>
      <c r="W22" s="802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085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800"/>
      <c r="V23" s="801"/>
      <c r="W23" s="802"/>
      <c r="X23" s="669"/>
    </row>
    <row r="24" spans="2:24" s="307" customFormat="1" ht="18.95" customHeight="1" x14ac:dyDescent="0.25">
      <c r="B24" s="895" t="s">
        <v>348</v>
      </c>
      <c r="C24" s="1106">
        <f>IF(ISBLANK(G6),"",INDEX(DATA_AGITO_BUILDING,G6+ 1, 1))</f>
        <v>0</v>
      </c>
      <c r="D24" s="1106"/>
      <c r="E24" s="1106">
        <f>IF(ISBLANK(G6),"",INDEX(DATA_AGITO_BUILDING,G6+ 1, 2))</f>
        <v>0</v>
      </c>
      <c r="F24" s="1107"/>
      <c r="G24" s="764"/>
      <c r="I24" s="1085"/>
      <c r="J24" s="1072">
        <v>624</v>
      </c>
      <c r="K24" s="1073">
        <v>624</v>
      </c>
      <c r="L24" s="1073">
        <v>624</v>
      </c>
      <c r="M24" s="1073">
        <v>624</v>
      </c>
      <c r="N24" s="1073">
        <v>624</v>
      </c>
      <c r="O24" s="1073">
        <v>624</v>
      </c>
      <c r="P24" s="1073">
        <v>624</v>
      </c>
      <c r="Q24" s="1073">
        <v>624</v>
      </c>
      <c r="R24" s="772" cm="1">
        <f t="array" ref="R24">IF(ISBLANK(C6),"",(SUM(J27:Q27) + C6) / AGITO_WEAPON_MUB_SILVER)</f>
        <v>17.421428571428571</v>
      </c>
      <c r="S24" s="616" cm="1">
        <f t="array" ref="S24">IF(ISBLANK(C6),"",-(F6*AGITO_WEAPON_MUB_SILVER-SUM(J27:Q27)-C6))</f>
        <v>2638</v>
      </c>
      <c r="T24" s="758" t="s">
        <v>65</v>
      </c>
      <c r="U24" s="800" t="str">
        <f>IF(AND(S24&lt;0,K6&gt;0), _xlfn.CEILING.MATH(-S24/L6),"")</f>
        <v/>
      </c>
      <c r="V24" s="801" t="str">
        <f>IF(AND(S24&lt;0,M6&gt;0), _xlfn.CEILING.MATH(-S24/N6),"")</f>
        <v/>
      </c>
      <c r="W24" s="802" t="s">
        <v>157</v>
      </c>
      <c r="X24" s="669">
        <f>IFERROR((-F6 * AGITO_WEAPON_MUB_SILVER - S24)/(-F6 * AGITO_WEAPON_MUB_SILVER),"")</f>
        <v>2.1776785714285714</v>
      </c>
    </row>
    <row r="25" spans="2:24" s="307" customFormat="1" ht="18.95" customHeight="1" x14ac:dyDescent="0.25">
      <c r="B25" s="895"/>
      <c r="C25" s="1106"/>
      <c r="D25" s="1106"/>
      <c r="E25" s="1106"/>
      <c r="F25" s="1107"/>
      <c r="G25" s="764"/>
      <c r="I25" s="1085"/>
      <c r="J25" s="1072"/>
      <c r="K25" s="1073"/>
      <c r="L25" s="1073"/>
      <c r="M25" s="1073"/>
      <c r="N25" s="1073"/>
      <c r="O25" s="1073"/>
      <c r="P25" s="1073"/>
      <c r="Q25" s="1073"/>
      <c r="R25" s="772" cm="1">
        <f t="array" ref="R25">IF(ISBLANK(D6),"",(SUM(J28:Q28) + D6) / AGITO_WEAPON_MUB_GOLD)</f>
        <v>22.285</v>
      </c>
      <c r="S25" s="616" cm="1">
        <f t="array" ref="S25">IF(ISBLANK(D6),"",-(F6 * AGITO_WEAPON_MUB_GOLD - SUM(J28:Q28) - D6))</f>
        <v>2857</v>
      </c>
      <c r="T25" s="758" t="s">
        <v>64</v>
      </c>
      <c r="U25" s="800" t="s">
        <v>157</v>
      </c>
      <c r="V25" s="801" t="str">
        <f>IF(AND(M6&gt;0,S25&lt;0), _xlfn.CEILING.MATH(-S25/O6),"")</f>
        <v/>
      </c>
      <c r="W25" s="802" t="str">
        <f>IF(AND(P6&gt;0,S25&lt;0), _xlfn.CEILING.MATH(-S25/Q6),"")</f>
        <v/>
      </c>
      <c r="X25" s="669">
        <f>IFERROR((-F6 * AGITO_WEAPON_MUB_GOLD - S25)/(-F6 * AGITO_WEAPON_MUB_GOLD),"")</f>
        <v>2.785625</v>
      </c>
    </row>
    <row r="26" spans="2:24" s="307" customFormat="1" ht="18.95" customHeight="1" x14ac:dyDescent="0.25">
      <c r="B26" s="895"/>
      <c r="C26" s="1106"/>
      <c r="D26" s="1106"/>
      <c r="E26" s="1106"/>
      <c r="F26" s="1107"/>
      <c r="G26" s="764"/>
      <c r="I26" s="1085"/>
      <c r="J26" s="1072"/>
      <c r="K26" s="1073"/>
      <c r="L26" s="1073"/>
      <c r="M26" s="1073"/>
      <c r="N26" s="1073"/>
      <c r="O26" s="1073"/>
      <c r="P26" s="1073"/>
      <c r="Q26" s="1073"/>
      <c r="R26" s="772" cm="1">
        <f t="array" ref="R26">IF(ISBLANK(E6),"",(SUM(J29:Q29) + E6) / AGITO_WEAPON_MUB_POT)</f>
        <v>9.0571428571428569</v>
      </c>
      <c r="S26" s="616" cm="1">
        <f t="array" ref="S26">IF(ISBLANK(E6),"",-(F6 * AGITO_WEAPON_MUB_POT - SUM(J29:Q29) - E6))</f>
        <v>37</v>
      </c>
      <c r="T26" s="758" t="s">
        <v>475</v>
      </c>
      <c r="U26" s="800" t="s">
        <v>157</v>
      </c>
      <c r="V26" s="801" t="s">
        <v>157</v>
      </c>
      <c r="W26" s="802" t="str">
        <f>IF(AND(P6&gt;0,S25&lt;0), _xlfn.CEILING.MATH(-S25/R6),"")</f>
        <v/>
      </c>
      <c r="X26" s="669">
        <f>IFERROR((-F6 * AGITO_WEAPON_MUB_POT - S26)/(-F6 * AGITO_WEAPON_MUB_POT),"")</f>
        <v>1.1321428571428571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085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800"/>
      <c r="V27" s="801"/>
      <c r="W27" s="802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085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800"/>
      <c r="V28" s="801"/>
      <c r="W28" s="802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085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800"/>
      <c r="V29" s="801"/>
      <c r="W29" s="802"/>
      <c r="X29" s="669"/>
    </row>
    <row r="30" spans="2:24" ht="18.95" customHeight="1" x14ac:dyDescent="0.25">
      <c r="B30" s="920" t="s">
        <v>349</v>
      </c>
      <c r="C30" s="1101">
        <f>IF(ISBLANK(G7),"",INDEX(DATA_AGITO_BUILDING,G7+ 1, 1))</f>
        <v>0</v>
      </c>
      <c r="D30" s="1101"/>
      <c r="E30" s="1101">
        <f>IF(ISBLANK(G7),"",INDEX(DATA_AGITO_BUILDING,G7+ 1, 2))</f>
        <v>0</v>
      </c>
      <c r="F30" s="1102"/>
      <c r="G30" s="764"/>
      <c r="I30" s="1085"/>
      <c r="J30" s="1093">
        <v>614</v>
      </c>
      <c r="K30" s="1092">
        <v>614</v>
      </c>
      <c r="L30" s="1092">
        <v>614</v>
      </c>
      <c r="M30" s="1092">
        <v>614</v>
      </c>
      <c r="N30" s="1092">
        <v>614</v>
      </c>
      <c r="O30" s="1092">
        <v>614</v>
      </c>
      <c r="P30" s="1092">
        <v>614</v>
      </c>
      <c r="Q30" s="1092">
        <v>614</v>
      </c>
      <c r="R30" s="772" cm="1">
        <f t="array" ref="R30">IF(ISBLANK(C7),"",(SUM(J33:Q33) + C7) / AGITO_WEAPON_MUB_SILVER)</f>
        <v>13.760714285714286</v>
      </c>
      <c r="S30" s="616" cm="1">
        <f t="array" ref="S30">IF(ISBLANK(C7),"",-(F7 * AGITO_WEAPON_MUB_SILVER - SUM(J33:Q33) - C7))</f>
        <v>1613</v>
      </c>
      <c r="T30" s="758" t="s">
        <v>65</v>
      </c>
      <c r="U30" s="800" t="str">
        <f>IF(AND(S30&lt;0,K7&gt;0), _xlfn.CEILING.MATH(-S30/L7),"")</f>
        <v/>
      </c>
      <c r="V30" s="801" t="str">
        <f>IF(AND(S30&lt;0,M7&gt;0), _xlfn.CEILING.MATH(-S30/N7),"")</f>
        <v/>
      </c>
      <c r="W30" s="802" t="s">
        <v>157</v>
      </c>
      <c r="X30" s="669">
        <f>IFERROR((-F7 * AGITO_WEAPON_MUB_SILVER - S30)/(-F7 * AGITO_WEAPON_MUB_SILVER),"")</f>
        <v>1.7200892857142858</v>
      </c>
    </row>
    <row r="31" spans="2:24" ht="18.95" customHeight="1" x14ac:dyDescent="0.25">
      <c r="B31" s="920"/>
      <c r="C31" s="1101"/>
      <c r="D31" s="1101"/>
      <c r="E31" s="1101"/>
      <c r="F31" s="1102"/>
      <c r="G31" s="764"/>
      <c r="I31" s="1085"/>
      <c r="J31" s="1093"/>
      <c r="K31" s="1092"/>
      <c r="L31" s="1092"/>
      <c r="M31" s="1092"/>
      <c r="N31" s="1092"/>
      <c r="O31" s="1092"/>
      <c r="P31" s="1092"/>
      <c r="Q31" s="1092"/>
      <c r="R31" s="772" cm="1">
        <f t="array" ref="R31">IF(ISBLANK(D7),"",(SUM(J34:Q34) + D7) / AGITO_WEAPON_MUB_GOLD)</f>
        <v>15.215</v>
      </c>
      <c r="S31" s="616" cm="1">
        <f t="array" ref="S31">IF(ISBLANK(D7),"",-(F7 * AGITO_WEAPON_MUB_GOLD - SUM(J34:Q34) - D7))</f>
        <v>1443</v>
      </c>
      <c r="T31" s="758" t="s">
        <v>64</v>
      </c>
      <c r="U31" s="800" t="s">
        <v>157</v>
      </c>
      <c r="V31" s="801" t="str">
        <f>IF(AND(S31&lt;0,M7&gt;0), _xlfn.CEILING.MATH(-S31/O7),"")</f>
        <v/>
      </c>
      <c r="W31" s="802" t="str">
        <f>IF(AND(S31&lt;0,P7&gt;0), _xlfn.CEILING.MATH(-S31/Q7),"")</f>
        <v/>
      </c>
      <c r="X31" s="669">
        <f>IFERROR((-F7 * AGITO_WEAPON_MUB_GOLD - S31)/(-F7 * AGITO_WEAPON_MUB_GOLD),"")</f>
        <v>1.901875</v>
      </c>
    </row>
    <row r="32" spans="2:24" s="740" customFormat="1" ht="18.95" customHeight="1" x14ac:dyDescent="0.25">
      <c r="B32" s="920"/>
      <c r="C32" s="1101"/>
      <c r="D32" s="1101"/>
      <c r="E32" s="1101"/>
      <c r="F32" s="1102"/>
      <c r="G32" s="764"/>
      <c r="I32" s="1085"/>
      <c r="J32" s="1093"/>
      <c r="K32" s="1092"/>
      <c r="L32" s="1092"/>
      <c r="M32" s="1092"/>
      <c r="N32" s="1092"/>
      <c r="O32" s="1092"/>
      <c r="P32" s="1092"/>
      <c r="Q32" s="1092"/>
      <c r="R32" s="772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8" t="s">
        <v>475</v>
      </c>
      <c r="U32" s="800" t="s">
        <v>157</v>
      </c>
      <c r="V32" s="801" t="s">
        <v>157</v>
      </c>
      <c r="W32" s="802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085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800"/>
      <c r="V33" s="801"/>
      <c r="W33" s="802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085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800"/>
      <c r="V34" s="801"/>
      <c r="W34" s="802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085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800"/>
      <c r="V35" s="801"/>
      <c r="W35" s="802"/>
      <c r="X35" s="669"/>
    </row>
    <row r="36" spans="2:24" ht="18.95" customHeight="1" x14ac:dyDescent="0.25">
      <c r="B36" s="1103" t="s">
        <v>350</v>
      </c>
      <c r="C36" s="1097" t="str">
        <f>IF(ISBLANK(G8),"",INDEX(DATA_AGITO_BUILDING,G8+ 1, 1))</f>
        <v/>
      </c>
      <c r="D36" s="1097"/>
      <c r="E36" s="1097" t="str">
        <f>IF(ISBLANK(G8),"",INDEX(DATA_AGITO_BUILDING,G8+ 1, 2))</f>
        <v/>
      </c>
      <c r="F36" s="1098"/>
      <c r="G36" s="764"/>
      <c r="I36" s="1085"/>
      <c r="J36" s="1087"/>
      <c r="K36" s="1060"/>
      <c r="L36" s="1060"/>
      <c r="M36" s="1060"/>
      <c r="N36" s="1060"/>
      <c r="O36" s="1060"/>
      <c r="P36" s="1060"/>
      <c r="Q36" s="1060"/>
      <c r="R36" s="772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8" t="s">
        <v>65</v>
      </c>
      <c r="U36" s="800" t="str">
        <f>IF(AND(S36&lt;0,K8&gt;0), _xlfn.CEILING.MATH(-S36/L8),"")</f>
        <v/>
      </c>
      <c r="V36" s="801" t="str">
        <f>IF(AND(S36&lt;0,M8&gt;0), _xlfn.CEILING.MATH(-S36/N8),"")</f>
        <v/>
      </c>
      <c r="W36" s="802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103"/>
      <c r="C37" s="1097"/>
      <c r="D37" s="1097"/>
      <c r="E37" s="1097"/>
      <c r="F37" s="1098"/>
      <c r="G37" s="764"/>
      <c r="I37" s="1085"/>
      <c r="J37" s="1087"/>
      <c r="K37" s="1060"/>
      <c r="L37" s="1060"/>
      <c r="M37" s="1060"/>
      <c r="N37" s="1060"/>
      <c r="O37" s="1060"/>
      <c r="P37" s="1060"/>
      <c r="Q37" s="1060"/>
      <c r="R37" s="772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8" t="s">
        <v>64</v>
      </c>
      <c r="U37" s="800" t="s">
        <v>157</v>
      </c>
      <c r="V37" s="801" t="str">
        <f>IF(AND(S37&lt;0,M8&gt;0), _xlfn.CEILING.MATH(-S37/O8),"")</f>
        <v/>
      </c>
      <c r="W37" s="802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0" customFormat="1" ht="18.95" customHeight="1" x14ac:dyDescent="0.25">
      <c r="B38" s="916"/>
      <c r="C38" s="1099"/>
      <c r="D38" s="1099"/>
      <c r="E38" s="1099"/>
      <c r="F38" s="1100"/>
      <c r="G38" s="764"/>
      <c r="I38" s="1085"/>
      <c r="J38" s="1088"/>
      <c r="K38" s="1061"/>
      <c r="L38" s="1061"/>
      <c r="M38" s="1061"/>
      <c r="N38" s="1061"/>
      <c r="O38" s="1061"/>
      <c r="P38" s="1061"/>
      <c r="Q38" s="1061"/>
      <c r="R38" s="773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59" t="s">
        <v>475</v>
      </c>
      <c r="U38" s="803" t="s">
        <v>157</v>
      </c>
      <c r="V38" s="804" t="s">
        <v>157</v>
      </c>
      <c r="W38" s="805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085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6"/>
      <c r="V39" s="806"/>
      <c r="W39" s="806"/>
      <c r="X39" s="510"/>
    </row>
    <row r="40" spans="2:24" ht="20.25" hidden="1" customHeight="1" x14ac:dyDescent="0.25">
      <c r="I40" s="1085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6"/>
      <c r="V40" s="806"/>
      <c r="W40" s="806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086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7"/>
      <c r="V41" s="807"/>
      <c r="W41" s="807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66"/>
  <sheetViews>
    <sheetView tabSelected="1" topLeftCell="K1" zoomScaleNormal="100" workbookViewId="0">
      <selection activeCell="AE12" sqref="AE12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11" t="s">
        <v>241</v>
      </c>
      <c r="C1" s="1111"/>
      <c r="D1" s="1111" t="s">
        <v>246</v>
      </c>
      <c r="E1" s="1111"/>
      <c r="F1" s="1114"/>
      <c r="G1" s="629" t="s">
        <v>239</v>
      </c>
      <c r="H1" s="1112" t="s">
        <v>241</v>
      </c>
      <c r="I1" s="1112"/>
      <c r="J1" s="1112" t="s">
        <v>246</v>
      </c>
      <c r="K1" s="1112"/>
      <c r="L1" s="1115"/>
      <c r="M1" s="656" t="s">
        <v>239</v>
      </c>
      <c r="N1" s="1047" t="s">
        <v>241</v>
      </c>
      <c r="O1" s="1047"/>
      <c r="P1" s="1047" t="s">
        <v>246</v>
      </c>
      <c r="Q1" s="1047"/>
      <c r="R1" s="1048"/>
      <c r="S1" s="628" t="s">
        <v>239</v>
      </c>
      <c r="T1" s="1113" t="s">
        <v>241</v>
      </c>
      <c r="U1" s="1113"/>
      <c r="V1" s="1113" t="s">
        <v>246</v>
      </c>
      <c r="W1" s="1113"/>
      <c r="X1" s="1052"/>
      <c r="Y1" s="757" t="s">
        <v>239</v>
      </c>
      <c r="Z1" s="1108" t="s">
        <v>241</v>
      </c>
      <c r="AA1" s="1108"/>
      <c r="AB1" s="1108" t="s">
        <v>246</v>
      </c>
      <c r="AC1" s="1108"/>
      <c r="AD1" s="1109"/>
      <c r="AF1" s="1110" t="s">
        <v>353</v>
      </c>
      <c r="AG1" s="1110" t="s">
        <v>476</v>
      </c>
      <c r="AH1" s="1110"/>
      <c r="AI1" s="1110" t="s">
        <v>477</v>
      </c>
      <c r="AJ1" s="1110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10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</row>
    <row r="833" spans="14:15" x14ac:dyDescent="0.25">
      <c r="N833" s="51">
        <v>4</v>
      </c>
      <c r="O833" s="51">
        <v>3</v>
      </c>
    </row>
    <row r="834" spans="14:15" x14ac:dyDescent="0.25">
      <c r="N834" s="51">
        <v>3</v>
      </c>
      <c r="O834" s="51">
        <v>3</v>
      </c>
    </row>
    <row r="835" spans="14:15" x14ac:dyDescent="0.25">
      <c r="N835" s="51">
        <v>3</v>
      </c>
      <c r="O835" s="51">
        <v>4</v>
      </c>
    </row>
    <row r="836" spans="14:15" x14ac:dyDescent="0.25">
      <c r="N836" s="51">
        <v>2</v>
      </c>
      <c r="O836" s="51">
        <v>3</v>
      </c>
    </row>
    <row r="837" spans="14:15" x14ac:dyDescent="0.25">
      <c r="N837" s="51">
        <v>3</v>
      </c>
      <c r="O837" s="51">
        <v>3</v>
      </c>
    </row>
    <row r="838" spans="14:15" x14ac:dyDescent="0.25">
      <c r="N838" s="51">
        <v>3</v>
      </c>
      <c r="O838" s="51">
        <v>3</v>
      </c>
    </row>
    <row r="839" spans="14:15" x14ac:dyDescent="0.25">
      <c r="N839" s="51">
        <v>3</v>
      </c>
      <c r="O839" s="51">
        <v>4</v>
      </c>
    </row>
    <row r="840" spans="14:15" x14ac:dyDescent="0.25">
      <c r="N840" s="51">
        <v>3</v>
      </c>
      <c r="O840" s="51">
        <v>3</v>
      </c>
    </row>
    <row r="841" spans="14:15" x14ac:dyDescent="0.25">
      <c r="N841" s="51">
        <v>3</v>
      </c>
      <c r="O841" s="51">
        <v>3</v>
      </c>
    </row>
    <row r="842" spans="14:15" x14ac:dyDescent="0.25">
      <c r="N842" s="51">
        <v>3</v>
      </c>
      <c r="O842" s="51">
        <v>3</v>
      </c>
    </row>
    <row r="843" spans="14:15" x14ac:dyDescent="0.25">
      <c r="N843" s="51">
        <v>2</v>
      </c>
      <c r="O843" s="51">
        <v>4</v>
      </c>
    </row>
    <row r="844" spans="14:15" x14ac:dyDescent="0.25">
      <c r="N844" s="51">
        <v>3</v>
      </c>
      <c r="O844" s="51">
        <v>4</v>
      </c>
    </row>
    <row r="845" spans="14:15" x14ac:dyDescent="0.25">
      <c r="N845" s="51">
        <v>3</v>
      </c>
      <c r="O845" s="51">
        <v>5</v>
      </c>
    </row>
    <row r="846" spans="14:15" x14ac:dyDescent="0.25">
      <c r="N846" s="51">
        <v>2</v>
      </c>
      <c r="O846" s="51">
        <v>3</v>
      </c>
    </row>
    <row r="847" spans="14:15" x14ac:dyDescent="0.25">
      <c r="N847" s="51">
        <v>3</v>
      </c>
      <c r="O847" s="51">
        <v>4</v>
      </c>
    </row>
    <row r="848" spans="14:15" x14ac:dyDescent="0.25">
      <c r="N848" s="51">
        <v>3</v>
      </c>
      <c r="O848" s="51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3"/>
  <sheetViews>
    <sheetView topLeftCell="A50" workbookViewId="0">
      <selection activeCell="M67" sqref="M67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16" t="s">
        <v>470</v>
      </c>
      <c r="F1" s="1116"/>
      <c r="G1" s="1116"/>
      <c r="H1" s="1116"/>
      <c r="I1" s="1116"/>
      <c r="J1" s="1110" t="s">
        <v>471</v>
      </c>
      <c r="K1" s="1110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23083.302009543262</v>
      </c>
      <c r="F3" s="731" cm="1">
        <f t="array" ref="F3">SUMIF($G6:$G100000,"&gt;0") / SCOUT_DAYS_FROM_EARLIEST * 30</f>
        <v>25610.640451064322</v>
      </c>
      <c r="G3" s="731" cm="1">
        <f t="array" ref="G3">SUMIF($F6:$G100000,"&gt;0") / SCOUT_DAYS_FROM_EARLIEST * 30</f>
        <v>48693.942460607585</v>
      </c>
      <c r="H3" s="731" cm="1">
        <f t="array" ref="H3">SUMIF($F6:$G100000,"&lt;0") / SCOUT_DAYS_FROM_EARLIEST * 30</f>
        <v>-95743.241289582846</v>
      </c>
      <c r="I3" s="731">
        <f>G3+H3</f>
        <v>-47049.298828975261</v>
      </c>
      <c r="J3" s="99" cm="1">
        <f t="array" ref="J3">SUM(J6:J100000) / SCOUT_DAYS_FROM_EARLIEST * 30</f>
        <v>37772.676015616249</v>
      </c>
      <c r="K3" s="734" cm="1">
        <f t="array" ref="K3">SUM(K6:K100000) / SCOUT_DAYS_FROM_EARLIEST * 30</f>
        <v>674.09570623107038</v>
      </c>
    </row>
    <row r="4" spans="1:11" s="719" customFormat="1" ht="15" customHeight="1" x14ac:dyDescent="0.25">
      <c r="A4" s="1117" t="s">
        <v>415</v>
      </c>
      <c r="B4" s="1056" t="s">
        <v>422</v>
      </c>
      <c r="C4" s="1056" t="s">
        <v>92</v>
      </c>
      <c r="D4" s="1056"/>
      <c r="E4" s="1056"/>
      <c r="F4" s="1056" t="s">
        <v>104</v>
      </c>
      <c r="G4" s="1056"/>
      <c r="H4" s="1056"/>
      <c r="I4" s="1056"/>
      <c r="J4" s="1056" t="s">
        <v>432</v>
      </c>
      <c r="K4" s="1056"/>
    </row>
    <row r="5" spans="1:11" s="710" customFormat="1" ht="15" customHeight="1" x14ac:dyDescent="0.25">
      <c r="A5" s="1118"/>
      <c r="B5" s="982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3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" si="10">C65-C64</f>
        <v>1680</v>
      </c>
      <c r="G65" s="713">
        <f t="shared" ref="G65" si="11">D65-D64</f>
        <v>70</v>
      </c>
      <c r="H65" s="713">
        <f t="shared" ref="H65" si="12">SUM(F65:G65)</f>
        <v>1750</v>
      </c>
      <c r="I65" s="724">
        <f t="shared" ref="I65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ref="F66" si="14">C66-C65</f>
        <v>175</v>
      </c>
      <c r="G66" s="713">
        <f t="shared" ref="G66" si="15">D66-D65</f>
        <v>50</v>
      </c>
      <c r="H66" s="713">
        <f t="shared" ref="H66" si="16">SUM(F66:G66)</f>
        <v>225</v>
      </c>
      <c r="I66" s="724">
        <f t="shared" ref="I66" si="17">H66/4200*80</f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ref="F67" si="18">C67-C66</f>
        <v>825</v>
      </c>
      <c r="G67" s="713">
        <f t="shared" ref="G67" si="19">D67-D66</f>
        <v>130</v>
      </c>
      <c r="H67" s="713">
        <f t="shared" ref="H67" si="20">SUM(F67:G67)</f>
        <v>955</v>
      </c>
      <c r="I67" s="724">
        <f t="shared" ref="I67" si="21">H67/4200*80</f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ref="F68" si="22">C68-C67</f>
        <v>75</v>
      </c>
      <c r="G68" s="713">
        <f t="shared" ref="G68" si="23">D68-D67</f>
        <v>50</v>
      </c>
      <c r="H68" s="713">
        <f t="shared" ref="H68" si="24">SUM(F68:G68)</f>
        <v>125</v>
      </c>
      <c r="I68" s="724">
        <f t="shared" ref="I68" si="25">H68/4200*80</f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ref="F69" si="26">C69-C68</f>
        <v>1400</v>
      </c>
      <c r="G69" s="713">
        <f t="shared" ref="G69" si="27">D69-D68</f>
        <v>-505</v>
      </c>
      <c r="H69" s="713">
        <f t="shared" ref="H69" si="28">SUM(F69:G69)</f>
        <v>895</v>
      </c>
      <c r="I69" s="724">
        <f t="shared" ref="I69" si="29">H69/4200*80</f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ref="F70" si="30">C70-C69</f>
        <v>4140</v>
      </c>
      <c r="G70" s="713">
        <f t="shared" ref="G70" si="31">D70-D69</f>
        <v>600</v>
      </c>
      <c r="H70" s="713">
        <f t="shared" ref="H70" si="32">SUM(F70:G70)</f>
        <v>4740</v>
      </c>
      <c r="I70" s="724">
        <f t="shared" ref="I70" si="33">H70/4200*80</f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ref="F71" si="34">C71-C70</f>
        <v>125</v>
      </c>
      <c r="G71" s="713">
        <f t="shared" ref="G71" si="35">D71-D70</f>
        <v>40</v>
      </c>
      <c r="H71" s="713">
        <f t="shared" ref="H71" si="36">SUM(F71:G71)</f>
        <v>165</v>
      </c>
      <c r="I71" s="724">
        <f t="shared" ref="I71" si="37">H71/4200*80</f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ref="F72" si="38">C72-C71</f>
        <v>150</v>
      </c>
      <c r="G72" s="713">
        <f t="shared" ref="G72" si="39">D72-D71</f>
        <v>-10255</v>
      </c>
      <c r="H72" s="713">
        <f t="shared" ref="H72" si="40">SUM(F72:G72)</f>
        <v>-10105</v>
      </c>
      <c r="I72" s="724">
        <f t="shared" ref="I72" si="41">H72/4200*80</f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ref="F73" si="42">C73-C72</f>
        <v>1200</v>
      </c>
      <c r="G73" s="713">
        <f t="shared" ref="G73" si="43">D73-D72</f>
        <v>-40</v>
      </c>
      <c r="H73" s="713">
        <f t="shared" ref="H73" si="44">SUM(F73:G73)</f>
        <v>1160</v>
      </c>
      <c r="I73" s="724">
        <f t="shared" ref="I73" si="45">H73/4200*80</f>
        <v>22.095238095238095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19" t="str">
        <f>B1&amp; "日"</f>
        <v>1日</v>
      </c>
      <c r="G1" s="1120"/>
      <c r="H1" s="1120"/>
      <c r="I1" s="1119" t="str">
        <f>C1 &amp; "日"</f>
        <v>7日</v>
      </c>
      <c r="J1" s="1120"/>
      <c r="K1" s="1120"/>
      <c r="L1" s="1119" t="s">
        <v>174</v>
      </c>
      <c r="M1" s="1120"/>
      <c r="N1" s="1120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-229 D 23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-232 D 14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-241 D 08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-246 D 20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-233 D 10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-027 D 19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-125 D 19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-178 D 12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-194 D 19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-214 D 08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-226 D 08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-250 D 22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-230 D 00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-235 D 16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-240 D 01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-246 D 21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-248 D 19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-243 D 13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-217 D 19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-206 D 18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-223 D 00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-222 D 02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-232 D 23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-224 D 15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-228 D 15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-229 D 00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-224 D 10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-225 D 17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-237 D 08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-225 D 00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-226 D 07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-236 D 16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-227 D 05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-226 D 11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-236 D 06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-227 D 08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-226 D 18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-216 D 17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-227 D 14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-227 D 08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-215 D 13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-228 D 09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-224 D 15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-222 D 10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-228 D 16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-227 D 04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-229 D 14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-229 D 00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-228 D 00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-236 D 04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-229 D 07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-228 D 09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-241 D 03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-229 D 19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-229 D 10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-232 D 00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-228 D 17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-226 D 12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-232 D 16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-227 D 14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-227 D 05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-218 D 11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-227 D 09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-228 D 12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-217 D 13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-226 D 15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-225 D 18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-214 D 15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-225 D 15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-225 D 23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-203 D 02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-225 D 12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-226 D 05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-206 D 11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-225 D 03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-226 D 10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-212 D 09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-225 D 07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-226 D 23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-218 D 13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-225 D 10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-227 D 12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-210 D 22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-226 D 19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-225 D 16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-227 D 10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-226 D 20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-226 D 13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-227 D 12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-226 D 22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-226 D 22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-212 D 04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-226 D 08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-225 D 14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-220 D 15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-226 D 20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-226 D 19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-238 D 02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-228 D 01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-228 D 22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-237 D 12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-228 D 05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-228 D 01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-241 D 14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-229 D 00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-228 D 21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-246 D 15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-229 D 17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-230 D 09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-249 D 07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-231 D 02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-231 D 07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-250 D 14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-232 D 01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-231 D 12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-257 D 19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-233 D 13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-232 D 01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-257 D 22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-234 D 13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-232 D 13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-258 D 04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-235 D 13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-232 D 19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-258 D 23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-236 D 09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-233 D 09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-259 D 09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-237 D 09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-233 D 16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-257 D 23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-237 D 22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-233 D 17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-258 D 02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-238 D 21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-234 D 01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-258 D 07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-239 D 09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-234 D 06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-253 D 06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-239 D 11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-233 D 13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-250 D 21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-239 D 19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-233 D 19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-250 D 04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-240 D 02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-234 D 02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-244 D 15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-241 D 00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-234 D 16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-247 D 10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-241 D 10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-235 D 05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-249 D 12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-242 D 02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-235 D 19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-252 D 12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-242 D 22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-236 D 06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-258 D 15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-244 D 14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-236 D 19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-262 D 03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-246 D 06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-238 D 02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-261 D 19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-247 D 08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-238 D 12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-260 D 11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-247 D 20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-238 D 18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-260 D 07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-248 D 08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-239 D 01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-260 D 05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-249 D 08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-239 D 03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-260 D 05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-249 D 16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-239 D 07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-256 D 22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-249 D 21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-239 D 10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-250 D 13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-251 D 22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-239 D 20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-250 D 07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-252 D 15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-240 D 01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-249 D 21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-252 D 18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-240 D 02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-250 D 07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-253 D 13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-240 D 06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-248 D 02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-255 D 00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-240 D 06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-248 D 05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-254 D 23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-240 D 21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-249 D 17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-254 D 20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-241 D 04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-250 D 20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-255 D 05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-241 D 13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-255 D 13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-255 D 07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-242 D 04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-255 D 17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-255 D 05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-242 D 07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-246 D 01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-254 D 17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-241 D 10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-244 D 00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-254 D 11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-241 D 15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-242 D 09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-254 D 10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-242 D 07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-254 D 08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-254 D 08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-243 D 09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-256 D 19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-254 D 08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-243 D 12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-260 D 04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-254 D 05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-244 D 02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-259 D 13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-254 D 06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-244 D 06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-259 D 08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-254 D 07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-244 D 09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-259 D 12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-254 D 10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-244 D 15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-259 D 15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-254 D 12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-244 D 17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-246 D 05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-253 D 14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-243 D 14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-222 D 22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-252 D 20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-243 D 16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-226 D 11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-252 D 15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-243 D 23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-231 D 09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-252 D 13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-244 D 02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-240 D 11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-252 D 07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-244 D 06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-254 D 12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-252 D 04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-244 D 12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-255 D 01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-252 D 04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-244 D 15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-255 D 10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-252 D 03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-244 D 17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-256 D 20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-252 D 06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-245 D 01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-257 D 09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-252 D 11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-245 D 06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-253 D 10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-252 D 03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-244 D 17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-246 D 23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-252 D 01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-244 D 19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-243 D 17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-251 D 22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-244 D 18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-243 D 19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-251 D 20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-244 D 19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-207 D 04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-250 D 13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-243 D 11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-228 D 17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-250 D 09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-244 D 08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-260 D 19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-250 D 09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-245 D 23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-192 D 16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-245 D 15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-243 D 23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-201 D 10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-243 D 18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-243 D 12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-206 D 21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-243 D 01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-243 D 13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-239 D 15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-242 D 14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-243 D 14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-249 D 10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-242 D 00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-244 D 03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-244 D 21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-240 D 22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-243 D 17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-243 D 01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-241 D 16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-244 D 03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-245 D 13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-242 D 08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-244 D 05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-248 D 04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-242 D 18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-244 D 01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-247 D 17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-243 D 21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-244 D 11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-248 D 04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-243 D 07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-244 D 07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-249 D 00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-243 D 23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-244 D 14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-245 D 03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-244 D 06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-244 D 11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-247 D 21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-244 D 19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-244 D 16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-249 D 00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-247 D 19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-245 D 05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-248 D 14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-247 D 20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-245 D 05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-247 D 17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-247 D 17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-245 D 03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-246 D 07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-247 D 10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-245 D 07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-245 D 12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-246 D 19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-245 D 04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-245 D 15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-246 D 18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-245 D 06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-246 D 09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-246 D 16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-245 D 09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-247 D 03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-246 D 16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-245 D 10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-240 D 14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-246 D 04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-245 D 01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-240 D 11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-245 D 17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-245 D 02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-240 D 14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-245 D 11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-245 D 01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-242 D 01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-245 D 10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-245 D 02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-245 D 18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-245 D 10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-245 D 04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-246 D 06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-245 D 12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-245 D 06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-246 D 23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-245 D 13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-245 D 07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-244 D 14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-245 D 05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-244 D 23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-249 D 14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-245 D 06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-245 D 09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-249 D 01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-245 D 08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-245 D 08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-247 D 02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-245 D 06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-245 D 05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-246 D 20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-245 D 08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-245 D 06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-245 D 10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-245 D 15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-245 D 12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-248 D 15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-245 D 22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-245 D 15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-249 D 09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-246 D 01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-245 D 16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-248 D 07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-246 D 00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-245 D 13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-248 D 23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-246 D 02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-245 D 14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-247 D 17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-246 D 04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-245 D 15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-246 D 19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-246 D 07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-245 D 18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-247 D 08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-246 D 14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-245 D 21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-249 D 02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-246 D 18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-245 D 21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-246 D 02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-246 D 18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-245 D 19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-246 D 06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-246 D 20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-245 D 20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-247 D 00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-247 D 03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-246 D 01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-247 D 07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-247 D 06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-246 D 00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-248 D 11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-247 D 08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-246 D 02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-247 D 21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-247 D 13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-246 D 02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-247 D 04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-247 D 15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-246 D 04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-245 D 19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-247 D 16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-246 D 03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-246 D 05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-247 D 16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-246 D 04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-246 D 10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-247 D 19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-246 D 05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-246 D 11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-247 D 17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-246 D 05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-246 D 19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-247 D 19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-246 D 07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-246 D 23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-247 D 18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-246 D 07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-247 D 00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-247 D 18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-246 D 07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-245 D 20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-247 D 13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-246 D 05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-247 D 01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-247 D 16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-246 D 10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-248 D 15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-247 D 20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-246 D 14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-248 D 09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-247 D 18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-246 D 12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-248 D 11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-247 D 19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-246 D 14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-249 D 11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-247 D 20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-246 D 17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-249 D 16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-247 D 21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-246 D 18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-249 D 17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-248 D 01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-246 D 22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-250 D 05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-248 D 04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-247 D 00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-247 D 03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-247 D 20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-246 D 15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-243 D 22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-247 D 19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-246 D 16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-243 D 19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-247 D 20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-246 D 18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-244 D 13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-247 D 21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-246 D 19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-245 D 04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-247 D 21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-246 D 19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-244 D 09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-247 D 15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-246 D 13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-245 D 19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-247 D 14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-246 D 15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-243 D 04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-247 D 10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-246 D 12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-243 D 22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-247 D 10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-246 D 13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-244 D 16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-247 D 09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-246 D 15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-245 D 08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-247 D 09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-246 D 16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-245 D 18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-247 D 09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-246 D 16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-246 D 12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-247 D 11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-246 D 18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-248 D 08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-247 D 11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-246 D 19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-247 D 01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-247 D 04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-246 D 12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-246 D 18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-247 D 04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-246 D 14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-247 D 14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-247 D 11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-246 D 22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-248 D 01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-247 D 09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-246 D 21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-248 D 05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-247 D 11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-246 D 23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-249 D 03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-247 D 13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-247 D 00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-249 D 04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-247 D 15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-247 D 02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-249 D 07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-247 D 16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-247 D 04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-249 D 14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-247 D 20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-247 D 07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-249 D 18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-247 D 23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-247 D 10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-250 D 06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-248 D 04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-247 D 14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-250 D 08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-248 D 06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-247 D 16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-250 D 09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-248 D 08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-247 D 17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-250 D 19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-248 D 15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-248 D 00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-250 D 17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-248 D 17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-248 D 01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-251 D 09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-249 D 11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-248 D 21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-251 D 13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-249 D 16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-249 D 01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-251 D 14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-249 D 20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-249 D 04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-251 D 14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-250 D 00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-249 D 07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-251 D 14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-250 D 05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-249 D 13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-251 D 14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-250 D 07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-249 D 14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-251 D 03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-250 D 12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-249 D 22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22">
        <v>43677.583333333336</v>
      </c>
      <c r="C1" s="1122"/>
      <c r="D1" s="255" t="s">
        <v>149</v>
      </c>
      <c r="E1" s="253" t="s">
        <v>82</v>
      </c>
      <c r="F1" s="253" t="s">
        <v>74</v>
      </c>
      <c r="G1" s="1110" t="s">
        <v>75</v>
      </c>
      <c r="H1" s="1110"/>
      <c r="I1" s="1110"/>
      <c r="J1" s="1110"/>
      <c r="K1" s="28"/>
      <c r="L1" s="252" t="s">
        <v>77</v>
      </c>
      <c r="M1" s="252"/>
      <c r="N1" s="852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22">
        <v>43688.583333333336</v>
      </c>
      <c r="C2" s="1122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21" t="str">
        <f ca="1">IF(NOW() &gt; $B$2,"",(NOW()-$B$1)/($B$2-$B$1))</f>
        <v/>
      </c>
      <c r="H2" s="1121"/>
      <c r="I2" s="1121"/>
      <c r="J2" s="1121"/>
      <c r="K2" s="28" t="s">
        <v>79</v>
      </c>
      <c r="L2" s="127">
        <v>100000</v>
      </c>
      <c r="N2" s="852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52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52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23" t="s">
        <v>76</v>
      </c>
      <c r="C5" s="1123"/>
      <c r="D5" s="1124" t="s">
        <v>153</v>
      </c>
      <c r="E5" s="1124"/>
      <c r="F5" s="1124" t="s">
        <v>78</v>
      </c>
      <c r="G5" s="1124"/>
      <c r="H5" s="1124" t="s">
        <v>81</v>
      </c>
      <c r="I5" s="1124"/>
      <c r="J5" s="1110" t="s">
        <v>151</v>
      </c>
      <c r="K5" s="1110"/>
      <c r="L5" s="1125" t="s">
        <v>152</v>
      </c>
      <c r="M5" s="1125"/>
      <c r="N5" s="1110" t="s">
        <v>150</v>
      </c>
      <c r="O5" s="1110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26" t="s">
        <v>231</v>
      </c>
      <c r="C2" s="1126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27" t="s">
        <v>17</v>
      </c>
      <c r="U3" s="1127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34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48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9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35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48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9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40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47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28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41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47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28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36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46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29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37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46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29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42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45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44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43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45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44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38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39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9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32">
        <f ca="1">SUM(MAX(L4,L5),MAX(L6,L7),MAX(L8,L9),MAX(L10,L11),MAX(L12,L13))</f>
        <v>0</v>
      </c>
      <c r="M14" s="1132">
        <f ca="1">SUM(MAX(M4,M5),MAX(M6,M7),MAX(M8,M9),MAX(M10,M11),MAX(M12,M13))</f>
        <v>0</v>
      </c>
      <c r="N14" s="1130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60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33"/>
      <c r="M15" s="1133"/>
      <c r="N15" s="1131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60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50">
        <f ca="1">IFERROR(ROUND(J16/(O16*INPUT_IO_DROP_RATE),0),NA())</f>
        <v>0</v>
      </c>
      <c r="M16" s="1150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61">
        <f>SUM(D迎擊!AK:AK)</f>
        <v>1045</v>
      </c>
      <c r="AD16" s="53"/>
    </row>
    <row r="17" spans="2:27" x14ac:dyDescent="0.25">
      <c r="B17" s="1160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50">
        <f ca="1">IFERROR(ROUND(J17/O17,0),NA())</f>
        <v>0</v>
      </c>
      <c r="M17" s="1150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61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60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50">
        <f ca="1">IFERROR(ROUND(J18/O18,0),NA())</f>
        <v>0</v>
      </c>
      <c r="M18" s="1150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61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62" t="s">
        <v>158</v>
      </c>
      <c r="C20" s="1163"/>
      <c r="D20" s="1163"/>
      <c r="E20" s="1163"/>
      <c r="F20" s="1163"/>
      <c r="G20" s="1163"/>
      <c r="H20" s="1163"/>
      <c r="I20" s="1151">
        <v>2</v>
      </c>
      <c r="J20" s="1155" t="s">
        <v>191</v>
      </c>
      <c r="K20" s="1156"/>
      <c r="L20" s="1151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51"/>
      <c r="N20" s="1151"/>
      <c r="O20" s="1151"/>
      <c r="P20" s="1152"/>
    </row>
    <row r="21" spans="2:27" ht="22.5" customHeight="1" thickBot="1" x14ac:dyDescent="0.3">
      <c r="B21" s="1164"/>
      <c r="C21" s="1165"/>
      <c r="D21" s="1165"/>
      <c r="E21" s="1165"/>
      <c r="F21" s="1165"/>
      <c r="G21" s="1165"/>
      <c r="H21" s="1165"/>
      <c r="I21" s="1153"/>
      <c r="J21" s="1157"/>
      <c r="K21" s="1158"/>
      <c r="L21" s="1153"/>
      <c r="M21" s="1153"/>
      <c r="N21" s="1153"/>
      <c r="O21" s="1153"/>
      <c r="P21" s="1154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66" t="s">
        <v>90</v>
      </c>
      <c r="B1" s="1166"/>
      <c r="C1" s="1171" t="s">
        <v>26</v>
      </c>
      <c r="D1" s="1171" t="s">
        <v>89</v>
      </c>
      <c r="E1" s="1171"/>
      <c r="F1" s="1171" t="s">
        <v>26</v>
      </c>
      <c r="G1" s="1177" t="s">
        <v>90</v>
      </c>
      <c r="H1" s="1177"/>
      <c r="I1" s="1172" t="s">
        <v>26</v>
      </c>
      <c r="J1" s="1172" t="s">
        <v>89</v>
      </c>
      <c r="K1" s="1172"/>
      <c r="L1" s="1172" t="s">
        <v>26</v>
      </c>
      <c r="M1" s="1176" t="s">
        <v>90</v>
      </c>
      <c r="N1" s="1176"/>
      <c r="O1" s="1173" t="s">
        <v>26</v>
      </c>
      <c r="P1" s="1173" t="s">
        <v>89</v>
      </c>
      <c r="Q1" s="1173"/>
      <c r="R1" s="1173" t="s">
        <v>26</v>
      </c>
      <c r="S1" s="1180" t="s">
        <v>90</v>
      </c>
      <c r="T1" s="1180"/>
      <c r="U1" s="1174" t="s">
        <v>26</v>
      </c>
      <c r="V1" s="1174" t="s">
        <v>89</v>
      </c>
      <c r="W1" s="1174"/>
      <c r="X1" s="1174" t="s">
        <v>26</v>
      </c>
      <c r="Y1" s="1179" t="s">
        <v>90</v>
      </c>
      <c r="Z1" s="1179"/>
      <c r="AA1" s="1175" t="s">
        <v>26</v>
      </c>
      <c r="AB1" s="1175" t="s">
        <v>89</v>
      </c>
      <c r="AC1" s="1175"/>
      <c r="AD1" s="1175" t="s">
        <v>26</v>
      </c>
      <c r="AE1" s="1169" t="s">
        <v>98</v>
      </c>
      <c r="AF1" s="1169"/>
      <c r="AG1" s="1170" t="s">
        <v>99</v>
      </c>
      <c r="AH1" s="1170"/>
      <c r="AI1" s="1167" t="s">
        <v>100</v>
      </c>
      <c r="AJ1" s="1167"/>
      <c r="AK1" s="1168" t="s">
        <v>26</v>
      </c>
      <c r="AM1" s="903" t="s">
        <v>155</v>
      </c>
      <c r="AN1" s="1178"/>
      <c r="AO1" s="1178"/>
      <c r="AP1" s="1178"/>
      <c r="AQ1" s="1178"/>
      <c r="AR1" s="1178"/>
      <c r="AS1" s="1178"/>
      <c r="AT1" s="1178"/>
      <c r="AU1" s="904"/>
      <c r="AV1" s="262"/>
      <c r="AW1" s="903" t="s">
        <v>58</v>
      </c>
      <c r="AX1" s="1178"/>
      <c r="AY1" s="1178"/>
      <c r="AZ1" s="1178"/>
      <c r="BA1" s="1178"/>
      <c r="BB1" s="1178"/>
      <c r="BC1" s="1178"/>
      <c r="BD1" s="1178"/>
      <c r="BE1" s="904"/>
    </row>
    <row r="2" spans="1:57" x14ac:dyDescent="0.25">
      <c r="A2" s="283" t="s">
        <v>28</v>
      </c>
      <c r="B2" s="110" t="s">
        <v>97</v>
      </c>
      <c r="C2" s="1171"/>
      <c r="D2" s="108" t="s">
        <v>28</v>
      </c>
      <c r="E2" s="110" t="s">
        <v>97</v>
      </c>
      <c r="F2" s="1171"/>
      <c r="G2" s="279" t="s">
        <v>28</v>
      </c>
      <c r="H2" s="111" t="s">
        <v>97</v>
      </c>
      <c r="I2" s="1172"/>
      <c r="J2" s="281" t="s">
        <v>28</v>
      </c>
      <c r="K2" s="106" t="s">
        <v>97</v>
      </c>
      <c r="L2" s="1172"/>
      <c r="M2" s="277" t="s">
        <v>28</v>
      </c>
      <c r="N2" s="104" t="s">
        <v>97</v>
      </c>
      <c r="O2" s="1173"/>
      <c r="P2" s="277" t="s">
        <v>28</v>
      </c>
      <c r="Q2" s="104" t="s">
        <v>97</v>
      </c>
      <c r="R2" s="1173"/>
      <c r="S2" s="272" t="s">
        <v>28</v>
      </c>
      <c r="T2" s="102" t="s">
        <v>97</v>
      </c>
      <c r="U2" s="1174"/>
      <c r="V2" s="272" t="s">
        <v>28</v>
      </c>
      <c r="W2" s="102" t="s">
        <v>97</v>
      </c>
      <c r="X2" s="1174"/>
      <c r="Y2" s="274" t="s">
        <v>28</v>
      </c>
      <c r="Z2" s="113" t="s">
        <v>97</v>
      </c>
      <c r="AA2" s="1175"/>
      <c r="AB2" s="274" t="s">
        <v>28</v>
      </c>
      <c r="AC2" s="113" t="s">
        <v>97</v>
      </c>
      <c r="AD2" s="1175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68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82" t="s">
        <v>185</v>
      </c>
      <c r="B1" s="1184" t="s">
        <v>188</v>
      </c>
      <c r="C1" s="1184"/>
      <c r="D1" s="1184"/>
      <c r="E1" s="1184"/>
      <c r="F1" s="1184"/>
      <c r="G1" s="1184"/>
      <c r="H1" s="1184"/>
      <c r="I1" s="351"/>
      <c r="J1" s="1184" t="s">
        <v>186</v>
      </c>
      <c r="K1" s="1184"/>
      <c r="L1" s="1184"/>
      <c r="M1" s="1184"/>
      <c r="N1" s="1184"/>
      <c r="O1" s="446" t="s">
        <v>227</v>
      </c>
      <c r="P1" s="351"/>
      <c r="Q1" s="1185" t="s">
        <v>187</v>
      </c>
      <c r="R1" s="1185"/>
      <c r="S1" s="1185"/>
      <c r="T1" s="1185"/>
      <c r="U1" s="1185"/>
      <c r="V1" s="1185"/>
      <c r="W1" s="1185"/>
    </row>
    <row r="2" spans="1:23" ht="25.5" customHeight="1" x14ac:dyDescent="0.25">
      <c r="A2" s="1182"/>
      <c r="B2" s="1190" t="s">
        <v>51</v>
      </c>
      <c r="C2" s="1190"/>
      <c r="D2" s="1191" t="s">
        <v>53</v>
      </c>
      <c r="E2" s="1191"/>
      <c r="F2" s="1189" t="s">
        <v>55</v>
      </c>
      <c r="G2" s="1189"/>
      <c r="H2" s="1189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82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87">
        <f>FLOOR(C7/MAX(DATA_DRAG_ACCU_EXP),1)</f>
        <v>60</v>
      </c>
      <c r="H3" s="1187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82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87">
        <f>MATCH(C10,DATA_DRAG_ACCU_EXP,0)</f>
        <v>97</v>
      </c>
      <c r="H4" s="1187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82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87">
        <f>INDEX(DATA_DRAG_LV_EXP,G4)-(C9-C10)</f>
        <v>23760</v>
      </c>
      <c r="H5" s="1187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82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86" t="str">
        <f>IF(R7&gt;0,R6/R7,"")</f>
        <v/>
      </c>
      <c r="V6" s="1186"/>
      <c r="W6" s="1186"/>
    </row>
    <row r="7" spans="1:23" ht="25.5" customHeight="1" x14ac:dyDescent="0.25">
      <c r="A7" s="1182"/>
      <c r="B7" s="122" t="s">
        <v>95</v>
      </c>
      <c r="C7" s="123">
        <f>C6-C8</f>
        <v>75540600</v>
      </c>
      <c r="D7" s="86" t="s">
        <v>54</v>
      </c>
      <c r="E7" s="87"/>
      <c r="F7" s="1110" t="s">
        <v>66</v>
      </c>
      <c r="G7" s="1110"/>
      <c r="H7" s="1110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82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10" t="s">
        <v>50</v>
      </c>
      <c r="G8" s="1188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82"/>
      <c r="B9" s="94" t="s">
        <v>92</v>
      </c>
      <c r="C9" s="94">
        <f>MOD(C7,DRAG_EXP_100)</f>
        <v>1139400</v>
      </c>
      <c r="F9" s="1110"/>
      <c r="G9" s="1188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82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82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82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81" t="s">
        <v>189</v>
      </c>
      <c r="B13" s="1183" t="s">
        <v>190</v>
      </c>
      <c r="C13" s="1183"/>
      <c r="D13" s="1183"/>
      <c r="E13" s="1183"/>
      <c r="F13" s="1183"/>
      <c r="G13" s="1183"/>
      <c r="H13" s="1183"/>
      <c r="O13" s="445"/>
    </row>
    <row r="14" spans="1:23" s="262" customFormat="1" ht="25.5" customHeight="1" x14ac:dyDescent="0.25">
      <c r="A14" s="1182"/>
      <c r="B14" s="1190" t="s">
        <v>51</v>
      </c>
      <c r="C14" s="1190"/>
      <c r="D14" s="1191" t="s">
        <v>53</v>
      </c>
      <c r="E14" s="1191"/>
      <c r="F14" s="1192" t="s">
        <v>55</v>
      </c>
      <c r="G14" s="1192"/>
      <c r="H14" s="1192"/>
    </row>
    <row r="15" spans="1:23" ht="25.5" customHeight="1" x14ac:dyDescent="0.25">
      <c r="A15" s="1182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3">
        <f>FLOOR(C19/MAX(DATA_WYRM_ACCU_EXP),1)</f>
        <v>133</v>
      </c>
      <c r="H15" s="1193"/>
    </row>
    <row r="16" spans="1:23" ht="25.5" customHeight="1" x14ac:dyDescent="0.25">
      <c r="A16" s="1182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87">
        <f>MATCH(C22,DATA_WYRM_ACCU_EXP,0)</f>
        <v>48</v>
      </c>
      <c r="H16" s="1187"/>
    </row>
    <row r="17" spans="1:8" ht="25.5" customHeight="1" x14ac:dyDescent="0.25">
      <c r="A17" s="1182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87">
        <f>INDEX(DATA_WYRM_LV_EXP,G16)-(C21-C22)</f>
        <v>530</v>
      </c>
      <c r="H17" s="1187"/>
    </row>
    <row r="18" spans="1:8" ht="25.5" customHeight="1" x14ac:dyDescent="0.25">
      <c r="A18" s="1182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82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82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82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95" t="s">
        <v>83</v>
      </c>
      <c r="B1" s="1196"/>
      <c r="C1" s="1196"/>
      <c r="D1" s="1196"/>
      <c r="E1" s="1197"/>
      <c r="F1" s="1195" t="s">
        <v>105</v>
      </c>
      <c r="G1" s="1196"/>
      <c r="H1" s="1196"/>
      <c r="I1" s="1196"/>
      <c r="J1" s="1197"/>
      <c r="K1" s="1195" t="s">
        <v>107</v>
      </c>
      <c r="L1" s="1196"/>
      <c r="M1" s="1196"/>
      <c r="N1" s="1196"/>
      <c r="O1" s="1197"/>
      <c r="P1" s="1204" t="s">
        <v>106</v>
      </c>
      <c r="Q1" s="1205"/>
      <c r="R1" s="1205"/>
      <c r="S1" s="1205"/>
      <c r="T1" s="1206"/>
      <c r="U1" s="1204" t="s">
        <v>154</v>
      </c>
      <c r="V1" s="1205"/>
      <c r="W1" s="1205"/>
      <c r="X1" s="1205"/>
      <c r="Y1" s="1206"/>
      <c r="Z1" s="1201" t="s">
        <v>85</v>
      </c>
      <c r="AA1" s="1202"/>
      <c r="AB1" s="1202"/>
      <c r="AC1" s="1202"/>
      <c r="AD1" s="1203"/>
      <c r="AE1" s="1198" t="s">
        <v>84</v>
      </c>
      <c r="AF1" s="1199"/>
      <c r="AG1" s="1199"/>
      <c r="AH1" s="1199"/>
      <c r="AI1" s="1200"/>
      <c r="AJ1" s="1198" t="s">
        <v>173</v>
      </c>
      <c r="AK1" s="1199"/>
      <c r="AL1" s="1199"/>
      <c r="AM1" s="1199"/>
      <c r="AN1" s="1200"/>
      <c r="AO1" s="1194" t="s">
        <v>86</v>
      </c>
      <c r="AP1" s="1108"/>
      <c r="AQ1" s="1108"/>
      <c r="AR1" s="1108"/>
      <c r="AS1" s="1109"/>
      <c r="AT1" s="1194" t="s">
        <v>87</v>
      </c>
      <c r="AU1" s="1108"/>
      <c r="AV1" s="1108"/>
      <c r="AW1" s="1108"/>
      <c r="AX1" s="1109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73" t="s">
        <v>117</v>
      </c>
      <c r="B1" s="1173"/>
      <c r="C1" s="1173"/>
      <c r="D1" s="230"/>
      <c r="E1" s="1208" t="s">
        <v>118</v>
      </c>
      <c r="F1" s="1208"/>
      <c r="G1" s="1208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07">
        <v>67</v>
      </c>
      <c r="C8" s="1207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10" t="s">
        <v>41</v>
      </c>
      <c r="J24" s="1210"/>
      <c r="K24" s="1209">
        <f>K14+K22</f>
        <v>0</v>
      </c>
      <c r="L24" s="1209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52" t="s">
        <v>117</v>
      </c>
      <c r="B1" s="852"/>
      <c r="C1" s="852"/>
      <c r="D1" s="852"/>
      <c r="E1" s="852"/>
      <c r="F1" s="852"/>
      <c r="G1" s="852" t="s">
        <v>118</v>
      </c>
      <c r="H1" s="852"/>
      <c r="I1" s="852"/>
      <c r="J1" s="852"/>
      <c r="K1" s="852"/>
      <c r="L1" s="852"/>
      <c r="N1" s="852" t="s">
        <v>125</v>
      </c>
      <c r="O1" s="852"/>
    </row>
    <row r="2" spans="1:15" x14ac:dyDescent="0.25">
      <c r="A2" s="1211" t="s">
        <v>123</v>
      </c>
      <c r="B2" s="1211"/>
      <c r="C2" s="1213" t="s">
        <v>116</v>
      </c>
      <c r="D2" s="1213"/>
      <c r="E2" s="1212" t="s">
        <v>124</v>
      </c>
      <c r="F2" s="1212"/>
      <c r="G2" s="1215" t="s">
        <v>120</v>
      </c>
      <c r="H2" s="1215"/>
      <c r="I2" s="1212" t="s">
        <v>121</v>
      </c>
      <c r="J2" s="1212"/>
      <c r="K2" s="1214" t="s">
        <v>122</v>
      </c>
      <c r="L2" s="1214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18" t="s">
        <v>182</v>
      </c>
      <c r="D1" s="1217">
        <f>INDEX(DATA_EVTBLD,B1,3)-B3</f>
        <v>2428</v>
      </c>
      <c r="E1" s="1216" t="s">
        <v>24</v>
      </c>
      <c r="F1" s="1219">
        <f>1-(INDEX(DATA_EVTBLD,B1,3)-B3)/DATA_EVTBLD_MAX</f>
        <v>0.68935516888433979</v>
      </c>
      <c r="G1" s="1219"/>
      <c r="H1" s="1219"/>
      <c r="I1" s="1219"/>
      <c r="J1" s="1219"/>
      <c r="K1" s="1219"/>
      <c r="L1" s="1219"/>
    </row>
    <row r="2" spans="1:12" ht="14.65" customHeight="1" x14ac:dyDescent="0.25">
      <c r="A2" s="335" t="s">
        <v>401</v>
      </c>
      <c r="B2" s="341">
        <v>30</v>
      </c>
      <c r="C2" s="1218"/>
      <c r="D2" s="1217"/>
      <c r="E2" s="1216"/>
      <c r="F2" s="1219"/>
      <c r="G2" s="1219"/>
      <c r="H2" s="1219"/>
      <c r="I2" s="1219"/>
      <c r="J2" s="1219"/>
      <c r="K2" s="1219"/>
      <c r="L2" s="1219"/>
    </row>
    <row r="3" spans="1:12" ht="14.65" customHeight="1" x14ac:dyDescent="0.25">
      <c r="A3" s="335" t="s">
        <v>181</v>
      </c>
      <c r="B3" s="341">
        <v>2122</v>
      </c>
      <c r="C3" s="1218"/>
      <c r="D3" s="1217"/>
      <c r="E3" s="1216"/>
      <c r="F3" s="1219"/>
      <c r="G3" s="1219"/>
      <c r="H3" s="1219"/>
      <c r="I3" s="1219"/>
      <c r="J3" s="1219"/>
      <c r="K3" s="1219"/>
      <c r="L3" s="1219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0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2020-05-28T08:32:47Z</dcterms:modified>
</cp:coreProperties>
</file>