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047" documentId="14_{049F9EFC-050E-4651-8DC8-B33E922A69AE}" xr6:coauthVersionLast="43" xr6:coauthVersionMax="43" xr10:uidLastSave="{B1C74420-87F7-4819-A9BC-2565FC136C1C}"/>
  <bookViews>
    <workbookView xWindow="1725" yWindow="1815" windowWidth="22485" windowHeight="11835" xr2:uid="{D0E79A60-AC9E-4AFD-A74C-CCE50AE0356B}"/>
  </bookViews>
  <sheets>
    <sheet name="迎擊" sheetId="18" r:id="rId1"/>
    <sheet name="真龍試煉" sheetId="20" r:id="rId2"/>
    <sheet name="龍之試煉" sheetId="19" r:id="rId3"/>
    <sheet name="虛空" sheetId="21" r:id="rId4"/>
    <sheet name="Raid" sheetId="16" r:id="rId5"/>
    <sheet name="資料-龍試煉" sheetId="4" r:id="rId6"/>
    <sheet name="資料-迎擊" sheetId="7" r:id="rId7"/>
    <sheet name="資料-虛空" sheetId="15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'資料-迎擊'!$AM$3:$AU$32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8" l="1"/>
  <c r="I13" i="18"/>
  <c r="I12" i="18"/>
  <c r="I11" i="18"/>
  <c r="I10" i="18"/>
  <c r="I9" i="18"/>
  <c r="I8" i="18"/>
  <c r="I7" i="18"/>
  <c r="I6" i="18"/>
  <c r="I5" i="18"/>
  <c r="I4" i="18"/>
  <c r="I3" i="18"/>
  <c r="I2" i="18"/>
  <c r="Y4" i="7" l="1"/>
  <c r="AB9" i="7"/>
  <c r="AE4" i="7"/>
  <c r="AG4" i="7"/>
  <c r="AG3" i="7"/>
  <c r="AI4" i="7"/>
  <c r="D9" i="18"/>
  <c r="G9" i="18" s="1"/>
  <c r="H9" i="18" s="1"/>
  <c r="P9" i="18"/>
  <c r="O9" i="18"/>
  <c r="D8" i="18"/>
  <c r="J8" i="18" s="1"/>
  <c r="V3" i="7"/>
  <c r="V4" i="7"/>
  <c r="V5" i="7"/>
  <c r="V6" i="7"/>
  <c r="V7" i="7"/>
  <c r="V8" i="7"/>
  <c r="P8" i="18"/>
  <c r="O8" i="18"/>
  <c r="D7" i="18"/>
  <c r="J7" i="18"/>
  <c r="L7" i="18" s="1"/>
  <c r="P7" i="18"/>
  <c r="O7" i="18"/>
  <c r="D6" i="18"/>
  <c r="J6" i="18" s="1"/>
  <c r="P3" i="7"/>
  <c r="P4" i="7"/>
  <c r="P5" i="7"/>
  <c r="P6" i="7"/>
  <c r="P7" i="7"/>
  <c r="P8" i="7"/>
  <c r="O6" i="18"/>
  <c r="D5" i="18"/>
  <c r="J5" i="18" s="1"/>
  <c r="P5" i="18"/>
  <c r="O5" i="18"/>
  <c r="D4" i="18"/>
  <c r="J4" i="18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O4" i="18"/>
  <c r="D3" i="18"/>
  <c r="J3" i="18" s="1"/>
  <c r="P3" i="18"/>
  <c r="P13" i="18" s="1"/>
  <c r="O3" i="18"/>
  <c r="D2" i="18"/>
  <c r="J2" i="18" s="1"/>
  <c r="D3" i="7"/>
  <c r="D4" i="7"/>
  <c r="D5" i="7"/>
  <c r="O2" i="18"/>
  <c r="F9" i="18"/>
  <c r="F8" i="18"/>
  <c r="E8" i="18" s="1"/>
  <c r="K8" i="18" s="1"/>
  <c r="F7" i="18"/>
  <c r="E7" i="18"/>
  <c r="K7" i="18"/>
  <c r="F6" i="18"/>
  <c r="F5" i="18"/>
  <c r="F4" i="18"/>
  <c r="F3" i="18"/>
  <c r="F2" i="18"/>
  <c r="P11" i="18"/>
  <c r="P14" i="18"/>
  <c r="AI3" i="7"/>
  <c r="O16" i="18"/>
  <c r="L16" i="18" s="1"/>
  <c r="AE3" i="7"/>
  <c r="O14" i="18"/>
  <c r="O15" i="18"/>
  <c r="AB8" i="7"/>
  <c r="Y3" i="7"/>
  <c r="B8" i="19"/>
  <c r="AB3" i="7"/>
  <c r="AB4" i="7"/>
  <c r="AB5" i="7"/>
  <c r="AB6" i="7"/>
  <c r="P2" i="18"/>
  <c r="P12" i="18" s="1"/>
  <c r="P4" i="18"/>
  <c r="P6" i="18"/>
  <c r="P10" i="18"/>
  <c r="O11" i="18"/>
  <c r="L11" i="18" s="1"/>
  <c r="N16" i="18"/>
  <c r="D15" i="18"/>
  <c r="G15" i="18" s="1"/>
  <c r="F15" i="18"/>
  <c r="D14" i="18"/>
  <c r="J14" i="18" s="1"/>
  <c r="L14" i="18" s="1"/>
  <c r="N14" i="18" s="1"/>
  <c r="D11" i="18"/>
  <c r="G11" i="18" s="1"/>
  <c r="H11" i="18" s="1"/>
  <c r="J11" i="18"/>
  <c r="AB7" i="7"/>
  <c r="G7" i="18"/>
  <c r="H7" i="18"/>
  <c r="G4" i="18"/>
  <c r="H4" i="18" s="1"/>
  <c r="G6" i="18"/>
  <c r="H6" i="18"/>
  <c r="D10" i="18"/>
  <c r="G10" i="18"/>
  <c r="H10" i="18"/>
  <c r="D16" i="18"/>
  <c r="G16" i="18" s="1"/>
  <c r="J16" i="18"/>
  <c r="F16" i="18"/>
  <c r="E16" i="18" s="1"/>
  <c r="K16" i="18" s="1"/>
  <c r="F14" i="18"/>
  <c r="E14" i="18" s="1"/>
  <c r="K14" i="18" s="1"/>
  <c r="Y5" i="18"/>
  <c r="R6" i="18"/>
  <c r="X5" i="18"/>
  <c r="W5" i="18"/>
  <c r="U5" i="18"/>
  <c r="U6" i="18"/>
  <c r="V5" i="18"/>
  <c r="K6" i="19"/>
  <c r="P3" i="19"/>
  <c r="P2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E2" i="16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B4" i="9"/>
  <c r="B5" i="9"/>
  <c r="B6" i="9"/>
  <c r="B7" i="9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F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/>
  <c r="V3" i="20"/>
  <c r="AC16" i="18"/>
  <c r="AD16" i="18"/>
  <c r="AB16" i="18"/>
  <c r="V16" i="18"/>
  <c r="W16" i="18"/>
  <c r="U16" i="18"/>
  <c r="F10" i="18"/>
  <c r="AC15" i="18"/>
  <c r="AD15" i="18"/>
  <c r="AB15" i="18"/>
  <c r="V15" i="18"/>
  <c r="W15" i="18"/>
  <c r="U15" i="18"/>
  <c r="F11" i="18"/>
  <c r="AC14" i="18"/>
  <c r="AD14" i="18"/>
  <c r="AB14" i="18"/>
  <c r="V14" i="18"/>
  <c r="W14" i="18"/>
  <c r="U14" i="18"/>
  <c r="AC13" i="18"/>
  <c r="AD13" i="18"/>
  <c r="AB13" i="18"/>
  <c r="V13" i="18"/>
  <c r="W13" i="18"/>
  <c r="U13" i="18"/>
  <c r="AC12" i="18"/>
  <c r="AD12" i="18"/>
  <c r="AB12" i="18"/>
  <c r="V12" i="18"/>
  <c r="W12" i="18"/>
  <c r="U12" i="18"/>
  <c r="AC11" i="18"/>
  <c r="AD11" i="18"/>
  <c r="AB11" i="18"/>
  <c r="V11" i="18"/>
  <c r="W11" i="18"/>
  <c r="U11" i="18"/>
  <c r="AC10" i="18"/>
  <c r="AD10" i="18"/>
  <c r="AB10" i="18"/>
  <c r="V10" i="18"/>
  <c r="W10" i="18"/>
  <c r="U10" i="18"/>
  <c r="AC9" i="18"/>
  <c r="AD9" i="18"/>
  <c r="AB9" i="18"/>
  <c r="V9" i="18"/>
  <c r="W9" i="18"/>
  <c r="U9" i="18"/>
  <c r="T7" i="20"/>
  <c r="T6" i="20"/>
  <c r="T5" i="20"/>
  <c r="T4" i="20"/>
  <c r="G4" i="20"/>
  <c r="G8" i="20"/>
  <c r="G10" i="20"/>
  <c r="C12" i="18"/>
  <c r="C13" i="18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O3" i="20"/>
  <c r="K5" i="19"/>
  <c r="N5" i="19"/>
  <c r="F10" i="19"/>
  <c r="F12" i="19"/>
  <c r="F11" i="19"/>
  <c r="B7" i="19"/>
  <c r="S3" i="20"/>
  <c r="R3" i="20"/>
  <c r="T3" i="20"/>
  <c r="Q3" i="20"/>
  <c r="W3" i="20"/>
  <c r="P3" i="20"/>
  <c r="F3" i="19"/>
  <c r="B9" i="19"/>
  <c r="B10" i="19"/>
  <c r="F4" i="19"/>
  <c r="F5" i="19"/>
  <c r="V6" i="18"/>
  <c r="F13" i="18"/>
  <c r="W6" i="18"/>
  <c r="G8" i="18"/>
  <c r="H8" i="18"/>
  <c r="J10" i="18"/>
  <c r="L10" i="18" s="1"/>
  <c r="F12" i="18"/>
  <c r="E11" i="18"/>
  <c r="K11" i="18" s="1"/>
  <c r="X6" i="18"/>
  <c r="Y6" i="18"/>
  <c r="G5" i="18"/>
  <c r="H5" i="18"/>
  <c r="D12" i="18"/>
  <c r="G2" i="18"/>
  <c r="G12" i="18" s="1"/>
  <c r="D13" i="18"/>
  <c r="E10" i="18"/>
  <c r="K10" i="18" s="1"/>
  <c r="L13" i="16"/>
  <c r="L28" i="16"/>
  <c r="K20" i="16"/>
  <c r="L19" i="16"/>
  <c r="K24" i="16"/>
  <c r="K16" i="16"/>
  <c r="K25" i="16"/>
  <c r="K28" i="16"/>
  <c r="K40" i="16"/>
  <c r="K12" i="16"/>
  <c r="L15" i="16"/>
  <c r="L37" i="16"/>
  <c r="L40" i="16"/>
  <c r="L41" i="16"/>
  <c r="L23" i="16"/>
  <c r="K39" i="16"/>
  <c r="K21" i="16"/>
  <c r="L11" i="16"/>
  <c r="K38" i="16"/>
  <c r="K23" i="16"/>
  <c r="L24" i="16"/>
  <c r="L31" i="16"/>
  <c r="K36" i="16"/>
  <c r="L29" i="16"/>
  <c r="L26" i="16"/>
  <c r="L20" i="16"/>
  <c r="K37" i="16"/>
  <c r="K32" i="16"/>
  <c r="K31" i="16"/>
  <c r="K42" i="16"/>
  <c r="L36" i="16"/>
  <c r="L42" i="16"/>
  <c r="L44" i="16"/>
  <c r="L32" i="16"/>
  <c r="K30" i="16"/>
  <c r="K35" i="16"/>
  <c r="L16" i="16"/>
  <c r="K19" i="16"/>
  <c r="L21" i="16"/>
  <c r="L14" i="16"/>
  <c r="L34" i="16"/>
  <c r="K33" i="16"/>
  <c r="K29" i="16"/>
  <c r="L18" i="16"/>
  <c r="L33" i="16"/>
  <c r="L39" i="16"/>
  <c r="L27" i="16"/>
  <c r="K18" i="16"/>
  <c r="K22" i="16"/>
  <c r="K13" i="16"/>
  <c r="L35" i="16"/>
  <c r="K17" i="16"/>
  <c r="L25" i="16"/>
  <c r="L22" i="16"/>
  <c r="K14" i="16"/>
  <c r="K41" i="16"/>
  <c r="K15" i="16"/>
  <c r="L30" i="16"/>
  <c r="K27" i="16"/>
  <c r="K44" i="16"/>
  <c r="L38" i="16"/>
  <c r="K26" i="16"/>
  <c r="K34" i="16"/>
  <c r="L43" i="16"/>
  <c r="K43" i="16"/>
  <c r="L17" i="16"/>
  <c r="L12" i="16"/>
  <c r="K11" i="16"/>
  <c r="L8" i="18" l="1"/>
  <c r="L2" i="18"/>
  <c r="J12" i="18"/>
  <c r="E2" i="18"/>
  <c r="E9" i="18"/>
  <c r="K9" i="18" s="1"/>
  <c r="L6" i="18"/>
  <c r="E6" i="18"/>
  <c r="K6" i="18" s="1"/>
  <c r="O12" i="18"/>
  <c r="M2" i="18" s="1"/>
  <c r="L4" i="18"/>
  <c r="L5" i="18"/>
  <c r="E4" i="18"/>
  <c r="K4" i="18" s="1"/>
  <c r="E5" i="18"/>
  <c r="K5" i="18" s="1"/>
  <c r="O13" i="18"/>
  <c r="M11" i="18" s="1"/>
  <c r="N11" i="18" s="1"/>
  <c r="J13" i="18"/>
  <c r="E3" i="18"/>
  <c r="L3" i="18"/>
  <c r="M7" i="18"/>
  <c r="N7" i="18" s="1"/>
  <c r="G14" i="18"/>
  <c r="G3" i="18"/>
  <c r="J9" i="18"/>
  <c r="H2" i="18"/>
  <c r="H12" i="18" s="1"/>
  <c r="J15" i="18"/>
  <c r="M4" i="18" l="1"/>
  <c r="N4" i="18" s="1"/>
  <c r="N2" i="18"/>
  <c r="M8" i="18"/>
  <c r="N8" i="18" s="1"/>
  <c r="H3" i="18"/>
  <c r="H13" i="18" s="1"/>
  <c r="G13" i="18"/>
  <c r="M3" i="18"/>
  <c r="N3" i="18" s="1"/>
  <c r="M6" i="18"/>
  <c r="N6" i="18" s="1"/>
  <c r="E13" i="18"/>
  <c r="K13" i="18" s="1"/>
  <c r="K3" i="18"/>
  <c r="M10" i="18"/>
  <c r="N10" i="18" s="1"/>
  <c r="K2" i="18"/>
  <c r="E12" i="18"/>
  <c r="K12" i="18" s="1"/>
  <c r="L15" i="18"/>
  <c r="N15" i="18" s="1"/>
  <c r="E15" i="18"/>
  <c r="K15" i="18" s="1"/>
  <c r="L12" i="18"/>
  <c r="M9" i="18"/>
  <c r="N9" i="18" s="1"/>
  <c r="L9" i="18"/>
  <c r="M5" i="18"/>
  <c r="N5" i="18" s="1"/>
  <c r="N12" i="18" l="1"/>
  <c r="M12" i="18"/>
</calcChain>
</file>

<file path=xl/sharedStrings.xml><?xml version="1.0" encoding="utf-8"?>
<sst xmlns="http://schemas.openxmlformats.org/spreadsheetml/2006/main" count="439" uniqueCount="126">
  <si>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</si>
  <si>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</si>
  <si>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</si>
  <si>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</si>
  <si>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</si>
  <si>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</si>
  <si>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</si>
  <si>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</si>
  <si>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</si>
  <si>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</si>
  <si>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</si>
  <si>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</si>
  <si>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</si>
  <si>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</si>
  <si>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</si>
  <si>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</si>
  <si>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</si>
  <si>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</si>
  <si>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</si>
  <si>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</si>
  <si>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</si>
  <si>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</si>
  <si>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</si>
  <si>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</si>
  <si>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</si>
  <si>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</si>
  <si>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</si>
  <si>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</si>
  <si>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</si>
  <si>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</si>
  <si>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</si>
  <si>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</si>
  <si>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</si>
  <si>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</si>
  <si>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</si>
  <si>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</si>
  <si>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</si>
  <si>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</si>
  <si>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</si>
  <si>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</si>
  <si>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</si>
  <si>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</si>
  <si>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</si>
  <si>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</si>
  <si>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</si>
  <si>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</si>
  <si>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</si>
  <si>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</si>
  <si>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</si>
  <si>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</si>
  <si>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</si>
  <si>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</si>
  <si>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</si>
  <si>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</si>
  <si>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</si>
  <si>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</si>
  <si>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</si>
  <si>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</si>
  <si>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</si>
  <si>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</si>
  <si>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</si>
  <si>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</si>
  <si>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</si>
  <si>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</si>
  <si>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</si>
  <si>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</si>
  <si>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</si>
  <si>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</si>
  <si>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</si>
  <si>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</si>
  <si>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</si>
  <si>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</si>
  <si>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</si>
  <si>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</si>
  <si>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</si>
  <si>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</si>
  <si>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</si>
  <si>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</si>
  <si>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</si>
  <si>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</si>
  <si>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</si>
  <si>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</si>
  <si>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</si>
  <si>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</si>
  <si>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</si>
  <si>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</si>
  <si>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</si>
  <si>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</si>
  <si>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</si>
  <si>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</si>
  <si>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</si>
  <si>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</si>
  <si>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</si>
  <si>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</si>
  <si>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</si>
  <si>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</si>
  <si>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</si>
  <si>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</si>
  <si>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</si>
  <si>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</si>
  <si>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</si>
  <si>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</si>
  <si>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</si>
  <si>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</si>
  <si>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</si>
  <si>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</si>
  <si>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</si>
  <si>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</si>
  <si>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</si>
  <si>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</si>
  <si>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</si>
  <si>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</si>
  <si>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</si>
  <si>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</si>
  <si>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</si>
  <si>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</si>
  <si>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</si>
  <si>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</si>
  <si>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</si>
  <si>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</si>
  <si>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</si>
  <si>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</si>
  <si>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</si>
  <si>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</si>
  <si>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BOSS</t>
  </si>
  <si>
    <t>交換總量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</si>
</sst>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" fontId="28" fillId="0" borderId="7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16"/>
  <sheetViews>
    <sheetView tabSelected="1" zoomScaleNormal="60" zoomScaleSheetLayoutView="100" workbookViewId="0">
      <selection activeCell="B13" sqref="B13"/>
    </sheetView>
  </sheetViews>
  <sheetFormatPr defaultColWidth="8.5703125" defaultRowHeight="15" x14ac:dyDescent="0.25"/>
  <cols>
    <col min="1" max="1" width="4.85546875" style="47" customWidth="1"/>
    <col min="2" max="2" width="6.140625" style="47" customWidth="1"/>
    <col min="3" max="3" width="6.28515625" style="80" customWidth="1"/>
    <col min="4" max="4" width="6.28515625" style="160" customWidth="1"/>
    <col min="5" max="7" width="6.28515625" style="47" customWidth="1"/>
    <col min="8" max="8" width="7.28515625" style="47" customWidth="1"/>
    <col min="9" max="9" width="8.140625" style="160" customWidth="1"/>
    <col min="10" max="10" width="6.28515625" style="78" customWidth="1"/>
    <col min="11" max="11" width="17.42578125" style="47" customWidth="1"/>
    <col min="12" max="12" width="6.28515625" style="47" customWidth="1"/>
    <col min="13" max="13" width="6.85546875" style="47" customWidth="1"/>
    <col min="14" max="14" width="7.5703125" style="47" customWidth="1"/>
    <col min="15" max="15" width="8.140625" style="47" customWidth="1"/>
    <col min="16" max="16" width="7.140625" style="197" customWidth="1"/>
    <col min="17" max="17" width="8.5703125" style="47"/>
    <col min="18" max="34" width="7.140625" style="47" customWidth="1"/>
    <col min="35" max="16384" width="8.5703125" style="47"/>
  </cols>
  <sheetData>
    <row r="1" spans="1:31" ht="15" customHeight="1" x14ac:dyDescent="0.25">
      <c r="A1" s="276"/>
      <c r="B1" s="276"/>
      <c r="C1" s="277" t="s">
        <v>26</v>
      </c>
      <c r="D1" s="278" t="s">
        <v>111</v>
      </c>
      <c r="E1" s="279" t="s">
        <v>112</v>
      </c>
      <c r="F1" s="279" t="s">
        <v>113</v>
      </c>
      <c r="G1" s="280" t="s">
        <v>74</v>
      </c>
      <c r="H1" s="280" t="s">
        <v>114</v>
      </c>
      <c r="I1" s="281" t="s">
        <v>125</v>
      </c>
      <c r="J1" s="282" t="s">
        <v>27</v>
      </c>
      <c r="K1" s="276" t="s">
        <v>28</v>
      </c>
      <c r="L1" s="276" t="s">
        <v>29</v>
      </c>
      <c r="M1" s="283" t="s">
        <v>75</v>
      </c>
      <c r="N1" s="276" t="s">
        <v>31</v>
      </c>
      <c r="O1" s="276" t="s">
        <v>32</v>
      </c>
      <c r="P1" s="276" t="s">
        <v>33</v>
      </c>
      <c r="R1" s="93"/>
      <c r="S1" s="54" t="s">
        <v>31</v>
      </c>
      <c r="T1" s="54" t="s">
        <v>107</v>
      </c>
      <c r="U1" s="54" t="s">
        <v>109</v>
      </c>
      <c r="V1" s="54" t="s">
        <v>108</v>
      </c>
      <c r="W1" s="54" t="s">
        <v>119</v>
      </c>
      <c r="X1" s="54" t="s">
        <v>120</v>
      </c>
      <c r="Y1" s="54" t="s">
        <v>121</v>
      </c>
    </row>
    <row r="2" spans="1:31" ht="15" customHeight="1" x14ac:dyDescent="0.25">
      <c r="A2" s="259" t="s">
        <v>14</v>
      </c>
      <c r="B2" s="81" t="s">
        <v>109</v>
      </c>
      <c r="C2" s="80">
        <v>973</v>
      </c>
      <c r="D2" s="159">
        <f>VLOOKUP($S$9,DATA_IO,5,TRUE)+VLOOKUP($S$10,DATA_IO,5,TRUE)+VLOOKUP($Y$9,DATA_IO,5,TRUE)+VLOOKUP($Y$10,DATA_IO,5,TRUE)</f>
        <v>0</v>
      </c>
      <c r="E2" s="25">
        <f>F2-J2</f>
        <v>5720</v>
      </c>
      <c r="F2" s="25">
        <f>'資料-迎擊'!$AQ$3*4</f>
        <v>5720</v>
      </c>
      <c r="G2" s="257">
        <f>IF(D2-C2 &lt;= 0,ABS(D2-C2),"")</f>
        <v>973</v>
      </c>
      <c r="H2" s="257">
        <f>IFERROR(FLOOR(G2/IO_WEAPON_434,1),"")</f>
        <v>3</v>
      </c>
      <c r="I2" s="258">
        <f>G2+G3*IO_EXCHANGE_BIG_TO_SMALL</f>
        <v>5062</v>
      </c>
      <c r="J2" s="78">
        <f>IF(D2-C2 &lt; 0,0,D2-C2)</f>
        <v>0</v>
      </c>
      <c r="K2" s="62">
        <f t="shared" ref="K2:K11" si="0">IF(E2/F2 &gt; 1,100%,E2/F2)</f>
        <v>1</v>
      </c>
      <c r="L2" s="55">
        <f t="shared" ref="L2:L9" si="1">IFERROR(ROUND(J2/O2,0),0)</f>
        <v>0</v>
      </c>
      <c r="M2" s="55">
        <f>IFERROR(ROUND(J2/$O$12,0),0)</f>
        <v>0</v>
      </c>
      <c r="N2" s="7">
        <f>M2/(WINGS_RECOVER_NUM/WINGS_CONSUME_IO)*WINGS_RECOVER_DIAMS</f>
        <v>0</v>
      </c>
      <c r="O2" s="8">
        <f>IFERROR(SUMPRODUCT('資料-迎擊'!D:D,'資料-迎擊'!F:F)/SUM('資料-迎擊'!F:F),0)</f>
        <v>3.5347793567688854</v>
      </c>
      <c r="P2" s="195">
        <f>SUM('資料-迎擊'!F:F)</f>
        <v>1337</v>
      </c>
      <c r="R2" s="54" t="s">
        <v>57</v>
      </c>
      <c r="S2" s="100">
        <v>93006</v>
      </c>
      <c r="T2" s="100">
        <v>14</v>
      </c>
      <c r="U2" s="100">
        <v>1983</v>
      </c>
      <c r="V2" s="100">
        <v>1609</v>
      </c>
      <c r="W2" s="100">
        <v>5763</v>
      </c>
      <c r="X2" s="100">
        <v>8338</v>
      </c>
      <c r="Y2" s="100">
        <v>72830</v>
      </c>
    </row>
    <row r="3" spans="1:31" ht="15" customHeight="1" x14ac:dyDescent="0.25">
      <c r="A3" s="275"/>
      <c r="B3" s="264" t="s">
        <v>108</v>
      </c>
      <c r="C3" s="265">
        <v>1363</v>
      </c>
      <c r="D3" s="266">
        <f>VLOOKUP($S$9,DATA_IO,6,TRUE)+VLOOKUP($S$10,DATA_IO,6,TRUE)+VLOOKUP($Y$9,DATA_IO,6,TRUE)+VLOOKUP($Y$10,DATA_IO,6,TRUE)</f>
        <v>0</v>
      </c>
      <c r="E3" s="267">
        <f t="shared" ref="E3:E11" si="2">F3-J3</f>
        <v>800</v>
      </c>
      <c r="F3" s="267">
        <f>'資料-迎擊'!$AR$3*4</f>
        <v>800</v>
      </c>
      <c r="G3" s="268">
        <f t="shared" ref="G3:G11" si="3">IF(D3-C3 &lt;= 0,ABS(D3-C3),"")</f>
        <v>1363</v>
      </c>
      <c r="H3" s="268">
        <f>IFERROR(FLOOR(G3/IO_WEAPON_530,1),"")</f>
        <v>6</v>
      </c>
      <c r="I3" s="269">
        <f>G3+G2*IO_EXCHANGE_SMALL_TO_BIG</f>
        <v>1525.1666666666667</v>
      </c>
      <c r="J3" s="270">
        <f t="shared" ref="J3:J11" si="4">IF(D3-C3 &lt; 0,0,D3-C3)</f>
        <v>0</v>
      </c>
      <c r="K3" s="271">
        <f t="shared" si="0"/>
        <v>1</v>
      </c>
      <c r="L3" s="272">
        <f t="shared" si="1"/>
        <v>0</v>
      </c>
      <c r="M3" s="272">
        <f>IFERROR(ROUND(J3/$O$13,0),0)</f>
        <v>0</v>
      </c>
      <c r="N3" s="273">
        <f t="shared" ref="N3:N11" si="5">M3/(WINGS_RECOVER_NUM/WINGS_CONSUME_IO)*WINGS_RECOVER_DIAMS</f>
        <v>0</v>
      </c>
      <c r="O3" s="274">
        <f>IFERROR(SUMPRODUCT('資料-迎擊'!A:A,'資料-迎擊'!C:C)/$P3,0)</f>
        <v>0</v>
      </c>
      <c r="P3" s="272">
        <f>SUM('資料-迎擊'!C:C)</f>
        <v>0</v>
      </c>
      <c r="R3" s="54" t="s">
        <v>58</v>
      </c>
      <c r="S3" s="100">
        <v>92856</v>
      </c>
      <c r="T3" s="100">
        <v>0</v>
      </c>
      <c r="U3" s="100">
        <v>2157</v>
      </c>
      <c r="V3" s="100">
        <v>1681</v>
      </c>
      <c r="W3" s="100">
        <v>5847</v>
      </c>
      <c r="X3" s="100">
        <v>8436</v>
      </c>
      <c r="Y3" s="100">
        <v>73442</v>
      </c>
    </row>
    <row r="4" spans="1:31" x14ac:dyDescent="0.25">
      <c r="A4" s="260" t="s">
        <v>12</v>
      </c>
      <c r="B4" s="82" t="s">
        <v>109</v>
      </c>
      <c r="C4" s="80">
        <v>582</v>
      </c>
      <c r="D4" s="159">
        <f>VLOOKUP($S$11,DATA_IO,5,TRUE)+VLOOKUP($S$12,DATA_IO,5,TRUE)+VLOOKUP($Y$11,DATA_IO,5,TRUE)+VLOOKUP($Y$12,DATA_IO,5,TRUE)</f>
        <v>0</v>
      </c>
      <c r="E4" s="25">
        <f>F4-J4</f>
        <v>5720</v>
      </c>
      <c r="F4" s="25">
        <f>'資料-迎擊'!$AQ$3*4</f>
        <v>5720</v>
      </c>
      <c r="G4" s="257">
        <f>IF(D4-C4 &lt;= 0,ABS(D4-C4),"")</f>
        <v>582</v>
      </c>
      <c r="H4" s="257">
        <f>IFERROR(FLOOR(G4/IO_WEAPON_434,1),"")</f>
        <v>2</v>
      </c>
      <c r="I4" s="258">
        <f>G4+G5*IO_EXCHANGE_BIG_TO_SMALL</f>
        <v>7071</v>
      </c>
      <c r="J4" s="78">
        <f>IF(D4-C4 &lt; 0,0,D4-C4)</f>
        <v>0</v>
      </c>
      <c r="K4" s="62">
        <f t="shared" si="0"/>
        <v>1</v>
      </c>
      <c r="L4" s="53">
        <f t="shared" si="1"/>
        <v>0</v>
      </c>
      <c r="M4" s="53">
        <f t="shared" ref="M4" si="6">IFERROR(ROUND(J4/$O$12,0),0)</f>
        <v>0</v>
      </c>
      <c r="N4" s="6">
        <f>M4/(WINGS_RECOVER_NUM/WINGS_CONSUME_IO)*WINGS_RECOVER_DIAMS</f>
        <v>0</v>
      </c>
      <c r="O4" s="9">
        <f>IFERROR(SUMPRODUCT('資料-迎擊'!J:J,'資料-迎擊'!L:L)/SUM('資料-迎擊'!L:L),0)</f>
        <v>3.4778660612939842</v>
      </c>
      <c r="P4" s="194">
        <f>SUM('資料-迎擊'!L:L)</f>
        <v>881</v>
      </c>
    </row>
    <row r="5" spans="1:31" x14ac:dyDescent="0.25">
      <c r="A5" s="288"/>
      <c r="B5" s="284" t="s">
        <v>108</v>
      </c>
      <c r="C5" s="265">
        <v>2163</v>
      </c>
      <c r="D5" s="266">
        <f>VLOOKUP($S$11,DATA_IO,6,TRUE)+VLOOKUP($S$12,DATA_IO,6,TRUE)+VLOOKUP($Y$11,DATA_IO,6,TRUE)+VLOOKUP($Y$12,DATA_IO,6,TRUE)</f>
        <v>0</v>
      </c>
      <c r="E5" s="267">
        <f t="shared" si="2"/>
        <v>800</v>
      </c>
      <c r="F5" s="267">
        <f>'資料-迎擊'!$AR$3*4</f>
        <v>800</v>
      </c>
      <c r="G5" s="268">
        <f t="shared" si="3"/>
        <v>2163</v>
      </c>
      <c r="H5" s="268">
        <f>IFERROR(FLOOR(G5/IO_WEAPON_530,1),"")</f>
        <v>10</v>
      </c>
      <c r="I5" s="269">
        <f>G5+G4*IO_EXCHANGE_SMALL_TO_BIG</f>
        <v>2260</v>
      </c>
      <c r="J5" s="270">
        <f t="shared" si="4"/>
        <v>0</v>
      </c>
      <c r="K5" s="271">
        <f t="shared" si="0"/>
        <v>1</v>
      </c>
      <c r="L5" s="285">
        <f t="shared" si="1"/>
        <v>0</v>
      </c>
      <c r="M5" s="285">
        <f t="shared" ref="M5" si="7">IFERROR(ROUND(J5/$O$13,0),0)</f>
        <v>0</v>
      </c>
      <c r="N5" s="286">
        <f t="shared" si="5"/>
        <v>0</v>
      </c>
      <c r="O5" s="287">
        <f>IFERROR(SUMPRODUCT('資料-迎擊'!G:G,'資料-迎擊'!I:I)/$P5,0)</f>
        <v>0</v>
      </c>
      <c r="P5" s="285">
        <f>SUM('資料-迎擊'!I:I)</f>
        <v>0</v>
      </c>
      <c r="R5" s="54" t="s">
        <v>29</v>
      </c>
      <c r="T5" s="54" t="s">
        <v>64</v>
      </c>
      <c r="U5" s="27">
        <f>U3-U2</f>
        <v>174</v>
      </c>
      <c r="V5" s="27">
        <f>V3-V2</f>
        <v>72</v>
      </c>
      <c r="W5" s="27">
        <f>W3-W2</f>
        <v>84</v>
      </c>
      <c r="X5" s="27">
        <f>X3-X2</f>
        <v>98</v>
      </c>
      <c r="Y5" s="27">
        <f>Y3-Y2</f>
        <v>612</v>
      </c>
    </row>
    <row r="6" spans="1:31" ht="15.75" x14ac:dyDescent="0.25">
      <c r="A6" s="261" t="s">
        <v>11</v>
      </c>
      <c r="B6" s="83" t="s">
        <v>109</v>
      </c>
      <c r="C6" s="80">
        <v>3272</v>
      </c>
      <c r="D6" s="159">
        <f>VLOOKUP($S$13,DATA_IO,5,TRUE)+VLOOKUP($S$14,DATA_IO,5,TRUE)+VLOOKUP($Y$13,DATA_IO,5,TRUE)+VLOOKUP($Y$14,DATA_IO,5,TRUE)</f>
        <v>0</v>
      </c>
      <c r="E6" s="25">
        <f>F6-J6</f>
        <v>5720</v>
      </c>
      <c r="F6" s="25">
        <f>'資料-迎擊'!$AQ$3*4</f>
        <v>5720</v>
      </c>
      <c r="G6" s="257">
        <f>IF(D6-C6 &lt;= 0,ABS(D6-C6),"")</f>
        <v>3272</v>
      </c>
      <c r="H6" s="257">
        <f>IFERROR(FLOOR(G6/IO_WEAPON_434,1),"")</f>
        <v>13</v>
      </c>
      <c r="I6" s="258">
        <f>G6+G7*IO_EXCHANGE_BIG_TO_SMALL</f>
        <v>10175</v>
      </c>
      <c r="J6" s="78">
        <f>IF(D6-C6 &lt; 0,0,D6-C6)</f>
        <v>0</v>
      </c>
      <c r="K6" s="62">
        <f t="shared" si="0"/>
        <v>1</v>
      </c>
      <c r="L6" s="52">
        <f t="shared" si="1"/>
        <v>0</v>
      </c>
      <c r="M6" s="52">
        <f t="shared" ref="M6" si="8">IFERROR(ROUND(J6/$O$12,0),0)</f>
        <v>0</v>
      </c>
      <c r="N6" s="5">
        <f>M6/(WINGS_RECOVER_NUM/WINGS_CONSUME_IO)*WINGS_RECOVER_DIAMS</f>
        <v>0</v>
      </c>
      <c r="O6" s="10">
        <f>IFERROR(SUMPRODUCT('資料-迎擊'!P:P,'資料-迎擊'!R:R)/SUM('資料-迎擊'!R:R),0)</f>
        <v>3.492957746478873</v>
      </c>
      <c r="P6" s="193">
        <f>SUM('資料-迎擊'!R:R)</f>
        <v>142</v>
      </c>
      <c r="R6" s="92">
        <f>(S2-S3)/WINGS_RECOVER_DIAMS*6 + (T2-T3)/WINGS_CONSUME_VOID</f>
        <v>25</v>
      </c>
      <c r="T6" s="54" t="s">
        <v>32</v>
      </c>
      <c r="U6" s="27">
        <f>IFERROR(U5/$R$6,"")</f>
        <v>6.96</v>
      </c>
      <c r="V6" s="27">
        <f>IFERROR(V5/$R$6,"")</f>
        <v>2.88</v>
      </c>
      <c r="W6" s="27">
        <f>IFERROR(W5/$R$6,"")</f>
        <v>3.36</v>
      </c>
      <c r="X6" s="27">
        <f>IFERROR(X5/$R$6,"")</f>
        <v>3.92</v>
      </c>
      <c r="Y6" s="27">
        <f>IFERROR(Y5/$R$6,"")</f>
        <v>24.48</v>
      </c>
    </row>
    <row r="7" spans="1:31" x14ac:dyDescent="0.25">
      <c r="A7" s="293"/>
      <c r="B7" s="289" t="s">
        <v>108</v>
      </c>
      <c r="C7" s="265">
        <v>2301</v>
      </c>
      <c r="D7" s="266">
        <f>VLOOKUP($S$13,DATA_IO,6,TRUE)+VLOOKUP($S$14,DATA_IO,6,TRUE)+VLOOKUP($Y$13,DATA_IO,6,TRUE)+VLOOKUP($Y$14,DATA_IO,6,TRUE)</f>
        <v>0</v>
      </c>
      <c r="E7" s="267">
        <f t="shared" si="2"/>
        <v>800</v>
      </c>
      <c r="F7" s="267">
        <f>'資料-迎擊'!$AR$3*4</f>
        <v>800</v>
      </c>
      <c r="G7" s="268">
        <f t="shared" si="3"/>
        <v>2301</v>
      </c>
      <c r="H7" s="268">
        <f>IFERROR(FLOOR(G7/IO_WEAPON_530,1),"")</f>
        <v>11</v>
      </c>
      <c r="I7" s="269">
        <f>G7+G6*IO_EXCHANGE_SMALL_TO_BIG</f>
        <v>2846.333333333333</v>
      </c>
      <c r="J7" s="270">
        <f t="shared" si="4"/>
        <v>0</v>
      </c>
      <c r="K7" s="271">
        <f t="shared" si="0"/>
        <v>1</v>
      </c>
      <c r="L7" s="290">
        <f t="shared" si="1"/>
        <v>0</v>
      </c>
      <c r="M7" s="290">
        <f t="shared" ref="M7" si="9">IFERROR(ROUND(J7/$O$13,0),0)</f>
        <v>0</v>
      </c>
      <c r="N7" s="291">
        <f t="shared" si="5"/>
        <v>0</v>
      </c>
      <c r="O7" s="292">
        <f>IFERROR(SUMPRODUCT('資料-迎擊'!M:M,'資料-迎擊'!O:O)/$P7,0)</f>
        <v>0</v>
      </c>
      <c r="P7" s="290">
        <f>SUM('資料-迎擊'!O:O)</f>
        <v>0</v>
      </c>
      <c r="AE7" s="70"/>
    </row>
    <row r="8" spans="1:31" x14ac:dyDescent="0.25">
      <c r="A8" s="262" t="s">
        <v>9</v>
      </c>
      <c r="B8" s="84" t="s">
        <v>109</v>
      </c>
      <c r="C8" s="80">
        <v>418</v>
      </c>
      <c r="D8" s="159">
        <f>VLOOKUP($S$15,DATA_IO,5,TRUE)+VLOOKUP($S$16,DATA_IO,5,TRUE)</f>
        <v>0</v>
      </c>
      <c r="E8" s="25">
        <f>F8-J8</f>
        <v>2860</v>
      </c>
      <c r="F8" s="25">
        <f>'資料-迎擊'!$AQ$3*2</f>
        <v>2860</v>
      </c>
      <c r="G8" s="257">
        <f>IF(D8-C8 &lt;= 0,ABS(D8-C8),"")</f>
        <v>418</v>
      </c>
      <c r="H8" s="257">
        <f>IFERROR(FLOOR(G8/IO_WEAPON_434,1),"")</f>
        <v>1</v>
      </c>
      <c r="I8" s="258">
        <f>G8+G9*IO_EXCHANGE_BIG_TO_SMALL</f>
        <v>4918</v>
      </c>
      <c r="J8" s="78">
        <f>IF(D8-C8 &lt; 0,0,D8-C8)</f>
        <v>0</v>
      </c>
      <c r="K8" s="62">
        <f t="shared" si="0"/>
        <v>1</v>
      </c>
      <c r="L8" s="51">
        <f t="shared" si="1"/>
        <v>0</v>
      </c>
      <c r="M8" s="51">
        <f t="shared" ref="M8" si="10">IFERROR(ROUND(J8/$O$12,0),0)</f>
        <v>0</v>
      </c>
      <c r="N8" s="4">
        <f>M8/(WINGS_RECOVER_NUM/WINGS_CONSUME_IO)*WINGS_RECOVER_DIAMS</f>
        <v>0</v>
      </c>
      <c r="O8" s="11">
        <f>IFERROR(SUMPRODUCT('資料-迎擊'!V:V,'資料-迎擊'!X:X)/P$8,0)</f>
        <v>3.5145888594164458</v>
      </c>
      <c r="P8" s="191">
        <f>SUM('資料-迎擊'!X:X)</f>
        <v>377</v>
      </c>
      <c r="R8" s="54" t="s">
        <v>22</v>
      </c>
      <c r="S8" s="94" t="s">
        <v>19</v>
      </c>
      <c r="T8" s="207" t="s">
        <v>21</v>
      </c>
      <c r="U8" s="207"/>
      <c r="V8" s="14" t="s">
        <v>23</v>
      </c>
      <c r="W8" s="54" t="s">
        <v>24</v>
      </c>
      <c r="X8" s="26" t="s">
        <v>22</v>
      </c>
      <c r="Y8" s="94" t="s">
        <v>19</v>
      </c>
      <c r="Z8" s="56" t="s">
        <v>21</v>
      </c>
      <c r="AA8" s="155"/>
      <c r="AB8" s="57"/>
      <c r="AC8" s="14" t="s">
        <v>23</v>
      </c>
      <c r="AD8" s="65" t="s">
        <v>24</v>
      </c>
      <c r="AE8" s="70"/>
    </row>
    <row r="9" spans="1:31" x14ac:dyDescent="0.25">
      <c r="A9" s="298"/>
      <c r="B9" s="294" t="s">
        <v>108</v>
      </c>
      <c r="C9" s="265">
        <v>1500</v>
      </c>
      <c r="D9" s="266">
        <f>VLOOKUP($S$15,DATA_IO,6,TRUE)+VLOOKUP($S$16,DATA_IO,6,TRUE)</f>
        <v>0</v>
      </c>
      <c r="E9" s="267">
        <f t="shared" si="2"/>
        <v>400</v>
      </c>
      <c r="F9" s="267">
        <f>'資料-迎擊'!$AR$3*2</f>
        <v>400</v>
      </c>
      <c r="G9" s="268">
        <f t="shared" si="3"/>
        <v>1500</v>
      </c>
      <c r="H9" s="268">
        <f>IFERROR(FLOOR(G9/IO_WEAPON_530,1),"")</f>
        <v>7</v>
      </c>
      <c r="I9" s="269">
        <f>G9+G8*IO_EXCHANGE_SMALL_TO_BIG</f>
        <v>1569.6666666666667</v>
      </c>
      <c r="J9" s="270">
        <f t="shared" si="4"/>
        <v>0</v>
      </c>
      <c r="K9" s="271">
        <f t="shared" si="0"/>
        <v>1</v>
      </c>
      <c r="L9" s="295">
        <f t="shared" si="1"/>
        <v>0</v>
      </c>
      <c r="M9" s="295">
        <f t="shared" ref="M9" si="11">IFERROR(ROUND(J9/$O$13,0),0)</f>
        <v>0</v>
      </c>
      <c r="N9" s="296">
        <f t="shared" si="5"/>
        <v>0</v>
      </c>
      <c r="O9" s="297">
        <f>IFERROR(SUMPRODUCT('資料-迎擊'!S:S,'資料-迎擊'!T:T)/P$9,0)</f>
        <v>0</v>
      </c>
      <c r="P9" s="295">
        <f>SUM('資料-迎擊'!T:T)</f>
        <v>0</v>
      </c>
      <c r="R9" s="205" t="s">
        <v>20</v>
      </c>
      <c r="S9" s="95">
        <v>30</v>
      </c>
      <c r="T9" s="61" t="s">
        <v>1</v>
      </c>
      <c r="U9" s="15">
        <f>VLOOKUP(S9,DATA_IO,7)+VLOOKUP(S10,DATA_IO,7)</f>
        <v>23</v>
      </c>
      <c r="V9" s="101" t="str">
        <f t="shared" ref="V9:V16" si="12">IF(VLOOKUP(S9,DATA_IO,9)=0,"",VLOOKUP(S9,DATA_IO,9))</f>
        <v/>
      </c>
      <c r="W9" s="55" t="str">
        <f t="shared" ref="W9:W16" si="13">IFERROR(V9*BOOST_PRICE,"")</f>
        <v/>
      </c>
      <c r="X9" s="206" t="s">
        <v>13</v>
      </c>
      <c r="Y9" s="95">
        <v>30</v>
      </c>
      <c r="Z9" s="61" t="s">
        <v>1</v>
      </c>
      <c r="AA9" s="66"/>
      <c r="AB9" s="15">
        <f>VLOOKUP(Y9,DATA_IO,7)+VLOOKUP(Y10,DATA_IO,7)</f>
        <v>23</v>
      </c>
      <c r="AC9" s="102" t="str">
        <f t="shared" ref="AC9:AC16" si="14">IF(VLOOKUP(Y9,DATA_IO,9)=0,"",VLOOKUP(Y9,DATA_IO,9))</f>
        <v/>
      </c>
      <c r="AD9" s="66" t="str">
        <f t="shared" ref="AD9:AD16" si="15">IFERROR(AC9*BOOST_PRICE,"")</f>
        <v/>
      </c>
      <c r="AE9" s="70"/>
    </row>
    <row r="10" spans="1:31" x14ac:dyDescent="0.25">
      <c r="A10" s="263" t="s">
        <v>8</v>
      </c>
      <c r="B10" s="85" t="s">
        <v>109</v>
      </c>
      <c r="C10" s="80">
        <v>2157</v>
      </c>
      <c r="D10" s="159">
        <f>VLOOKUP($Y$15,DATA_IO,5,TRUE)+VLOOKUP($Y$16,DATA_IO,5,TRUE)</f>
        <v>0</v>
      </c>
      <c r="E10" s="25">
        <f>F10-J10</f>
        <v>2860</v>
      </c>
      <c r="F10" s="25">
        <f>'資料-迎擊'!$AQ$3*2</f>
        <v>2860</v>
      </c>
      <c r="G10" s="257">
        <f>IF(D10-C10 &lt;= 0,ABS(D10-C10),"")</f>
        <v>2157</v>
      </c>
      <c r="H10" s="257">
        <f>IFERROR(FLOOR(G10/IO_WEAPON_434,1),"")</f>
        <v>8</v>
      </c>
      <c r="I10" s="258">
        <f>G10+G11*IO_EXCHANGE_BIG_TO_SMALL</f>
        <v>7200</v>
      </c>
      <c r="J10" s="78">
        <f>IF(D10-C10 &lt; 0,0,D10-C10)</f>
        <v>0</v>
      </c>
      <c r="K10" s="62">
        <f t="shared" si="0"/>
        <v>1</v>
      </c>
      <c r="L10" s="192">
        <f>IFERROR(ROUND(J10/O10,0),0)</f>
        <v>0</v>
      </c>
      <c r="M10" s="63">
        <f t="shared" ref="M10" si="16">IFERROR(ROUND(J10/$O$12,0),0)</f>
        <v>0</v>
      </c>
      <c r="N10" s="3">
        <f>M10/(WINGS_RECOVER_NUM/WINGS_CONSUME_IO)*WINGS_RECOVER_DIAMS</f>
        <v>0</v>
      </c>
      <c r="O10" s="12">
        <f>IFERROR(SUMPRODUCT('資料-迎擊'!AB:AB,'資料-迎擊'!AD:AD)/P$10,"")</f>
        <v>3.532934131736527</v>
      </c>
      <c r="P10" s="192">
        <f>SUM('資料-迎擊'!AD:AD)</f>
        <v>334</v>
      </c>
      <c r="R10" s="205"/>
      <c r="S10" s="95">
        <v>30</v>
      </c>
      <c r="T10" s="61" t="s">
        <v>0</v>
      </c>
      <c r="U10" s="15">
        <f>VLOOKUP(S9,DATA_IO,8)+VLOOKUP(S10,DATA_IO,8)</f>
        <v>23</v>
      </c>
      <c r="V10" s="102" t="str">
        <f t="shared" si="12"/>
        <v/>
      </c>
      <c r="W10" s="55" t="str">
        <f t="shared" si="13"/>
        <v/>
      </c>
      <c r="X10" s="206"/>
      <c r="Y10" s="95">
        <v>30</v>
      </c>
      <c r="Z10" s="61" t="s">
        <v>0</v>
      </c>
      <c r="AA10" s="66"/>
      <c r="AB10" s="15">
        <f>VLOOKUP(Y9,DATA_IO,8)+VLOOKUP(Y10,DATA_IO,8)</f>
        <v>23</v>
      </c>
      <c r="AC10" s="102" t="str">
        <f t="shared" si="14"/>
        <v/>
      </c>
      <c r="AD10" s="66" t="str">
        <f t="shared" si="15"/>
        <v/>
      </c>
      <c r="AE10" s="70"/>
    </row>
    <row r="11" spans="1:31" x14ac:dyDescent="0.25">
      <c r="A11" s="303"/>
      <c r="B11" s="299" t="s">
        <v>108</v>
      </c>
      <c r="C11" s="265">
        <v>1681</v>
      </c>
      <c r="D11" s="266">
        <f>VLOOKUP($Y$15,DATA_IO,6,TRUE)+VLOOKUP($Y$16,DATA_IO,6,TRUE)</f>
        <v>0</v>
      </c>
      <c r="E11" s="267">
        <f t="shared" si="2"/>
        <v>400</v>
      </c>
      <c r="F11" s="267">
        <f>'資料-迎擊'!$AR$3*2</f>
        <v>400</v>
      </c>
      <c r="G11" s="268">
        <f t="shared" si="3"/>
        <v>1681</v>
      </c>
      <c r="H11" s="268">
        <f>IFERROR(FLOOR(G11/IO_WEAPON_530,1),"")</f>
        <v>8</v>
      </c>
      <c r="I11" s="269">
        <f>G11+G10*IO_EXCHANGE_SMALL_TO_BIG</f>
        <v>2040.5</v>
      </c>
      <c r="J11" s="270">
        <f t="shared" si="4"/>
        <v>0</v>
      </c>
      <c r="K11" s="271">
        <f t="shared" si="0"/>
        <v>1</v>
      </c>
      <c r="L11" s="300">
        <f>IFERROR(ROUND(J11/O11,0),0)</f>
        <v>0</v>
      </c>
      <c r="M11" s="300">
        <f t="shared" ref="M11" si="17">IFERROR(ROUND(J11/$O$13,0),0)</f>
        <v>0</v>
      </c>
      <c r="N11" s="301">
        <f t="shared" si="5"/>
        <v>0</v>
      </c>
      <c r="O11" s="302">
        <f>IFERROR(SUMPRODUCT('資料-迎擊'!Y:Y,'資料-迎擊'!AA:AA)/P$10,0)</f>
        <v>0.22155688622754491</v>
      </c>
      <c r="P11" s="300">
        <f>SUM('資料-迎擊'!AA:AA)</f>
        <v>51</v>
      </c>
      <c r="R11" s="204" t="s">
        <v>10</v>
      </c>
      <c r="S11" s="96">
        <v>30</v>
      </c>
      <c r="T11" s="60" t="s">
        <v>1</v>
      </c>
      <c r="U11" s="16">
        <f>VLOOKUP(S11,DATA_IO,7)+VLOOKUP(S12,DATA_IO,7)</f>
        <v>23</v>
      </c>
      <c r="V11" s="103" t="str">
        <f t="shared" si="12"/>
        <v/>
      </c>
      <c r="W11" s="53" t="str">
        <f t="shared" si="13"/>
        <v/>
      </c>
      <c r="X11" s="208" t="s">
        <v>7</v>
      </c>
      <c r="Y11" s="96">
        <v>30</v>
      </c>
      <c r="Z11" s="60" t="s">
        <v>1</v>
      </c>
      <c r="AA11" s="67"/>
      <c r="AB11" s="16">
        <f>VLOOKUP(Y11,DATA_IO,7)+VLOOKUP(Y12,DATA_IO,7)</f>
        <v>23</v>
      </c>
      <c r="AC11" s="103" t="str">
        <f t="shared" si="14"/>
        <v/>
      </c>
      <c r="AD11" s="67" t="str">
        <f t="shared" si="15"/>
        <v/>
      </c>
      <c r="AE11" s="70"/>
    </row>
    <row r="12" spans="1:31" x14ac:dyDescent="0.25">
      <c r="A12" s="199" t="s">
        <v>6</v>
      </c>
      <c r="B12" s="54" t="s">
        <v>109</v>
      </c>
      <c r="C12" s="20">
        <f t="shared" ref="C12:J13" si="18">SUM(C2,C4,C6,C8,C10)</f>
        <v>7402</v>
      </c>
      <c r="D12" s="159">
        <f t="shared" si="18"/>
        <v>0</v>
      </c>
      <c r="E12" s="25">
        <f t="shared" si="18"/>
        <v>22880</v>
      </c>
      <c r="F12" s="25">
        <f t="shared" si="18"/>
        <v>22880</v>
      </c>
      <c r="G12" s="257">
        <f t="shared" si="18"/>
        <v>7402</v>
      </c>
      <c r="H12" s="257">
        <f t="shared" si="18"/>
        <v>27</v>
      </c>
      <c r="I12" s="258">
        <f>G12+G13*IO_EXCHANGE_BIG_TO_SMALL</f>
        <v>34426</v>
      </c>
      <c r="J12" s="78">
        <f t="shared" si="18"/>
        <v>0</v>
      </c>
      <c r="K12" s="62">
        <f>IF(E12/F12 &gt; 1,100%,E12/F12)</f>
        <v>1</v>
      </c>
      <c r="L12" s="200">
        <f>MAX(SUM(L2,L4,L6,L8,L10),SUM(L3,L5,L7,L9,L11),L14,L15,L16)</f>
        <v>0</v>
      </c>
      <c r="M12" s="200">
        <f>MAX(SUM(M2,M4,M6,M8,M10),SUM(M3,M5,M7,M9,M11),L14,L15,L16)</f>
        <v>0</v>
      </c>
      <c r="N12" s="210">
        <f>MAX(SUM(N2,N4,N6,N8,N10),SUM(N3,N5,N7,N9,N11),N14,N15,N16)</f>
        <v>0</v>
      </c>
      <c r="O12" s="13">
        <f>(O2*P2+O4*P4+O6*P6+O8*P8+O10*P10) / P$12</f>
        <v>3.5138391403451643</v>
      </c>
      <c r="P12" s="196">
        <f>SUM(P2,P4,P6,P8,P10)</f>
        <v>3071</v>
      </c>
      <c r="R12" s="204"/>
      <c r="S12" s="96">
        <v>30</v>
      </c>
      <c r="T12" s="60" t="s">
        <v>0</v>
      </c>
      <c r="U12" s="16">
        <f>VLOOKUP(S11,DATA_IO,8)+VLOOKUP(S12,DATA_IO,8)</f>
        <v>23</v>
      </c>
      <c r="V12" s="103" t="str">
        <f t="shared" si="12"/>
        <v/>
      </c>
      <c r="W12" s="53" t="str">
        <f t="shared" si="13"/>
        <v/>
      </c>
      <c r="X12" s="208"/>
      <c r="Y12" s="96">
        <v>30</v>
      </c>
      <c r="Z12" s="60" t="s">
        <v>0</v>
      </c>
      <c r="AA12" s="67"/>
      <c r="AB12" s="16">
        <f>VLOOKUP(Y11,DATA_IO,8)+VLOOKUP(Y12,DATA_IO,8)</f>
        <v>23</v>
      </c>
      <c r="AC12" s="103" t="str">
        <f t="shared" si="14"/>
        <v/>
      </c>
      <c r="AD12" s="67" t="str">
        <f t="shared" si="15"/>
        <v/>
      </c>
      <c r="AE12" s="70"/>
    </row>
    <row r="13" spans="1:31" x14ac:dyDescent="0.25">
      <c r="A13" s="199"/>
      <c r="B13" s="54" t="s">
        <v>108</v>
      </c>
      <c r="C13" s="20">
        <f t="shared" si="18"/>
        <v>9008</v>
      </c>
      <c r="D13" s="159">
        <f t="shared" si="18"/>
        <v>0</v>
      </c>
      <c r="E13" s="25">
        <f t="shared" si="18"/>
        <v>3200</v>
      </c>
      <c r="F13" s="25">
        <f t="shared" si="18"/>
        <v>3200</v>
      </c>
      <c r="G13" s="257">
        <f t="shared" si="18"/>
        <v>9008</v>
      </c>
      <c r="H13" s="257">
        <f t="shared" si="18"/>
        <v>42</v>
      </c>
      <c r="I13" s="258">
        <f>G13+G12*IO_EXCHANGE_SMALL_TO_BIG</f>
        <v>10241.666666666666</v>
      </c>
      <c r="J13" s="78">
        <f t="shared" si="18"/>
        <v>0</v>
      </c>
      <c r="K13" s="62">
        <f>IF(E13/F13 &gt; 1,100%,E13/F13)</f>
        <v>1</v>
      </c>
      <c r="L13" s="200"/>
      <c r="M13" s="200"/>
      <c r="N13" s="210"/>
      <c r="O13" s="13">
        <f>(O3*P3+O5*P5+O7*P7+O9*P9+O11*P11) / P$13</f>
        <v>0.22155688622754491</v>
      </c>
      <c r="P13" s="196">
        <f>SUM(P3,P5,P7,P9,P11)</f>
        <v>51</v>
      </c>
      <c r="R13" s="203" t="s">
        <v>5</v>
      </c>
      <c r="S13" s="97">
        <v>30</v>
      </c>
      <c r="T13" s="59" t="s">
        <v>1</v>
      </c>
      <c r="U13" s="17">
        <f>VLOOKUP(S13,DATA_IO,7)+VLOOKUP(S14,DATA_IO,7)</f>
        <v>23</v>
      </c>
      <c r="V13" s="104" t="str">
        <f t="shared" si="12"/>
        <v/>
      </c>
      <c r="W13" s="52" t="str">
        <f t="shared" si="13"/>
        <v/>
      </c>
      <c r="X13" s="209" t="s">
        <v>4</v>
      </c>
      <c r="Y13" s="97">
        <v>30</v>
      </c>
      <c r="Z13" s="59" t="s">
        <v>1</v>
      </c>
      <c r="AA13" s="68"/>
      <c r="AB13" s="17">
        <f>VLOOKUP(Y13,DATA_IO,7)+VLOOKUP(Y14,DATA_IO,7)</f>
        <v>23</v>
      </c>
      <c r="AC13" s="104" t="str">
        <f t="shared" si="14"/>
        <v/>
      </c>
      <c r="AD13" s="68" t="str">
        <f t="shared" si="15"/>
        <v/>
      </c>
      <c r="AE13" s="70"/>
    </row>
    <row r="14" spans="1:31" x14ac:dyDescent="0.25">
      <c r="A14" s="199"/>
      <c r="B14" s="54" t="s">
        <v>119</v>
      </c>
      <c r="C14" s="80">
        <v>5847</v>
      </c>
      <c r="D14" s="159">
        <f>SUM(VLOOKUP($S$9,DATA_IO,4,TRUE),VLOOKUP($S$10,DATA_IO,4,TRUE),VLOOKUP($S$11,DATA_IO,4,TRUE),VLOOKUP($S$12,DATA_IO,4,TRUE),VLOOKUP($S$13,DATA_IO,4,TRUE),VLOOKUP($S$14,DATA_IO,4,TRUE),VLOOKUP($S$15,DATA_IO,4,TRUE),VLOOKUP($S$16,DATA_IO,4,TRUE),VLOOKUP($Y$9,DATA_IO,4,TRUE),VLOOKUP($Y$10,DATA_IO,4,TRUE),VLOOKUP($Y$11,DATA_IO,4,TRUE),VLOOKUP($Y$12,DATA_IO,4,TRUE),VLOOKUP($Y$13,DATA_IO,4,TRUE),VLOOKUP($Y$14,DATA_IO,4,TRUE),VLOOKUP($Y$15,DATA_IO,4,TRUE),VLOOKUP($Y$16,DATA_IO,4,TRUE))</f>
        <v>0</v>
      </c>
      <c r="E14" s="25">
        <f>F14-J14</f>
        <v>10400</v>
      </c>
      <c r="F14" s="25">
        <f>'資料-迎擊'!$AP$3*16</f>
        <v>10400</v>
      </c>
      <c r="G14" s="257">
        <f>IF(D14-C14 &lt;= 0,ABS(D14-C14),"")</f>
        <v>5847</v>
      </c>
      <c r="H14" s="257"/>
      <c r="I14" s="258"/>
      <c r="J14" s="78">
        <f>IF(D14-C14 &lt; 0,0,D14-C14)</f>
        <v>0</v>
      </c>
      <c r="K14" s="62">
        <f>IF(E14/F14 &gt; 1,100%,E14/F14)</f>
        <v>1</v>
      </c>
      <c r="L14" s="200">
        <f>IFERROR(ROUND(J14/O14,0),0)</f>
        <v>0</v>
      </c>
      <c r="M14" s="200"/>
      <c r="N14" s="2">
        <f>L14/(WINGS_RECOVER_NUM/WINGS_CONSUME_IO)*WINGS_RECOVER_DIAMS</f>
        <v>0</v>
      </c>
      <c r="O14" s="13">
        <f>IFERROR(SUMPRODUCT('資料-迎擊'!AE:AE,'資料-迎擊'!AK:AK)/P$14,"")</f>
        <v>1.6862745098039216</v>
      </c>
      <c r="P14" s="200">
        <f>SUM('資料-迎擊'!AK:AK)</f>
        <v>51</v>
      </c>
      <c r="R14" s="203"/>
      <c r="S14" s="97">
        <v>30</v>
      </c>
      <c r="T14" s="59" t="s">
        <v>0</v>
      </c>
      <c r="U14" s="17">
        <f>VLOOKUP(S13,DATA_IO,8)+VLOOKUP(S14,DATA_IO,8)</f>
        <v>23</v>
      </c>
      <c r="V14" s="104" t="str">
        <f t="shared" si="12"/>
        <v/>
      </c>
      <c r="W14" s="52" t="str">
        <f t="shared" si="13"/>
        <v/>
      </c>
      <c r="X14" s="209"/>
      <c r="Y14" s="97">
        <v>30</v>
      </c>
      <c r="Z14" s="59" t="s">
        <v>0</v>
      </c>
      <c r="AA14" s="68"/>
      <c r="AB14" s="17">
        <f>VLOOKUP(Y13,DATA_IO,8)+VLOOKUP(Y14,DATA_IO,8)</f>
        <v>23</v>
      </c>
      <c r="AC14" s="104" t="str">
        <f t="shared" si="14"/>
        <v/>
      </c>
      <c r="AD14" s="68" t="str">
        <f t="shared" si="15"/>
        <v/>
      </c>
      <c r="AE14" s="70"/>
    </row>
    <row r="15" spans="1:31" x14ac:dyDescent="0.25">
      <c r="A15" s="199"/>
      <c r="B15" s="54" t="s">
        <v>120</v>
      </c>
      <c r="C15" s="80">
        <v>8436</v>
      </c>
      <c r="D15" s="159">
        <f>SUM(VLOOKUP($S$9,DATA_IO,3,TRUE),VLOOKUP($S$10,DATA_IO,3,TRUE),VLOOKUP($S$11,DATA_IO,3,TRUE),VLOOKUP($S$12,DATA_IO,3,TRUE),VLOOKUP($S$13,DATA_IO,3,TRUE),VLOOKUP($S$14,DATA_IO,3,TRUE),VLOOKUP($S$15,DATA_IO,3,TRUE),VLOOKUP($S$16,DATA_IO,3,TRUE),VLOOKUP($Y$9,DATA_IO,3,TRUE),VLOOKUP($Y$10,DATA_IO,3,TRUE),VLOOKUP($Y$11,DATA_IO,3,TRUE),VLOOKUP($Y$12,DATA_IO,3,TRUE),VLOOKUP($Y$13,DATA_IO,3,TRUE),VLOOKUP($Y$14,DATA_IO,3,TRUE),VLOOKUP($Y$15,DATA_IO,3,TRUE),VLOOKUP($Y$16,DATA_IO,3,TRUE))</f>
        <v>0</v>
      </c>
      <c r="E15" s="25">
        <f>F15-J15</f>
        <v>11440</v>
      </c>
      <c r="F15" s="25">
        <f>'資料-迎擊'!$AO$3*16</f>
        <v>11440</v>
      </c>
      <c r="G15" s="257">
        <f>IF(D15-C15 &lt;= 0,ABS(D15-C15),"")</f>
        <v>8436</v>
      </c>
      <c r="H15" s="257"/>
      <c r="I15" s="258"/>
      <c r="J15" s="78">
        <f>IF(D15-C15 &lt; 0,0,D15-C15)</f>
        <v>0</v>
      </c>
      <c r="K15" s="62">
        <f>IF(E15/F15 &gt; 1,100%,E15/F15)</f>
        <v>1</v>
      </c>
      <c r="L15" s="200">
        <f>IFERROR(ROUND(J15/O15,0),0)</f>
        <v>0</v>
      </c>
      <c r="M15" s="200"/>
      <c r="N15" s="2">
        <f>L15/(WINGS_RECOVER_NUM/WINGS_CONSUME_IO)*WINGS_RECOVER_DIAMS</f>
        <v>0</v>
      </c>
      <c r="O15" s="13">
        <f>IFERROR(SUMPRODUCT('資料-迎擊'!AG:AG,'資料-迎擊'!AK:AK)/P$14,"")</f>
        <v>1.9607843137254901</v>
      </c>
      <c r="P15" s="200"/>
      <c r="R15" s="202" t="s">
        <v>3</v>
      </c>
      <c r="S15" s="98">
        <v>30</v>
      </c>
      <c r="T15" s="24" t="s">
        <v>1</v>
      </c>
      <c r="U15" s="18">
        <f>VLOOKUP(S15,DATA_IO,7)+VLOOKUP(S16,DATA_IO,7)</f>
        <v>23</v>
      </c>
      <c r="V15" s="105" t="str">
        <f t="shared" si="12"/>
        <v/>
      </c>
      <c r="W15" s="51" t="str">
        <f t="shared" si="13"/>
        <v/>
      </c>
      <c r="X15" s="201" t="s">
        <v>2</v>
      </c>
      <c r="Y15" s="99">
        <v>30</v>
      </c>
      <c r="Z15" s="58" t="s">
        <v>1</v>
      </c>
      <c r="AA15" s="69"/>
      <c r="AB15" s="19">
        <f>VLOOKUP(Y15,DATA_IO,7)+VLOOKUP(Y16,DATA_IO,7)</f>
        <v>23</v>
      </c>
      <c r="AC15" s="106" t="str">
        <f t="shared" si="14"/>
        <v/>
      </c>
      <c r="AD15" s="69" t="str">
        <f t="shared" si="15"/>
        <v/>
      </c>
      <c r="AE15" s="70"/>
    </row>
    <row r="16" spans="1:31" x14ac:dyDescent="0.25">
      <c r="A16" s="199"/>
      <c r="B16" s="54" t="s">
        <v>121</v>
      </c>
      <c r="C16" s="80">
        <v>73442</v>
      </c>
      <c r="D16" s="159">
        <f>SUM(VLOOKUP($S$9,DATA_IO,2,TRUE),VLOOKUP($S$10,DATA_IO,2,TRUE),VLOOKUP($S$11,DATA_IO,2,TRUE),VLOOKUP($S$12,DATA_IO,2,TRUE),VLOOKUP($S$13,DATA_IO,2,TRUE),VLOOKUP($S$14,DATA_IO,2,TRUE),VLOOKUP($S$15,DATA_IO,2,TRUE),VLOOKUP($S$16,DATA_IO,2,TRUE),VLOOKUP($Y$9,DATA_IO,2,TRUE),VLOOKUP($Y$10,DATA_IO,2,TRUE),VLOOKUP($Y$11,DATA_IO,2,TRUE),VLOOKUP($Y$12,DATA_IO,2,TRUE),VLOOKUP($Y$13,DATA_IO,2,TRUE),VLOOKUP($Y$14,DATA_IO,2,TRUE),VLOOKUP($Y$15,DATA_IO,2,TRUE),VLOOKUP($Y$16,DATA_IO,2,TRUE))</f>
        <v>0</v>
      </c>
      <c r="E16" s="25">
        <f>F16-J16</f>
        <v>38080</v>
      </c>
      <c r="F16" s="25">
        <f>'資料-迎擊'!$AN$3*16</f>
        <v>38080</v>
      </c>
      <c r="G16" s="257">
        <f>IF(D16-C16 &lt;= 0,ABS(D16-C16),"")</f>
        <v>73442</v>
      </c>
      <c r="H16" s="257"/>
      <c r="I16" s="258"/>
      <c r="J16" s="78">
        <f>IF(D16-C16 &lt; 0,0,D16-C16)</f>
        <v>0</v>
      </c>
      <c r="K16" s="62">
        <f>IF(E16/F16 &gt; 1,100%,E16/F16)</f>
        <v>1</v>
      </c>
      <c r="L16" s="200">
        <f>IFERROR(ROUND(J16/O16,0),0)</f>
        <v>0</v>
      </c>
      <c r="M16" s="200"/>
      <c r="N16" s="2">
        <f>M16/(WINGS_RECOVER_NUM/WINGS_CONSUME_IO)*WINGS_RECOVER_DIAMS</f>
        <v>0</v>
      </c>
      <c r="O16" s="13">
        <f>IFERROR(SUMPRODUCT('資料-迎擊'!AI:AI,'資料-迎擊'!AK:AK)/P$14,"")</f>
        <v>12.254901960784315</v>
      </c>
      <c r="P16" s="200"/>
      <c r="R16" s="202"/>
      <c r="S16" s="98">
        <v>30</v>
      </c>
      <c r="T16" s="24" t="s">
        <v>0</v>
      </c>
      <c r="U16" s="18">
        <f>VLOOKUP(S15,DATA_IO,8)+VLOOKUP(S16,DATA_IO,8)</f>
        <v>23</v>
      </c>
      <c r="V16" s="105" t="str">
        <f t="shared" si="12"/>
        <v/>
      </c>
      <c r="W16" s="51" t="str">
        <f t="shared" si="13"/>
        <v/>
      </c>
      <c r="X16" s="201"/>
      <c r="Y16" s="99">
        <v>30</v>
      </c>
      <c r="Z16" s="58" t="s">
        <v>0</v>
      </c>
      <c r="AA16" s="69"/>
      <c r="AB16" s="19">
        <f>VLOOKUP(Y15,DATA_IO,8)+VLOOKUP(Y16,DATA_IO,8)</f>
        <v>23</v>
      </c>
      <c r="AC16" s="106" t="str">
        <f t="shared" si="14"/>
        <v/>
      </c>
      <c r="AD16" s="69" t="str">
        <f t="shared" si="15"/>
        <v/>
      </c>
    </row>
  </sheetData>
  <mergeCells count="22">
    <mergeCell ref="T8:U8"/>
    <mergeCell ref="X11:X12"/>
    <mergeCell ref="X13:X14"/>
    <mergeCell ref="N12:N13"/>
    <mergeCell ref="M12:M13"/>
    <mergeCell ref="X15:X16"/>
    <mergeCell ref="R15:R16"/>
    <mergeCell ref="R13:R14"/>
    <mergeCell ref="R11:R12"/>
    <mergeCell ref="R9:R10"/>
    <mergeCell ref="X9:X10"/>
    <mergeCell ref="A2:A3"/>
    <mergeCell ref="A6:A7"/>
    <mergeCell ref="A10:A11"/>
    <mergeCell ref="A4:A5"/>
    <mergeCell ref="A8:A9"/>
    <mergeCell ref="A12:A16"/>
    <mergeCell ref="L14:M14"/>
    <mergeCell ref="L15:M15"/>
    <mergeCell ref="L16:M16"/>
    <mergeCell ref="P14:P16"/>
    <mergeCell ref="L12:L13"/>
  </mergeCells>
  <conditionalFormatting sqref="K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4:K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5:K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7:K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9:K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2:K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K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K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K5:K7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K9:K12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K12:K15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22"/>
  </cols>
  <sheetData>
    <row r="1" spans="1:58" x14ac:dyDescent="0.25">
      <c r="A1" s="2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N6" sqref="N6"/>
    </sheetView>
  </sheetViews>
  <sheetFormatPr defaultColWidth="8.5703125" defaultRowHeight="15" x14ac:dyDescent="0.25"/>
  <cols>
    <col min="1" max="1" width="8.5703125" style="70"/>
    <col min="2" max="6" width="6.85546875" style="70" customWidth="1"/>
    <col min="7" max="7" width="11.85546875" style="70" customWidth="1"/>
    <col min="8" max="8" width="2.85546875" style="70" customWidth="1"/>
    <col min="9" max="9" width="6.140625" style="70" customWidth="1"/>
    <col min="10" max="14" width="4.7109375" style="70" customWidth="1"/>
    <col min="15" max="15" width="7.28515625" style="78" customWidth="1"/>
    <col min="16" max="20" width="4.7109375" style="70" customWidth="1"/>
    <col min="21" max="23" width="23.85546875" style="70" customWidth="1"/>
    <col min="24" max="16384" width="8.5703125" style="70"/>
  </cols>
  <sheetData>
    <row r="1" spans="1:23" x14ac:dyDescent="0.25">
      <c r="A1" s="86"/>
      <c r="B1" s="86" t="s">
        <v>29</v>
      </c>
      <c r="C1" s="86" t="s">
        <v>36</v>
      </c>
      <c r="D1" s="86" t="s">
        <v>37</v>
      </c>
      <c r="E1" s="86" t="s">
        <v>38</v>
      </c>
      <c r="F1" s="86" t="s">
        <v>39</v>
      </c>
      <c r="G1" s="86" t="s">
        <v>32</v>
      </c>
      <c r="I1" s="86"/>
      <c r="J1" s="217" t="s">
        <v>53</v>
      </c>
      <c r="K1" s="228" t="s">
        <v>49</v>
      </c>
      <c r="L1" s="228"/>
      <c r="M1" s="228" t="s">
        <v>52</v>
      </c>
      <c r="N1" s="228"/>
      <c r="O1" s="227" t="s">
        <v>54</v>
      </c>
      <c r="P1" s="217" t="s">
        <v>29</v>
      </c>
      <c r="Q1" s="217"/>
      <c r="R1" s="217"/>
      <c r="S1" s="217"/>
      <c r="T1" s="217"/>
      <c r="U1" s="217" t="s">
        <v>28</v>
      </c>
      <c r="V1" s="217"/>
      <c r="W1" s="217"/>
    </row>
    <row r="2" spans="1:23" ht="15" customHeight="1" x14ac:dyDescent="0.25">
      <c r="A2" s="215" t="s">
        <v>34</v>
      </c>
      <c r="B2" s="216">
        <f>IF(HDRAG_HAS_REC_HBRUN,COUNTA(DATA_HDRAG_HBRUN),"")</f>
        <v>295</v>
      </c>
      <c r="C2" s="66">
        <f>IF(HDRAG_HAS_REC_HBRUN,COUNTIF(DATA_HDRAG_HBRUN,"=2"),"")</f>
        <v>203</v>
      </c>
      <c r="D2" s="66">
        <f>IF(HDRAG_HAS_REC_HBRUN,COUNTIF(DATA_HDRAG_HBRUN,"=3"),"")</f>
        <v>68</v>
      </c>
      <c r="E2" s="66">
        <f>IF(HDRAG_HAS_REC_HBRUN,COUNTIF(DATA_HDRAG_HBRUN,"=4"),"")</f>
        <v>13</v>
      </c>
      <c r="F2" s="66">
        <f>IF(HDRAG_HAS_REC_HBRUN,COUNTIF(DATA_HDRAG_HBRUN,"=5"),"")</f>
        <v>11</v>
      </c>
      <c r="G2" s="226">
        <f>IF(HDRAG_HAS_REC_HBRUN,AVERAGE(DATA_HDRAG_HBRUN),"")</f>
        <v>2.4305084745762713</v>
      </c>
      <c r="I2" s="86"/>
      <c r="J2" s="217"/>
      <c r="K2" s="49" t="s">
        <v>50</v>
      </c>
      <c r="L2" s="86" t="s">
        <v>27</v>
      </c>
      <c r="M2" s="86" t="s">
        <v>51</v>
      </c>
      <c r="N2" s="123" t="s">
        <v>27</v>
      </c>
      <c r="O2" s="227"/>
      <c r="P2" s="86">
        <v>2</v>
      </c>
      <c r="Q2" s="86">
        <v>3</v>
      </c>
      <c r="R2" s="86">
        <v>4</v>
      </c>
      <c r="S2" s="86">
        <v>5</v>
      </c>
      <c r="T2" s="86" t="s">
        <v>45</v>
      </c>
      <c r="U2" s="86" t="s">
        <v>52</v>
      </c>
      <c r="V2" s="86" t="s">
        <v>49</v>
      </c>
      <c r="W2" s="86" t="s">
        <v>55</v>
      </c>
    </row>
    <row r="3" spans="1:23" ht="15" customHeight="1" x14ac:dyDescent="0.25">
      <c r="A3" s="215"/>
      <c r="B3" s="216"/>
      <c r="C3" s="115">
        <f>IF(HDRAG_HAS_REC_HBRUN,C2/$B2,"")</f>
        <v>0.68813559322033901</v>
      </c>
      <c r="D3" s="115">
        <f>IF(HDRAG_HAS_REC_HBRUN,D2/$B2,"")</f>
        <v>0.23050847457627119</v>
      </c>
      <c r="E3" s="115">
        <f>IF(HDRAG_HAS_REC_HBRUN,E2/$B2,"")</f>
        <v>4.4067796610169491E-2</v>
      </c>
      <c r="F3" s="115">
        <f>IF(HDRAG_HAS_REC_HBRUN,F2/$B2,"")</f>
        <v>3.7288135593220341E-2</v>
      </c>
      <c r="G3" s="226"/>
      <c r="I3" s="81" t="s">
        <v>34</v>
      </c>
      <c r="J3" s="184">
        <v>414</v>
      </c>
      <c r="K3" s="47">
        <v>30</v>
      </c>
      <c r="L3" s="47">
        <f>IF(HDRAG_HAS_REC_HBRUN,INDEX(DATA_HDRAGS_BUILDING,K3 + 1),"")</f>
        <v>0</v>
      </c>
      <c r="M3" s="47">
        <v>4</v>
      </c>
      <c r="N3" s="47">
        <f>IF(HDRAG_HAS_REC_HBRUN,INDEX(DATA_HDRAGS_DRAGON,IF(ISBLANK(M3),1,M3 + 2)),"")</f>
        <v>0</v>
      </c>
      <c r="O3" s="78">
        <f>IFERROR(IF(L3+N3=0,0,L3+N3-J3),"")</f>
        <v>0</v>
      </c>
      <c r="P3" s="47" t="str">
        <f>IFERROR(IF($O3=0,"",_xlfn.CEILING.MATH(($O3/C17)*D15)),"")</f>
        <v/>
      </c>
      <c r="Q3" s="47" t="str">
        <f>IFERROR(IF($O3=0,"",_xlfn.CEILING.MATH(($O3/C17)*#REF!)),"")</f>
        <v/>
      </c>
      <c r="R3" s="47" t="str">
        <f>IFERROR(IF($O3=0,"",_xlfn.CEILING.MATH(($O3/C17)*D16)),"")</f>
        <v/>
      </c>
      <c r="S3" s="47" t="str">
        <f>IFERROR(IF($O3=0,"",_xlfn.CEILING.MATH(($O3/C17)*#REF!)),"")</f>
        <v/>
      </c>
      <c r="T3" s="47" t="str">
        <f>IF(AND(HDRAG_HAS_REC_HBRUN,O3&gt;0),SUM(P3:S3),"")</f>
        <v/>
      </c>
      <c r="U3" s="62">
        <f>IFERROR(IF(N3=0,100%,(HDRAGS_MAX_DRAGON - N3)/HDRAGS_MAX_DRAGON),"")</f>
        <v>1</v>
      </c>
      <c r="V3" s="62">
        <f>IFERROR(IF(L3=0,100%,(HDRAGS_MAX_BUILDING - L3)/HDRAGS_MAX_BUILDING),"")</f>
        <v>1</v>
      </c>
      <c r="W3" s="62">
        <f>IFERROR(IF(O3=0,100%,(HDRAGS_MAX_ALL - O3)/HDRAGS_MAX_ALL),"")</f>
        <v>1</v>
      </c>
    </row>
    <row r="4" spans="1:23" ht="15" customHeight="1" x14ac:dyDescent="0.25">
      <c r="A4" s="213" t="s">
        <v>46</v>
      </c>
      <c r="B4" s="214" t="str">
        <f>IF(HDRAG_HAS_REC_HMERC,COUNTA(DATA_HDRAG_HMERC),"")</f>
        <v/>
      </c>
      <c r="C4" s="116" t="str">
        <f>IF(HDRAG_HAS_REC_HMERC,COUNTIF(DATA_HDRAG_HMERC,"=2"),"")</f>
        <v/>
      </c>
      <c r="D4" s="116" t="str">
        <f>IF(HDRAG_HAS_REC_HMERC,COUNTIF(DATA_HDRAG_HMERC,"=3"),"")</f>
        <v/>
      </c>
      <c r="E4" s="116" t="str">
        <f>IF(HDRAG_HAS_REC_HMERC,COUNTIF(DATA_HDRAG_HMERC,"=4"),"")</f>
        <v/>
      </c>
      <c r="F4" s="116" t="str">
        <f>IF(HDRAG_HAS_REC_HMERC,COUNTIF(DATA_HDRAG_HMERC,"=5"),"")</f>
        <v/>
      </c>
      <c r="G4" s="225" t="str">
        <f>IF(HDRAG_HAS_REC_HMERC,AVERAGE(DATA_HDRAG_HMERC),"")</f>
        <v/>
      </c>
      <c r="I4" s="124" t="s">
        <v>46</v>
      </c>
      <c r="J4" s="184"/>
      <c r="K4" s="47"/>
      <c r="L4" s="47" t="str">
        <f>IF(HDRAG_HAS_REC_HMERC,INDEX(DATA_HDRAGS_BUILDING,K4 + 1),"")</f>
        <v/>
      </c>
      <c r="M4" s="47"/>
      <c r="N4" s="47" t="str">
        <f>IF(HDRAG_HAS_REC_HMERC,INDEX(DATA_HDRAGS_DRAGON,IF(ISBLANK(M4),1,M4 + 2)),"")</f>
        <v/>
      </c>
      <c r="O4" s="78" t="str">
        <f>IFERROR(IF(L4+N4=0,0,L4+N4-J4),"")</f>
        <v/>
      </c>
      <c r="P4" s="47" t="str">
        <f>IFERROR(IF($O4=0,"",_xlfn.CEILING.MATH(($O4/E17)*F15)),"")</f>
        <v/>
      </c>
      <c r="Q4" s="47" t="str">
        <f>IFERROR(IF($O4=0,"",_xlfn.CEILING.MATH(($O4/E17)*#REF!)),"")</f>
        <v/>
      </c>
      <c r="R4" s="47" t="str">
        <f>IFERROR(IF($O4=0,"",_xlfn.CEILING.MATH(($O4/E17)*F16)),"")</f>
        <v/>
      </c>
      <c r="S4" s="47" t="str">
        <f>IFERROR(IF($O4=0,"",_xlfn.CEILING.MATH(($O4/E17)*#REF!)),"")</f>
        <v/>
      </c>
      <c r="T4" s="47" t="str">
        <f>IF(AND(HDRAG_HAS_REC_HMERC,O4&gt;0),SUM(P4:S4),"")</f>
        <v/>
      </c>
      <c r="U4" s="62" t="str">
        <f>IFERROR(IF(N4=0,100%,(HDRAGS_MAX_DRAGON - N4)/HDRAGS_MAX_DRAGON),"")</f>
        <v/>
      </c>
      <c r="V4" s="62" t="str">
        <f>IFERROR(IF(L4=0,100%,(HDRAGS_MAX_BUILDING - L4)/HDRAGS_MAX_BUILDING),"")</f>
        <v/>
      </c>
      <c r="W4" s="62" t="str">
        <f>IFERROR(IF(O4=0,100%,(HDRAGS_MAX_ALL - O4)/HDRAGS_MAX_ALL),"")</f>
        <v/>
      </c>
    </row>
    <row r="5" spans="1:23" ht="15" customHeight="1" x14ac:dyDescent="0.25">
      <c r="A5" s="213"/>
      <c r="B5" s="214"/>
      <c r="C5" s="117" t="str">
        <f>IF(HDRAG_HAS_REC_HMERC,C4/$B4,"")</f>
        <v/>
      </c>
      <c r="D5" s="117" t="str">
        <f>IF(HDRAG_HAS_REC_HMERC,D4/$B4,"")</f>
        <v/>
      </c>
      <c r="E5" s="117" t="str">
        <f>IF(HDRAG_HAS_REC_HMERC,E4/$B4,"")</f>
        <v/>
      </c>
      <c r="F5" s="117" t="str">
        <f>IF(HDRAG_HAS_REC_HMERC,F4/$B4,"")</f>
        <v/>
      </c>
      <c r="G5" s="225"/>
      <c r="I5" s="125" t="s">
        <v>35</v>
      </c>
      <c r="J5" s="184">
        <v>76</v>
      </c>
      <c r="K5" s="47">
        <v>30</v>
      </c>
      <c r="L5" s="47">
        <f>IF(HDRAG_HAS_REC_HMID,INDEX(DATA_HDRAGS_BUILDING,K5 + 1),"")</f>
        <v>0</v>
      </c>
      <c r="M5" s="47">
        <v>4</v>
      </c>
      <c r="N5" s="47">
        <f>IF(HDRAG_HAS_REC_HMID,INDEX(DATA_HDRAGS_DRAGON,IF(ISBLANK(M5),1,M5 + 2)),"")</f>
        <v>0</v>
      </c>
      <c r="O5" s="78">
        <f>IFERROR(IF(L5+N5=0,0,L5+N5-J5),"")</f>
        <v>0</v>
      </c>
      <c r="P5" s="47" t="str">
        <f>IF($O5=0,"",_xlfn.CEILING.MATH(($O5/G17)*C22))</f>
        <v/>
      </c>
      <c r="Q5" s="47" t="str">
        <f>IF($O5=0,"",_xlfn.CEILING.MATH(($O5/G17)*#REF!))</f>
        <v/>
      </c>
      <c r="R5" s="47" t="str">
        <f>IF($O5=0,"",_xlfn.CEILING.MATH(($O5/G17)*C23))</f>
        <v/>
      </c>
      <c r="S5" s="47" t="str">
        <f>IF($O5=0,"",_xlfn.CEILING.MATH(($O5/G17)*#REF!))</f>
        <v/>
      </c>
      <c r="T5" s="47" t="str">
        <f>IF(AND(HDRAG_HAS_REC_HMID,O5&gt;0),SUM(P5:S5),"")</f>
        <v/>
      </c>
      <c r="U5" s="62">
        <f>IFERROR(IF(N5=0,100%,(HDRAGS_MAX_DRAGON - N5)/HDRAGS_MAX_DRAGON),"")</f>
        <v>1</v>
      </c>
      <c r="V5" s="62">
        <f>IFERROR(IF(L5=0,100%,(HDRAGS_MAX_BUILDING - L5)/HDRAGS_MAX_BUILDING),"")</f>
        <v>1</v>
      </c>
      <c r="W5" s="62">
        <f>IFERROR(IF(O5=0,100%,(HDRAGS_MAX_ALL - O5)/HDRAGS_MAX_ALL),"")</f>
        <v>1</v>
      </c>
    </row>
    <row r="6" spans="1:23" ht="15" customHeight="1" x14ac:dyDescent="0.25">
      <c r="A6" s="211" t="s">
        <v>35</v>
      </c>
      <c r="B6" s="212">
        <f>IF(HDRAG_HAS_REC_HMID,COUNTA(DATA_HDRAG_HMID),"")</f>
        <v>799</v>
      </c>
      <c r="C6" s="118">
        <f>IF(HDRAG_HAS_REC_HMID,COUNTIF(DATA_HDRAG_HMID,"=2"),"")</f>
        <v>518</v>
      </c>
      <c r="D6" s="118">
        <f>IF(HDRAG_HAS_REC_HMID,COUNTIF(DATA_HDRAG_HMID,"=3"),"")</f>
        <v>170</v>
      </c>
      <c r="E6" s="118">
        <f>IF(HDRAG_HAS_REC_HMID,COUNTIF(DATA_HDRAG_HMID,"=4"),"")</f>
        <v>62</v>
      </c>
      <c r="F6" s="118">
        <f>IF(HDRAG_HAS_REC_HMID,COUNTIF(DATA_HDRAG_HMID,"=5"),"")</f>
        <v>49</v>
      </c>
      <c r="G6" s="224">
        <f>IF(HDRAG_HAS_REC_HMID,AVERAGE(DATA_HDRAG_HMID),"")</f>
        <v>2.5519399249061325</v>
      </c>
      <c r="I6" s="126" t="s">
        <v>47</v>
      </c>
      <c r="J6" s="184"/>
      <c r="K6" s="47"/>
      <c r="L6" s="47" t="str">
        <f>IF(HDRAG_HAS_REC_HJUP,INDEX(DATA_HDRAGS_BUILDING,K6 + 1),"")</f>
        <v/>
      </c>
      <c r="M6" s="47"/>
      <c r="N6" s="47" t="str">
        <f>IF(HDRAG_HAS_REC_HJUP,INDEX(DATA_HDRAGS_DRAGON,IF(ISBLANK(M6),1,M6 + 2)),"")</f>
        <v/>
      </c>
      <c r="O6" s="78" t="str">
        <f>IFERROR(IF(L6+N6=0,0,L6+N6-J6),"")</f>
        <v/>
      </c>
      <c r="P6" s="47" t="str">
        <f>IFERROR(IF($O6=0,"",_xlfn.CEILING.MATH(($O6/D24)*E22)),"")</f>
        <v/>
      </c>
      <c r="Q6" s="47" t="str">
        <f>IFERROR(IF($O6=0,"",_xlfn.CEILING.MATH(($O6/D24)*#REF!)),"")</f>
        <v/>
      </c>
      <c r="R6" s="47" t="str">
        <f>IFERROR(IF($O6=0,"",_xlfn.CEILING.MATH(($O6/D24)*E23)),"")</f>
        <v/>
      </c>
      <c r="S6" s="47" t="str">
        <f>IFERROR(IF($O6=0,"",_xlfn.CEILING.MATH(($O6/D24)*#REF!)),"")</f>
        <v/>
      </c>
      <c r="T6" s="47" t="str">
        <f>IF(AND(HDRAG_HAS_REC_HJUP,O6&gt;0),SUM(P6:S6),"")</f>
        <v/>
      </c>
      <c r="U6" s="62" t="str">
        <f>IFERROR(IF(N6=0,100%,(HDRAGS_MAX_DRAGON - N6)/HDRAGS_MAX_DRAGON),"")</f>
        <v/>
      </c>
      <c r="V6" s="62" t="str">
        <f>IFERROR(IF(L6=0,100%,(HDRAGS_MAX_BUILDING - L6)/HDRAGS_MAX_BUILDING),"")</f>
        <v/>
      </c>
      <c r="W6" s="62" t="str">
        <f>IFERROR(IF(O6=0,100%,(HDRAGS_MAX_ALL - O6)/HDRAGS_MAX_ALL),"")</f>
        <v/>
      </c>
    </row>
    <row r="7" spans="1:23" ht="15" customHeight="1" x14ac:dyDescent="0.25">
      <c r="A7" s="211"/>
      <c r="B7" s="212"/>
      <c r="C7" s="119">
        <f>IF(HDRAG_HAS_REC_HMID,C6/$B6,"")</f>
        <v>0.6483103879849812</v>
      </c>
      <c r="D7" s="119">
        <f>IF(HDRAG_HAS_REC_HMID,D6/$B6,"")</f>
        <v>0.21276595744680851</v>
      </c>
      <c r="E7" s="119">
        <f>IF(HDRAG_HAS_REC_HMID,E6/$B6,"")</f>
        <v>7.7596996245306638E-2</v>
      </c>
      <c r="F7" s="119">
        <f>IF(HDRAG_HAS_REC_HMID,F6/$B6,"")</f>
        <v>6.1326658322903627E-2</v>
      </c>
      <c r="G7" s="224"/>
      <c r="I7" s="85" t="s">
        <v>48</v>
      </c>
      <c r="J7" s="184"/>
      <c r="K7" s="47"/>
      <c r="L7" s="47" t="str">
        <f>IF(HDRAG_HAS_REC_HZOD,INDEX(DATA_HDRAGS_BUILDING,K7 + 1),"")</f>
        <v/>
      </c>
      <c r="M7" s="47"/>
      <c r="N7" s="47" t="str">
        <f>IF(HDRAG_HAS_REC_HZOD,INDEX(DATA_HDRAGS_DRAGON,IF(ISBLANK(M7),1,M7 + 2)),"")</f>
        <v/>
      </c>
      <c r="O7" s="78" t="str">
        <f>IFERROR(IF(L7+N7=0,0,L7+N7-J7),"")</f>
        <v/>
      </c>
      <c r="P7" s="47" t="str">
        <f>IFERROR(IF($O7=0,"",_xlfn.CEILING.MATH(($O7/F24)*G22)),"")</f>
        <v/>
      </c>
      <c r="Q7" s="47" t="str">
        <f>IFERROR(IF($O7=0,"",_xlfn.CEILING.MATH(($O7/F24)*#REF!)),"")</f>
        <v/>
      </c>
      <c r="R7" s="47" t="str">
        <f>IFERROR(IF($O7=0,"",_xlfn.CEILING.MATH(($O7/F24)*G23)),"")</f>
        <v/>
      </c>
      <c r="S7" s="47" t="str">
        <f>IFERROR(IF($O7=0,"",_xlfn.CEILING.MATH(($O7/F24)*#REF!)),"")</f>
        <v/>
      </c>
      <c r="T7" s="47" t="str">
        <f>IF(AND(HDRAG_HAS_REC_HZOD,O7&gt;0),SUM(P7:S7),"")</f>
        <v/>
      </c>
      <c r="U7" s="62" t="str">
        <f>IFERROR(IF(N7=0,100%,(HDRAGS_MAX_DRAGON - N7)/HDRAGS_MAX_DRAGON),"")</f>
        <v/>
      </c>
      <c r="V7" s="62" t="str">
        <f>IFERROR(IF(L7=0,100%,(HDRAGS_MAX_BUILDING - L7)/HDRAGS_MAX_BUILDING),"")</f>
        <v/>
      </c>
      <c r="W7" s="62" t="str">
        <f>IFERROR(IF(O7=0,100%,(HDRAGS_MAX_ALL - O7)/HDRAGS_MAX_ALL),"")</f>
        <v/>
      </c>
    </row>
    <row r="8" spans="1:23" ht="15" customHeight="1" x14ac:dyDescent="0.25">
      <c r="A8" s="220" t="s">
        <v>47</v>
      </c>
      <c r="B8" s="221" t="str">
        <f>IF(HDRAG_HAS_REC_HJUP,COUNTA(DATA_HDRAG_HJUP),"")</f>
        <v/>
      </c>
      <c r="C8" s="120" t="str">
        <f>IF(HDRAG_HAS_REC_HJUP,COUNTIF(DATA_HDRAG_HJUP,"=2"),"")</f>
        <v/>
      </c>
      <c r="D8" s="120" t="str">
        <f>IF(HDRAG_HAS_REC_HJUP,COUNTIF(DATA_HDRAG_HJUP,"=3"),"")</f>
        <v/>
      </c>
      <c r="E8" s="120" t="str">
        <f>IF(HDRAG_HAS_REC_HJUP,COUNTIF(DATA_HDRAG_HJUP,"=4"),"")</f>
        <v/>
      </c>
      <c r="F8" s="120" t="str">
        <f>IF(HDRAG_HAS_REC_HJUP,COUNTIF(DATA_HDRAG_HJUP,"=5"),"")</f>
        <v/>
      </c>
      <c r="G8" s="223" t="str">
        <f>IF(HDRAG_HAS_REC_HJUP,AVERAGE(DATA_HDRAG_HJUP),"")</f>
        <v/>
      </c>
    </row>
    <row r="9" spans="1:23" ht="15" customHeight="1" x14ac:dyDescent="0.25">
      <c r="A9" s="220"/>
      <c r="B9" s="221"/>
      <c r="C9" s="121" t="str">
        <f>IF(HDRAG_HAS_REC_HJUP,C8/$B8,"")</f>
        <v/>
      </c>
      <c r="D9" s="121" t="str">
        <f>IF(HDRAG_HAS_REC_HJUP,D8/$B8,"")</f>
        <v/>
      </c>
      <c r="E9" s="121" t="str">
        <f>IF(HDRAG_HAS_REC_HJUP,E8/$B8,"")</f>
        <v/>
      </c>
      <c r="F9" s="121" t="str">
        <f>IF(HDRAG_HAS_REC_HJUP,F8/$B8,"")</f>
        <v/>
      </c>
      <c r="G9" s="223"/>
    </row>
    <row r="10" spans="1:23" ht="15" customHeight="1" x14ac:dyDescent="0.25">
      <c r="A10" s="218" t="s">
        <v>48</v>
      </c>
      <c r="B10" s="219" t="str">
        <f>IF(HDRAG_HAS_REC_HZOD,COUNTA(DATA_HDRAG_HZOD),"")</f>
        <v/>
      </c>
      <c r="C10" s="69" t="str">
        <f>IF(HDRAG_HAS_REC_HZOD,COUNTIF(DATA_HDRAG_HZOD,"=2"),"")</f>
        <v/>
      </c>
      <c r="D10" s="69" t="str">
        <f>IF(HDRAG_HAS_REC_HZOD,COUNTIF(DATA_HDRAG_HZOD,"=3"),"")</f>
        <v/>
      </c>
      <c r="E10" s="69" t="str">
        <f>IF(HDRAG_HAS_REC_HZOD,COUNTIF(DATA_HDRAG_HZOD,"=4"),"")</f>
        <v/>
      </c>
      <c r="F10" s="69" t="str">
        <f>IF(HDRAG_HAS_REC_HZOD,COUNTIF(DATA_HDRAG_HZOD,"=5"),"")</f>
        <v/>
      </c>
      <c r="G10" s="222" t="str">
        <f>IF(HDRAG_HAS_REC_HZOD,AVERAGE(DATA_HDRAG_HZOD),"")</f>
        <v/>
      </c>
    </row>
    <row r="11" spans="1:23" ht="15" customHeight="1" x14ac:dyDescent="0.25">
      <c r="A11" s="218"/>
      <c r="B11" s="219"/>
      <c r="C11" s="122" t="str">
        <f>IF(HDRAG_HAS_REC_HZOD,C10/$B10,"")</f>
        <v/>
      </c>
      <c r="D11" s="122" t="str">
        <f>IF(HDRAG_HAS_REC_HZOD,D10/$B10,"")</f>
        <v/>
      </c>
      <c r="E11" s="122" t="str">
        <f>IF(HDRAG_HAS_REC_HZOD,E10/$B10,"")</f>
        <v/>
      </c>
      <c r="F11" s="122" t="str">
        <f>IF(HDRAG_HAS_REC_HZOD,F10/$B10,"")</f>
        <v/>
      </c>
      <c r="G11" s="222"/>
    </row>
    <row r="13" spans="1:23" x14ac:dyDescent="0.25">
      <c r="A13" s="23"/>
      <c r="B13" s="217" t="s">
        <v>40</v>
      </c>
      <c r="C13" s="217"/>
      <c r="D13" s="217"/>
      <c r="E13" s="217"/>
      <c r="F13" s="217"/>
      <c r="G13" s="217"/>
    </row>
    <row r="14" spans="1:23" x14ac:dyDescent="0.25">
      <c r="A14" s="23"/>
      <c r="B14" s="23"/>
      <c r="C14" s="86">
        <v>2</v>
      </c>
      <c r="D14" s="86">
        <v>3</v>
      </c>
      <c r="E14" s="86">
        <v>4</v>
      </c>
      <c r="F14" s="86">
        <v>5</v>
      </c>
      <c r="G14" s="86" t="s">
        <v>45</v>
      </c>
    </row>
    <row r="15" spans="1:23" ht="15.75" x14ac:dyDescent="0.25">
      <c r="A15" s="23"/>
      <c r="B15" s="81" t="s">
        <v>34</v>
      </c>
      <c r="C15" s="128">
        <f>IF(HDRAG_HAS_REC_HBRUN,_xlfn.CEILING.MATH((HDRAGS_MAX_DRAGON/$G2)*C3),"")</f>
        <v>138</v>
      </c>
      <c r="D15" s="128">
        <f>IF(HDRAG_HAS_REC_HBRUN,_xlfn.CEILING.MATH((HDRAGS_MAX_DRAGON/$G2)*D3),"")</f>
        <v>46</v>
      </c>
      <c r="E15" s="128">
        <f>IF(HDRAG_HAS_REC_HBRUN,_xlfn.CEILING.MATH((HDRAGS_MAX_DRAGON/$G2)*E3),"")</f>
        <v>9</v>
      </c>
      <c r="F15" s="128">
        <f>IF(HDRAG_HAS_REC_HBRUN,_xlfn.CEILING.MATH((HDRAGS_MAX_DRAGON/$G2)*F3),"")</f>
        <v>8</v>
      </c>
      <c r="G15" s="133">
        <f>IF(HDRAG_HAS_REC_HBRUN,SUM(C15:F15),"")</f>
        <v>201</v>
      </c>
    </row>
    <row r="16" spans="1:23" ht="15.75" x14ac:dyDescent="0.25">
      <c r="A16" s="23"/>
      <c r="B16" s="124" t="s">
        <v>46</v>
      </c>
      <c r="C16" s="129" t="str">
        <f>IF(HDRAG_HAS_REC_HMERC,_xlfn.CEILING.MATH((HDRAGS_MAX_DRAGON/$G4)*C5),"")</f>
        <v/>
      </c>
      <c r="D16" s="129" t="str">
        <f>IF(HDRAG_HAS_REC_HMERC,_xlfn.CEILING.MATH((HDRAGS_MAX_DRAGON/$G4)*D5),"")</f>
        <v/>
      </c>
      <c r="E16" s="129" t="str">
        <f>IF(HDRAG_HAS_REC_HMERC,_xlfn.CEILING.MATH((HDRAGS_MAX_DRAGON/$G4)*E5),"")</f>
        <v/>
      </c>
      <c r="F16" s="129" t="str">
        <f>IF(HDRAG_HAS_REC_HMERC,_xlfn.CEILING.MATH((HDRAGS_MAX_DRAGON/$G4)*F5),"")</f>
        <v/>
      </c>
      <c r="G16" s="134" t="str">
        <f>IF(HDRAG_HAS_REC_HMERC,SUM(C16:F16),"")</f>
        <v/>
      </c>
    </row>
    <row r="17" spans="1:7" ht="15.75" x14ac:dyDescent="0.25">
      <c r="A17" s="23"/>
      <c r="B17" s="125" t="s">
        <v>35</v>
      </c>
      <c r="C17" s="130">
        <f>IF(HDRAG_HAS_REC_HMID,_xlfn.CEILING.MATH((HDRAGS_MAX_DRAGON/$G6)*C7),"")</f>
        <v>124</v>
      </c>
      <c r="D17" s="130">
        <f>IF(HDRAG_HAS_REC_HMID,_xlfn.CEILING.MATH((HDRAGS_MAX_DRAGON/$G6)*D7),"")</f>
        <v>41</v>
      </c>
      <c r="E17" s="130">
        <f>IF(HDRAG_HAS_REC_HMID,_xlfn.CEILING.MATH((HDRAGS_MAX_DRAGON/$G6)*E7),"")</f>
        <v>15</v>
      </c>
      <c r="F17" s="130">
        <f>IF(HDRAG_HAS_REC_HMID,_xlfn.CEILING.MATH((HDRAGS_MAX_DRAGON/$G6)*F7),"")</f>
        <v>12</v>
      </c>
      <c r="G17" s="135">
        <f>IF(HDRAG_HAS_REC_HMID,SUM(C17:F17),"")</f>
        <v>192</v>
      </c>
    </row>
    <row r="18" spans="1:7" ht="15.75" x14ac:dyDescent="0.25">
      <c r="A18" s="23"/>
      <c r="B18" s="126" t="s">
        <v>47</v>
      </c>
      <c r="C18" s="131" t="str">
        <f>IF(HDRAG_HAS_REC_HJUP,_xlfn.CEILING.MATH((HDRAGS_MAX_DRAGON/$G8)*C9),"")</f>
        <v/>
      </c>
      <c r="D18" s="131" t="str">
        <f>IF(HDRAG_HAS_REC_HJUP,_xlfn.CEILING.MATH((HDRAGS_MAX_DRAGON/$G8)*D9),"")</f>
        <v/>
      </c>
      <c r="E18" s="131" t="str">
        <f>IF(HDRAG_HAS_REC_HJUP,_xlfn.CEILING.MATH((HDRAGS_MAX_DRAGON/$G8)*E9),"")</f>
        <v/>
      </c>
      <c r="F18" s="131" t="str">
        <f>IF(HDRAG_HAS_REC_HJUP,_xlfn.CEILING.MATH((HDRAGS_MAX_DRAGON/$G8)*F9),"")</f>
        <v/>
      </c>
      <c r="G18" s="136" t="str">
        <f>IF(HDRAG_HAS_REC_HJUP,SUM(C18:F18),"")</f>
        <v/>
      </c>
    </row>
    <row r="19" spans="1:7" ht="15.75" x14ac:dyDescent="0.25">
      <c r="A19" s="23"/>
      <c r="B19" s="85" t="s">
        <v>48</v>
      </c>
      <c r="C19" s="132" t="str">
        <f>IF(HDRAG_HAS_REC_HZOD,_xlfn.CEILING.MATH((HDRAGS_MAX_DRAGON/$G10)*C11),"")</f>
        <v/>
      </c>
      <c r="D19" s="132" t="str">
        <f>IF(HDRAG_HAS_REC_HZOD,_xlfn.CEILING.MATH((HDRAGS_MAX_DRAGON/$G10)*D11),"")</f>
        <v/>
      </c>
      <c r="E19" s="132" t="str">
        <f>IF(HDRAG_HAS_REC_HZOD,_xlfn.CEILING.MATH((HDRAGS_MAX_DRAGON/$G10)*E11),"")</f>
        <v/>
      </c>
      <c r="F19" s="132" t="str">
        <f>IF(HDRAG_HAS_REC_HZOD,_xlfn.CEILING.MATH((HDRAGS_MAX_DRAGON/$G10)*F11),"")</f>
        <v/>
      </c>
      <c r="G19" s="137" t="str">
        <f>IF(HDRAG_HAS_REC_HZOD,SUM(C19:F19),"")</f>
        <v/>
      </c>
    </row>
    <row r="20" spans="1:7" x14ac:dyDescent="0.25">
      <c r="A20" s="23"/>
      <c r="B20" s="217" t="s">
        <v>41</v>
      </c>
      <c r="C20" s="217"/>
      <c r="D20" s="217"/>
      <c r="E20" s="217"/>
      <c r="F20" s="217"/>
      <c r="G20" s="217"/>
    </row>
    <row r="21" spans="1:7" x14ac:dyDescent="0.25">
      <c r="A21" s="23"/>
      <c r="B21" s="23"/>
      <c r="C21" s="86">
        <v>2</v>
      </c>
      <c r="D21" s="86">
        <v>3</v>
      </c>
      <c r="E21" s="86">
        <v>4</v>
      </c>
      <c r="F21" s="86">
        <v>5</v>
      </c>
      <c r="G21" s="86" t="s">
        <v>45</v>
      </c>
    </row>
    <row r="22" spans="1:7" ht="15.75" x14ac:dyDescent="0.25">
      <c r="A22" s="23"/>
      <c r="B22" s="81" t="s">
        <v>34</v>
      </c>
      <c r="C22" s="128">
        <f>IF(HDRAG_HAS_REC_HBRUN,_xlfn.CEILING.MATH((HDRAGS_MAX_BUILDING/$G2)*C3),"")</f>
        <v>232</v>
      </c>
      <c r="D22" s="128">
        <f>IF(HDRAG_HAS_REC_HBRUN,_xlfn.CEILING.MATH((HDRAGS_MAX_BUILDING/$G2)*D3),"")</f>
        <v>78</v>
      </c>
      <c r="E22" s="128">
        <f>IF(HDRAG_HAS_REC_HBRUN,_xlfn.CEILING.MATH((HDRAGS_MAX_BUILDING/$G2)*E3),"")</f>
        <v>15</v>
      </c>
      <c r="F22" s="128">
        <f>IF(HDRAG_HAS_REC_HBRUN,_xlfn.CEILING.MATH((HDRAGS_MAX_BUILDING/$G2)*F3),"")</f>
        <v>13</v>
      </c>
      <c r="G22" s="133">
        <f>IF(HDRAG_HAS_REC_HBRUN,SUM(C22:F22),"")</f>
        <v>338</v>
      </c>
    </row>
    <row r="23" spans="1:7" ht="15.75" x14ac:dyDescent="0.25">
      <c r="A23" s="23"/>
      <c r="B23" s="124" t="s">
        <v>46</v>
      </c>
      <c r="C23" s="129" t="str">
        <f>IF(HDRAG_HAS_REC_HMERC,_xlfn.CEILING.MATH((HDRAGS_MAX_BUILDING/$G4)*C5),"")</f>
        <v/>
      </c>
      <c r="D23" s="129" t="str">
        <f>IF(HDRAG_HAS_REC_HMERC,_xlfn.CEILING.MATH((HDRAGS_MAX_BUILDING/$G4)*D5),"")</f>
        <v/>
      </c>
      <c r="E23" s="129" t="str">
        <f>IF(HDRAG_HAS_REC_HMERC,_xlfn.CEILING.MATH((HDRAGS_MAX_BUILDING/$G4)*E5),"")</f>
        <v/>
      </c>
      <c r="F23" s="129" t="str">
        <f>IF(HDRAG_HAS_REC_HMERC,_xlfn.CEILING.MATH((HDRAGS_MAX_BUILDING/$G4)*F5),"")</f>
        <v/>
      </c>
      <c r="G23" s="134" t="str">
        <f>IF(HDRAG_HAS_REC_HMERC,SUM(C23:F23),"")</f>
        <v/>
      </c>
    </row>
    <row r="24" spans="1:7" ht="15.75" x14ac:dyDescent="0.25">
      <c r="A24" s="23"/>
      <c r="B24" s="125" t="s">
        <v>35</v>
      </c>
      <c r="C24" s="130">
        <f>IF(HDRAG_HAS_REC_HMID,_xlfn.CEILING.MATH((HDRAGS_MAX_BUILDING/$G6)*C7),"")</f>
        <v>208</v>
      </c>
      <c r="D24" s="130">
        <f>IF(HDRAG_HAS_REC_HMID,_xlfn.CEILING.MATH((HDRAGS_MAX_BUILDING/$G6)*D7),"")</f>
        <v>69</v>
      </c>
      <c r="E24" s="130">
        <f>IF(HDRAG_HAS_REC_HMID,_xlfn.CEILING.MATH((HDRAGS_MAX_BUILDING/$G6)*E7),"")</f>
        <v>25</v>
      </c>
      <c r="F24" s="130">
        <f>IF(HDRAG_HAS_REC_HMID,_xlfn.CEILING.MATH((HDRAGS_MAX_BUILDING/$G6)*F7),"")</f>
        <v>20</v>
      </c>
      <c r="G24" s="135">
        <f>IF(HDRAG_HAS_REC_HMID,SUM(C24:F24),"")</f>
        <v>322</v>
      </c>
    </row>
    <row r="25" spans="1:7" ht="15.75" x14ac:dyDescent="0.25">
      <c r="A25" s="23"/>
      <c r="B25" s="126" t="s">
        <v>47</v>
      </c>
      <c r="C25" s="131" t="str">
        <f>IF(HDRAG_HAS_REC_HJUP,_xlfn.CEILING.MATH((HDRAGS_MAX_BUILDING/$G8)*C9),"")</f>
        <v/>
      </c>
      <c r="D25" s="131" t="str">
        <f>IF(HDRAG_HAS_REC_HJUP,_xlfn.CEILING.MATH((HDRAGS_MAX_BUILDING/$G8)*D9),"")</f>
        <v/>
      </c>
      <c r="E25" s="131" t="str">
        <f>IF(HDRAG_HAS_REC_HJUP,_xlfn.CEILING.MATH((HDRAGS_MAX_BUILDING/$G8)*E9),"")</f>
        <v/>
      </c>
      <c r="F25" s="131" t="str">
        <f>IF(HDRAG_HAS_REC_HJUP,_xlfn.CEILING.MATH((HDRAGS_MAX_BUILDING/$G8)*F9),"")</f>
        <v/>
      </c>
      <c r="G25" s="136" t="str">
        <f>IF(HDRAG_HAS_REC_HJUP,SUM(C25:F25),"")</f>
        <v/>
      </c>
    </row>
    <row r="26" spans="1:7" ht="15.75" x14ac:dyDescent="0.25">
      <c r="A26" s="23"/>
      <c r="B26" s="85" t="s">
        <v>48</v>
      </c>
      <c r="C26" s="132" t="str">
        <f>IF(HDRAG_HAS_REC_HZOD,_xlfn.CEILING.MATH((HDRAGS_MAX_BUILDING/$G10)*C11),"")</f>
        <v/>
      </c>
      <c r="D26" s="132" t="str">
        <f>IF(HDRAG_HAS_REC_HZOD,_xlfn.CEILING.MATH((HDRAGS_MAX_BUILDING/$G10)*D11),"")</f>
        <v/>
      </c>
      <c r="E26" s="132" t="str">
        <f>IF(HDRAG_HAS_REC_HZOD,_xlfn.CEILING.MATH((HDRAGS_MAX_BUILDING/$G10)*E11),"")</f>
        <v/>
      </c>
      <c r="F26" s="132" t="str">
        <f>IF(HDRAG_HAS_REC_HZOD,_xlfn.CEILING.MATH((HDRAGS_MAX_BUILDING/$G10)*F11),"")</f>
        <v/>
      </c>
      <c r="G26" s="137" t="str">
        <f>IF(HDRAG_HAS_REC_HZOD,SUM(C26:F26),"")</f>
        <v/>
      </c>
    </row>
    <row r="27" spans="1:7" x14ac:dyDescent="0.25">
      <c r="A27" s="23"/>
      <c r="B27" s="217"/>
      <c r="C27" s="217"/>
      <c r="D27" s="217"/>
      <c r="E27" s="217"/>
      <c r="F27" s="217"/>
      <c r="G27" s="217"/>
    </row>
    <row r="28" spans="1:7" x14ac:dyDescent="0.25">
      <c r="A28" s="23"/>
      <c r="B28" s="23"/>
      <c r="C28" s="127"/>
      <c r="D28" s="127"/>
      <c r="E28" s="127"/>
      <c r="F28" s="127"/>
      <c r="G28" s="127"/>
    </row>
    <row r="29" spans="1:7" ht="15.75" x14ac:dyDescent="0.25">
      <c r="A29" s="23"/>
      <c r="B29" s="81" t="s">
        <v>34</v>
      </c>
      <c r="C29" s="132">
        <f>IF(HDRAG_HAS_REC_HBRUN,_xlfn.CEILING.MATH((HDRAGS_MAX_DRAGON_BLD_16/$G2)*C3),"")</f>
        <v>325</v>
      </c>
      <c r="D29" s="132">
        <f>IF(HDRAG_HAS_REC_HBRUN,_xlfn.CEILING.MATH((HDRAGS_MAX_DRAGON_BLD_16/$G2)*D3),"")</f>
        <v>109</v>
      </c>
      <c r="E29" s="132">
        <f>IF(HDRAG_HAS_REC_HBRUN,_xlfn.CEILING.MATH((HDRAGS_MAX_DRAGON_BLD_16/$G2)*E3),"")</f>
        <v>21</v>
      </c>
      <c r="F29" s="132">
        <f>IF(HDRAG_HAS_REC_HBRUN,_xlfn.CEILING.MATH((HDRAGS_MAX_DRAGON_BLD_16/$G2)*F3),"")</f>
        <v>18</v>
      </c>
      <c r="G29" s="137">
        <f>IF(HDRAG_HAS_REC_HBRUN,SUM(C29:F29),"")</f>
        <v>473</v>
      </c>
    </row>
    <row r="30" spans="1:7" ht="15.75" x14ac:dyDescent="0.25">
      <c r="A30" s="23"/>
      <c r="B30" s="124" t="s">
        <v>46</v>
      </c>
      <c r="C30" s="132" t="str">
        <f>IF(HDRAG_HAS_REC_HMERC,_xlfn.CEILING.MATH((HDRAGS_MAX_DRAGON_BLD_16/$G4)*C5),"")</f>
        <v/>
      </c>
      <c r="D30" s="132" t="str">
        <f>IF(HDRAG_HAS_REC_HMERC,_xlfn.CEILING.MATH((HDRAGS_MAX_DRAGON_BLD_16/$G4)*D5),"")</f>
        <v/>
      </c>
      <c r="E30" s="132" t="str">
        <f>IF(HDRAG_HAS_REC_HMERC,_xlfn.CEILING.MATH((HDRAGS_MAX_DRAGON_BLD_16/$G4)*E5),"")</f>
        <v/>
      </c>
      <c r="F30" s="132" t="str">
        <f>IF(HDRAG_HAS_REC_HMERC,_xlfn.CEILING.MATH((HDRAGS_MAX_DRAGON_BLD_16/$G4)*F5),"")</f>
        <v/>
      </c>
      <c r="G30" s="137" t="str">
        <f>IF(HDRAG_HAS_REC_HMERC,SUM(C30:F30),"")</f>
        <v/>
      </c>
    </row>
    <row r="31" spans="1:7" ht="15.75" x14ac:dyDescent="0.25">
      <c r="A31" s="23"/>
      <c r="B31" s="125" t="s">
        <v>35</v>
      </c>
      <c r="C31" s="132">
        <f>IF(HDRAG_HAS_REC_HMID,_xlfn.CEILING.MATH((HDRAGS_MAX_DRAGON_BLD_16/$G6)*C7),"")</f>
        <v>291</v>
      </c>
      <c r="D31" s="132">
        <f>IF(HDRAG_HAS_REC_HMID,_xlfn.CEILING.MATH((HDRAGS_MAX_DRAGON_BLD_16/$G6)*D7),"")</f>
        <v>96</v>
      </c>
      <c r="E31" s="132">
        <f>IF(HDRAG_HAS_REC_HMID,_xlfn.CEILING.MATH((HDRAGS_MAX_DRAGON_BLD_16/$G6)*E7),"")</f>
        <v>35</v>
      </c>
      <c r="F31" s="132">
        <f>IF(HDRAG_HAS_REC_HMID,_xlfn.CEILING.MATH((HDRAGS_MAX_DRAGON_BLD_16/$G6)*F7),"")</f>
        <v>28</v>
      </c>
      <c r="G31" s="137">
        <f>IF(HDRAG_HAS_REC_HMID,SUM(C31:F31),"")</f>
        <v>450</v>
      </c>
    </row>
    <row r="32" spans="1:7" ht="15.75" x14ac:dyDescent="0.25">
      <c r="A32" s="23"/>
      <c r="B32" s="126" t="s">
        <v>47</v>
      </c>
      <c r="C32" s="132" t="str">
        <f>IF(HDRAG_HAS_REC_HJUP,_xlfn.CEILING.MATH((HDRAGS_MAX_DRAGON_BLD_16/$G8)*C9),"")</f>
        <v/>
      </c>
      <c r="D32" s="132" t="str">
        <f>IF(HDRAG_HAS_REC_HJUP,_xlfn.CEILING.MATH((HDRAGS_MAX_DRAGON_BLD_16/$G8)*D9),"")</f>
        <v/>
      </c>
      <c r="E32" s="132" t="str">
        <f>IF(HDRAG_HAS_REC_HJUP,_xlfn.CEILING.MATH((HDRAGS_MAX_DRAGON_BLD_16/$G8)*E9),"")</f>
        <v/>
      </c>
      <c r="F32" s="132" t="str">
        <f>IF(HDRAG_HAS_REC_HJUP,_xlfn.CEILING.MATH((HDRAGS_MAX_DRAGON_BLD_16/$G8)*F9),"")</f>
        <v/>
      </c>
      <c r="G32" s="137" t="str">
        <f>IF(HDRAG_HAS_REC_HJUP,SUM(C32:F32),"")</f>
        <v/>
      </c>
    </row>
    <row r="33" spans="1:7" ht="15.75" x14ac:dyDescent="0.25">
      <c r="A33" s="23"/>
      <c r="B33" s="85" t="s">
        <v>48</v>
      </c>
      <c r="C33" s="132" t="str">
        <f>IF(HDRAG_HAS_REC_HZOD,_xlfn.CEILING.MATH((HDRAGS_MAX_DRAGON_BLD_16/$G10)*C11),"")</f>
        <v/>
      </c>
      <c r="D33" s="132" t="str">
        <f>IF(HDRAG_HAS_REC_HZOD,_xlfn.CEILING.MATH((HDRAGS_MAX_DRAGON_BLD_16/$G10)*D11),"")</f>
        <v/>
      </c>
      <c r="E33" s="132" t="str">
        <f>IF(HDRAG_HAS_REC_HZOD,_xlfn.CEILING.MATH((HDRAGS_MAX_DRAGON_BLD_16/$G10)*E11),"")</f>
        <v/>
      </c>
      <c r="F33" s="132" t="str">
        <f>IF(HDRAG_HAS_REC_HZOD,_xlfn.CEILING.MATH((HDRAGS_MAX_DRAGON_BLD_16/$G10)*F11),"")</f>
        <v/>
      </c>
      <c r="G33" s="137" t="str">
        <f>IF(HDRAG_HAS_REC_HZOD,SUM(C33:F33),"")</f>
        <v/>
      </c>
    </row>
    <row r="34" spans="1:7" x14ac:dyDescent="0.25">
      <c r="A34" s="23"/>
      <c r="B34" s="217" t="s">
        <v>42</v>
      </c>
      <c r="C34" s="217"/>
      <c r="D34" s="217"/>
      <c r="E34" s="217"/>
      <c r="F34" s="217"/>
      <c r="G34" s="217"/>
    </row>
    <row r="35" spans="1:7" x14ac:dyDescent="0.25">
      <c r="A35" s="23"/>
      <c r="B35" s="23"/>
      <c r="C35" s="86">
        <v>2</v>
      </c>
      <c r="D35" s="86">
        <v>3</v>
      </c>
      <c r="E35" s="86">
        <v>4</v>
      </c>
      <c r="F35" s="86">
        <v>5</v>
      </c>
      <c r="G35" s="86" t="s">
        <v>45</v>
      </c>
    </row>
    <row r="36" spans="1:7" ht="15.75" x14ac:dyDescent="0.25">
      <c r="A36" s="23"/>
      <c r="B36" s="81" t="s">
        <v>34</v>
      </c>
      <c r="C36" s="128">
        <f>IF(HDRAG_HAS_REC_HBRUN,_xlfn.CEILING.MATH((HDRAGS_MAX_ALL/$G2)*C3),"")</f>
        <v>369</v>
      </c>
      <c r="D36" s="128">
        <f>IF(HDRAG_HAS_REC_HBRUN,_xlfn.CEILING.MATH((HDRAGS_MAX_ALL/$G2)*D3),"")</f>
        <v>124</v>
      </c>
      <c r="E36" s="128">
        <f>IF(HDRAG_HAS_REC_HBRUN,_xlfn.CEILING.MATH((HDRAGS_MAX_ALL/$G2)*E3),"")</f>
        <v>24</v>
      </c>
      <c r="F36" s="128">
        <f>IF(HDRAG_HAS_REC_HBRUN,_xlfn.CEILING.MATH((HDRAGS_MAX_ALL/$G2)*F3),"")</f>
        <v>20</v>
      </c>
      <c r="G36" s="133">
        <f>IF(HDRAG_HAS_REC_HBRUN,SUM(C36:F36),"")</f>
        <v>537</v>
      </c>
    </row>
    <row r="37" spans="1:7" ht="15.75" x14ac:dyDescent="0.25">
      <c r="A37" s="23"/>
      <c r="B37" s="124" t="s">
        <v>46</v>
      </c>
      <c r="C37" s="129" t="str">
        <f>IF(HDRAG_HAS_REC_HMERC,_xlfn.CEILING.MATH((HDRAGS_MAX_ALL/$G4)*C5),"")</f>
        <v/>
      </c>
      <c r="D37" s="129" t="str">
        <f>IF(HDRAG_HAS_REC_HMERC,_xlfn.CEILING.MATH((HDRAGS_MAX_ALL/$G4)*D5),"")</f>
        <v/>
      </c>
      <c r="E37" s="129" t="str">
        <f>IF(HDRAG_HAS_REC_HMERC,_xlfn.CEILING.MATH((HDRAGS_MAX_ALL/$G4)*E5),"")</f>
        <v/>
      </c>
      <c r="F37" s="129" t="str">
        <f>IF(HDRAG_HAS_REC_HMERC,_xlfn.CEILING.MATH((HDRAGS_MAX_ALL/$G4)*F5),"")</f>
        <v/>
      </c>
      <c r="G37" s="134" t="str">
        <f>IF(HDRAG_HAS_REC_HMERC,SUM(C37:F37),"")</f>
        <v/>
      </c>
    </row>
    <row r="38" spans="1:7" ht="15.75" x14ac:dyDescent="0.25">
      <c r="A38" s="23"/>
      <c r="B38" s="125" t="s">
        <v>35</v>
      </c>
      <c r="C38" s="130">
        <f>IF(HDRAG_HAS_REC_HMID,_xlfn.CEILING.MATH((HDRAGS_MAX_ALL/$G6)*C7),"")</f>
        <v>331</v>
      </c>
      <c r="D38" s="130">
        <f>IF(HDRAG_HAS_REC_HMID,_xlfn.CEILING.MATH((HDRAGS_MAX_ALL/$G6)*D7),"")</f>
        <v>109</v>
      </c>
      <c r="E38" s="130">
        <f>IF(HDRAG_HAS_REC_HMID,_xlfn.CEILING.MATH((HDRAGS_MAX_ALL/$G6)*E7),"")</f>
        <v>40</v>
      </c>
      <c r="F38" s="130">
        <f>IF(HDRAG_HAS_REC_HMID,_xlfn.CEILING.MATH((HDRAGS_MAX_ALL/$G6)*F7),"")</f>
        <v>32</v>
      </c>
      <c r="G38" s="135">
        <f>IF(HDRAG_HAS_REC_HMID,SUM(C38:F38),"")</f>
        <v>512</v>
      </c>
    </row>
    <row r="39" spans="1:7" ht="15.75" x14ac:dyDescent="0.25">
      <c r="A39" s="23"/>
      <c r="B39" s="126" t="s">
        <v>47</v>
      </c>
      <c r="C39" s="131" t="str">
        <f>IF(HDRAG_HAS_REC_HJUP,_xlfn.CEILING.MATH((HDRAGS_MAX_ALL/$G8)*C9),"")</f>
        <v/>
      </c>
      <c r="D39" s="131" t="str">
        <f>IF(HDRAG_HAS_REC_HJUP,_xlfn.CEILING.MATH((HDRAGS_MAX_ALL/$G8)*D9),"")</f>
        <v/>
      </c>
      <c r="E39" s="131" t="str">
        <f>IF(HDRAG_HAS_REC_HJUP,_xlfn.CEILING.MATH((HDRAGS_MAX_ALL/$G8)*E9),"")</f>
        <v/>
      </c>
      <c r="F39" s="131" t="str">
        <f>IF(HDRAG_HAS_REC_HJUP,_xlfn.CEILING.MATH((HDRAGS_MAX_ALL/$G8)*F9),"")</f>
        <v/>
      </c>
      <c r="G39" s="136" t="str">
        <f>IF(HDRAG_HAS_REC_HJUP,SUM(C39:F39),"")</f>
        <v/>
      </c>
    </row>
    <row r="40" spans="1:7" ht="15.75" x14ac:dyDescent="0.25">
      <c r="A40" s="23"/>
      <c r="B40" s="85" t="s">
        <v>48</v>
      </c>
      <c r="C40" s="132" t="str">
        <f>IF(HDRAG_HAS_REC_HZOD,_xlfn.CEILING.MATH((HDRAGS_MAX_ALL/$G10)*C11),"")</f>
        <v/>
      </c>
      <c r="D40" s="132" t="str">
        <f>IF(HDRAG_HAS_REC_HZOD,_xlfn.CEILING.MATH((HDRAGS_MAX_ALL/$G10)*D11),"")</f>
        <v/>
      </c>
      <c r="E40" s="132" t="str">
        <f>IF(HDRAG_HAS_REC_HZOD,_xlfn.CEILING.MATH((HDRAGS_MAX_ALL/$G10)*E11),"")</f>
        <v/>
      </c>
      <c r="F40" s="132" t="str">
        <f>IF(HDRAG_HAS_REC_HZOD,_xlfn.CEILING.MATH((HDRAGS_MAX_ALL/$G10)*F11),"")</f>
        <v/>
      </c>
      <c r="G40" s="137" t="str">
        <f>IF(HDRAG_HAS_REC_HZOD,SUM(C40:F40),"")</f>
        <v/>
      </c>
    </row>
    <row r="41" spans="1:7" x14ac:dyDescent="0.25">
      <c r="A41" s="23"/>
      <c r="B41" s="23"/>
    </row>
    <row r="42" spans="1:7" x14ac:dyDescent="0.25">
      <c r="A42" s="23"/>
      <c r="B42" s="23"/>
    </row>
    <row r="43" spans="1:7" x14ac:dyDescent="0.25">
      <c r="A43" s="23"/>
      <c r="B43" s="23"/>
    </row>
  </sheetData>
  <mergeCells count="25"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  <mergeCell ref="B34:G34"/>
    <mergeCell ref="A10:A11"/>
    <mergeCell ref="B10:B11"/>
    <mergeCell ref="A8:A9"/>
    <mergeCell ref="B8:B9"/>
    <mergeCell ref="B27:G27"/>
    <mergeCell ref="B20:G20"/>
    <mergeCell ref="B13:G13"/>
    <mergeCell ref="A6:A7"/>
    <mergeCell ref="B6:B7"/>
    <mergeCell ref="A4:A5"/>
    <mergeCell ref="B4:B5"/>
    <mergeCell ref="A2:A3"/>
    <mergeCell ref="B2:B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70"/>
    <col min="2" max="2" width="16.28515625" style="70" customWidth="1"/>
    <col min="3" max="5" width="8.5703125" style="70"/>
    <col min="6" max="6" width="14.85546875" style="70" customWidth="1"/>
    <col min="7" max="7" width="8.5703125" style="70"/>
    <col min="8" max="8" width="3.28515625" style="70" customWidth="1"/>
    <col min="9" max="10" width="8.5703125" style="70"/>
    <col min="11" max="12" width="12.140625" style="70" customWidth="1"/>
    <col min="13" max="15" width="8.5703125" style="70"/>
    <col min="16" max="16" width="14.7109375" style="70" customWidth="1"/>
    <col min="17" max="16384" width="8.5703125" style="70"/>
  </cols>
  <sheetData>
    <row r="1" spans="1:16" ht="25.5" customHeight="1" x14ac:dyDescent="0.25">
      <c r="A1" s="231" t="s">
        <v>117</v>
      </c>
      <c r="B1" s="231"/>
      <c r="C1" s="231"/>
      <c r="D1" s="231"/>
      <c r="E1" s="231"/>
      <c r="F1" s="231"/>
      <c r="G1" s="231"/>
      <c r="J1" s="32"/>
      <c r="K1" s="31" t="s">
        <v>31</v>
      </c>
      <c r="L1" s="31" t="s">
        <v>56</v>
      </c>
      <c r="M1" s="31" t="s">
        <v>59</v>
      </c>
      <c r="N1" s="31" t="s">
        <v>60</v>
      </c>
      <c r="O1" s="31" t="s">
        <v>61</v>
      </c>
      <c r="P1" s="31" t="s">
        <v>62</v>
      </c>
    </row>
    <row r="2" spans="1:16" ht="25.5" customHeight="1" x14ac:dyDescent="0.25">
      <c r="A2" s="234" t="s">
        <v>64</v>
      </c>
      <c r="B2" s="234"/>
      <c r="C2" s="235" t="s">
        <v>66</v>
      </c>
      <c r="D2" s="235"/>
      <c r="E2" s="233" t="s">
        <v>68</v>
      </c>
      <c r="F2" s="233"/>
      <c r="G2" s="233"/>
      <c r="J2" s="31" t="s">
        <v>57</v>
      </c>
      <c r="K2" s="187">
        <v>247964</v>
      </c>
      <c r="L2" s="187">
        <v>9</v>
      </c>
      <c r="M2" s="187">
        <v>9603</v>
      </c>
      <c r="N2" s="188">
        <v>322</v>
      </c>
      <c r="O2" s="188">
        <v>44</v>
      </c>
      <c r="P2" s="188">
        <f>M2*DRAGEXP_S+N2*DRAGEXP_M+O2*DRAGEXP_L</f>
        <v>1916450</v>
      </c>
    </row>
    <row r="3" spans="1:16" ht="25.5" customHeight="1" x14ac:dyDescent="0.25">
      <c r="A3" s="111" t="s">
        <v>59</v>
      </c>
      <c r="B3" s="112">
        <v>7672</v>
      </c>
      <c r="C3" s="113" t="s">
        <v>122</v>
      </c>
      <c r="D3" s="140">
        <v>0</v>
      </c>
      <c r="E3" s="79" t="s">
        <v>69</v>
      </c>
      <c r="F3" s="229">
        <f>_xlfn.FLOOR.MATH(B7/MAX(DATA_DRAG_ACCU_EXP))</f>
        <v>8</v>
      </c>
      <c r="G3" s="229"/>
      <c r="J3" s="31" t="s">
        <v>58</v>
      </c>
      <c r="K3" s="187">
        <v>247864</v>
      </c>
      <c r="L3" s="187">
        <v>1</v>
      </c>
      <c r="M3" s="187">
        <v>9734</v>
      </c>
      <c r="N3" s="188">
        <v>342</v>
      </c>
      <c r="O3" s="188">
        <v>44</v>
      </c>
      <c r="P3" s="188">
        <f>M3*DRAGEXP_S+N3*DRAGEXP_M+O3*DRAGEXP_L</f>
        <v>1956100</v>
      </c>
    </row>
    <row r="4" spans="1:16" ht="25.5" customHeight="1" x14ac:dyDescent="0.25">
      <c r="A4" s="111" t="s">
        <v>60</v>
      </c>
      <c r="B4" s="112">
        <v>2038</v>
      </c>
      <c r="C4" s="113" t="s">
        <v>123</v>
      </c>
      <c r="D4" s="140">
        <v>0</v>
      </c>
      <c r="E4" s="110" t="s">
        <v>50</v>
      </c>
      <c r="F4" s="229">
        <f>MATCH(B10,DATA_DRAG_ACCU_EXP,0)</f>
        <v>97</v>
      </c>
      <c r="G4" s="229"/>
      <c r="J4" s="20"/>
      <c r="K4" s="20"/>
      <c r="L4" s="20"/>
      <c r="M4" s="20"/>
      <c r="N4" s="20"/>
      <c r="O4" s="20"/>
      <c r="P4" s="1"/>
    </row>
    <row r="5" spans="1:16" ht="25.5" customHeight="1" x14ac:dyDescent="0.25">
      <c r="A5" s="111" t="s">
        <v>61</v>
      </c>
      <c r="B5" s="112">
        <v>2590</v>
      </c>
      <c r="C5" s="139" t="s">
        <v>70</v>
      </c>
      <c r="D5" s="140">
        <v>0</v>
      </c>
      <c r="E5" s="110" t="s">
        <v>67</v>
      </c>
      <c r="F5" s="229">
        <f>INDEX(DATA_DRAG_LV_EXP,F4)-(B9-B10)</f>
        <v>36940</v>
      </c>
      <c r="G5" s="229"/>
      <c r="J5" s="30" t="s">
        <v>76</v>
      </c>
      <c r="K5" s="48">
        <f>P3-P2</f>
        <v>39650</v>
      </c>
      <c r="L5" s="48"/>
      <c r="M5" s="30" t="s">
        <v>63</v>
      </c>
      <c r="N5" s="232">
        <f>IF(K6&gt;0,K5/K6,"")</f>
        <v>2478.125</v>
      </c>
      <c r="O5" s="232"/>
      <c r="P5" s="1"/>
    </row>
    <row r="6" spans="1:16" ht="25.5" customHeight="1" x14ac:dyDescent="0.25">
      <c r="A6" s="185" t="s">
        <v>65</v>
      </c>
      <c r="B6" s="186">
        <f>B3*DRAGEXP_S+B4*DRAGEXP_M+B5*DRAGEXP_L</f>
        <v>12253800</v>
      </c>
      <c r="C6" s="113" t="s">
        <v>50</v>
      </c>
      <c r="D6" s="114">
        <v>99</v>
      </c>
      <c r="J6" s="30" t="s">
        <v>29</v>
      </c>
      <c r="K6" s="50">
        <f>(K2-K3)/WINGS_RECOVER_DIAMS*6 + (L2-L3)/WINGS_CONSUME_DRAGON</f>
        <v>16</v>
      </c>
      <c r="L6" s="50"/>
      <c r="M6" s="1"/>
      <c r="N6" s="1"/>
      <c r="O6" s="1"/>
      <c r="P6" s="1"/>
    </row>
    <row r="7" spans="1:16" ht="25.5" customHeight="1" x14ac:dyDescent="0.25">
      <c r="A7" s="185" t="s">
        <v>115</v>
      </c>
      <c r="B7" s="186">
        <f>B6-B8</f>
        <v>11046380</v>
      </c>
      <c r="C7" s="113" t="s">
        <v>67</v>
      </c>
      <c r="D7" s="114">
        <v>32600</v>
      </c>
      <c r="E7" s="217" t="s">
        <v>79</v>
      </c>
      <c r="F7" s="217"/>
      <c r="G7" s="217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41" t="s">
        <v>116</v>
      </c>
      <c r="B8" s="141">
        <f>D3*DRAGON_EXP_60+D4*DRAGON_EXP_80+D5*DRAGON_EXP_100+INDEX(DATA_DRAG_ACCU_EXP,D6)+(INDEX(DATA_DRAG_LV_EXP,D6)-D7)</f>
        <v>1207420</v>
      </c>
      <c r="E8" s="217" t="s">
        <v>63</v>
      </c>
      <c r="F8" s="230">
        <f>IF(G9 &gt; 0,SUM(DATA_DRAGON_EXP)/G9,0)</f>
        <v>2673.9277652370201</v>
      </c>
      <c r="G8" s="86" t="s">
        <v>33</v>
      </c>
      <c r="M8" s="1"/>
      <c r="N8" s="1"/>
      <c r="O8" s="1"/>
      <c r="P8" s="1"/>
    </row>
    <row r="9" spans="1:16" ht="25.5" customHeight="1" x14ac:dyDescent="0.25">
      <c r="A9" s="141" t="s">
        <v>111</v>
      </c>
      <c r="B9" s="141">
        <f>MOD(B7,DRAGON_EXP_100)</f>
        <v>1126220</v>
      </c>
      <c r="E9" s="217"/>
      <c r="F9" s="230"/>
      <c r="G9" s="107">
        <f>SUM(DATA_DRAGON_PLAYS)</f>
        <v>443</v>
      </c>
      <c r="M9" s="1"/>
      <c r="N9" s="1"/>
      <c r="O9" s="1"/>
      <c r="P9" s="1"/>
    </row>
    <row r="10" spans="1:16" ht="25.5" customHeight="1" x14ac:dyDescent="0.25">
      <c r="A10" s="109" t="s">
        <v>72</v>
      </c>
      <c r="B10" s="141">
        <f>SMALL(DATA_DRAG_ACCU_EXP,COUNTIF(DATA_DRAG_ACCU_EXP,"&lt;"&amp;B9))</f>
        <v>1126080</v>
      </c>
      <c r="E10" s="138">
        <v>60</v>
      </c>
      <c r="F10" s="107">
        <f>IF($F$8&gt;0,_xlfn.CEILING.MATH(INDEX(DATA_DRAG_ACCU_EXP,E10)/$F$8),"")</f>
        <v>104</v>
      </c>
      <c r="G10" s="86" t="s">
        <v>30</v>
      </c>
    </row>
    <row r="11" spans="1:16" ht="25.5" customHeight="1" x14ac:dyDescent="0.25">
      <c r="A11" s="108"/>
      <c r="E11" s="138">
        <v>80</v>
      </c>
      <c r="F11" s="50">
        <f>IF($F$8&gt;0,_xlfn.CEILING.MATH(INDEX(DATA_DRAG_ACCU_EXP,E11)/$F$8),"")</f>
        <v>234</v>
      </c>
      <c r="G11" s="86" t="s">
        <v>30</v>
      </c>
    </row>
    <row r="12" spans="1:16" ht="25.5" customHeight="1" x14ac:dyDescent="0.25">
      <c r="A12" s="108"/>
      <c r="E12" s="138">
        <v>100</v>
      </c>
      <c r="F12" s="50">
        <f>IF($F$8&gt;0,_xlfn.CEILING.MATH(INDEX(DATA_DRAG_ACCU_EXP,E12)/$F$8),"")</f>
        <v>464</v>
      </c>
      <c r="G12" s="86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>
      <selection activeCell="L5" sqref="L5"/>
    </sheetView>
  </sheetViews>
  <sheetFormatPr defaultColWidth="8.5703125" defaultRowHeight="18" customHeight="1" x14ac:dyDescent="0.25"/>
  <cols>
    <col min="1" max="2" width="8.5703125" style="47"/>
    <col min="3" max="3" width="9.28515625" style="47" bestFit="1" customWidth="1"/>
    <col min="4" max="16384" width="8.5703125" style="47"/>
  </cols>
  <sheetData>
    <row r="1" spans="1:11" ht="18" customHeight="1" x14ac:dyDescent="0.25">
      <c r="A1" s="49" t="s">
        <v>33</v>
      </c>
      <c r="B1" s="236">
        <v>376</v>
      </c>
      <c r="C1" s="236"/>
      <c r="E1" s="32"/>
      <c r="F1" s="31" t="s">
        <v>31</v>
      </c>
      <c r="G1" s="31" t="s">
        <v>56</v>
      </c>
      <c r="H1" s="31" t="s">
        <v>77</v>
      </c>
      <c r="I1" s="31" t="s">
        <v>78</v>
      </c>
      <c r="J1" s="31" t="s">
        <v>85</v>
      </c>
      <c r="K1" s="31" t="s">
        <v>81</v>
      </c>
    </row>
    <row r="2" spans="1:11" ht="18" customHeight="1" x14ac:dyDescent="0.25">
      <c r="E2" s="31" t="s">
        <v>57</v>
      </c>
      <c r="F2" s="189">
        <v>126399</v>
      </c>
      <c r="G2" s="189">
        <v>8</v>
      </c>
      <c r="H2" s="189">
        <v>1</v>
      </c>
      <c r="I2" s="189">
        <v>430</v>
      </c>
      <c r="J2" s="189">
        <v>12</v>
      </c>
      <c r="K2" s="189">
        <v>3</v>
      </c>
    </row>
    <row r="3" spans="1:11" ht="18" customHeight="1" x14ac:dyDescent="0.25">
      <c r="A3" s="49"/>
      <c r="B3" s="49" t="s">
        <v>82</v>
      </c>
      <c r="C3" s="49" t="s">
        <v>84</v>
      </c>
      <c r="E3" s="31" t="s">
        <v>58</v>
      </c>
      <c r="F3" s="189">
        <v>126399</v>
      </c>
      <c r="G3" s="189">
        <v>6</v>
      </c>
      <c r="H3" s="189">
        <v>1</v>
      </c>
      <c r="I3" s="189">
        <v>435</v>
      </c>
      <c r="J3" s="189">
        <v>13</v>
      </c>
      <c r="K3" s="189">
        <v>3</v>
      </c>
    </row>
    <row r="4" spans="1:11" ht="18" customHeight="1" x14ac:dyDescent="0.25">
      <c r="A4" s="34" t="s">
        <v>77</v>
      </c>
      <c r="B4" s="147">
        <f>VOID_TOTAL_GOLD/VOID_TOTAL_GAMES</f>
        <v>5.8510638297872342E-2</v>
      </c>
      <c r="C4" s="148">
        <f>VOID_TOTAL_GAMES/VOID_TOTAL_GOLD</f>
        <v>17.09090909090909</v>
      </c>
    </row>
    <row r="5" spans="1:11" ht="18" customHeight="1" x14ac:dyDescent="0.25">
      <c r="A5" s="35" t="s">
        <v>78</v>
      </c>
      <c r="B5" s="149">
        <f>VOID_TOTAL_SILVER/VOID_TOTAL_GAMES</f>
        <v>2.3191489361702127</v>
      </c>
      <c r="C5" s="150">
        <f>VOID_TOTAL_GAMES/VOID_TOTAL_SILVER</f>
        <v>0.43119266055045874</v>
      </c>
      <c r="E5" s="47" t="s">
        <v>29</v>
      </c>
      <c r="H5" s="47" t="s">
        <v>77</v>
      </c>
      <c r="I5" s="47" t="s">
        <v>78</v>
      </c>
      <c r="J5" s="47" t="s">
        <v>85</v>
      </c>
      <c r="K5" s="64" t="s">
        <v>81</v>
      </c>
    </row>
    <row r="6" spans="1:11" ht="18" customHeight="1" x14ac:dyDescent="0.25">
      <c r="A6" s="37" t="s">
        <v>85</v>
      </c>
      <c r="B6" s="151">
        <f>VOID_TOTAL_SILVER2/VOID_TOTAL_SILVER2_GAMES</f>
        <v>3.2965116279069768</v>
      </c>
      <c r="C6" s="152">
        <f>VOID_TOTAL_SILVER2_GAMES/VOID_TOTAL_SILVER2</f>
        <v>0.30335097001763667</v>
      </c>
      <c r="E6" s="28">
        <f>(F2-F3)/WINGS_RECOVER_DIAMS*6 + (G2-G3)/WINGS_CONSUME_VOID</f>
        <v>1</v>
      </c>
      <c r="G6" s="47" t="s">
        <v>79</v>
      </c>
      <c r="H6" s="28">
        <f>H3-H2</f>
        <v>0</v>
      </c>
      <c r="I6" s="28">
        <f>I3-I2</f>
        <v>5</v>
      </c>
      <c r="J6" s="28">
        <f>J3-J2</f>
        <v>1</v>
      </c>
      <c r="K6" s="28">
        <f>K3-K2</f>
        <v>0</v>
      </c>
    </row>
    <row r="7" spans="1:11" ht="18" customHeight="1" x14ac:dyDescent="0.25">
      <c r="A7" s="36" t="s">
        <v>83</v>
      </c>
      <c r="B7" s="153">
        <f>VOID_TOTAL_SPECIAL/VOID_TOTAL_GAMES</f>
        <v>8.5106382978723402E-2</v>
      </c>
      <c r="C7" s="154">
        <f>VOID_TOTAL_GAMES/VOID_TOTAL_SPECIAL</f>
        <v>11.75</v>
      </c>
      <c r="G7" s="47" t="s">
        <v>80</v>
      </c>
      <c r="H7" s="28">
        <f>IFERROR(H6/$E$6,"")</f>
        <v>0</v>
      </c>
      <c r="I7" s="28">
        <f>IFERROR(I6/$E$6,"")</f>
        <v>5</v>
      </c>
      <c r="J7" s="28">
        <f>IFERROR(J6/$E$6,"")</f>
        <v>1</v>
      </c>
      <c r="K7" s="28">
        <f>IFERROR(K6/$E$6,"")</f>
        <v>0</v>
      </c>
    </row>
    <row r="10" spans="1:11" ht="18" customHeight="1" x14ac:dyDescent="0.25">
      <c r="J10" s="146"/>
      <c r="K10" s="146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>
      <selection activeCell="M5" sqref="M5"/>
    </sheetView>
  </sheetViews>
  <sheetFormatPr defaultColWidth="9.140625" defaultRowHeight="15" x14ac:dyDescent="0.25"/>
  <cols>
    <col min="1" max="1" width="14" style="45" customWidth="1"/>
    <col min="2" max="3" width="9.140625" style="38"/>
    <col min="4" max="5" width="9.140625" style="29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42" t="s">
        <v>87</v>
      </c>
      <c r="B1" s="240">
        <v>43523.916666666664</v>
      </c>
      <c r="C1" s="240"/>
      <c r="D1" s="44" t="s">
        <v>101</v>
      </c>
      <c r="E1" s="44" t="s">
        <v>89</v>
      </c>
      <c r="F1" s="217" t="s">
        <v>90</v>
      </c>
      <c r="G1" s="217"/>
      <c r="H1" s="217"/>
    </row>
    <row r="2" spans="1:12" x14ac:dyDescent="0.25">
      <c r="A2" s="42" t="s">
        <v>88</v>
      </c>
      <c r="B2" s="240">
        <v>43535.916666666664</v>
      </c>
      <c r="C2" s="240"/>
      <c r="D2" s="46" t="str">
        <f ca="1">IF(RAID_TIME_END-NOW()&lt;0,"",RAID_TIME_END-NOW())</f>
        <v/>
      </c>
      <c r="E2" s="39">
        <f>B2-B1</f>
        <v>12</v>
      </c>
      <c r="F2" s="241" t="str">
        <f ca="1">IF(NOW() &gt; $B$2,"",(NOW()-$B$1)/($B$2-$B$1))</f>
        <v/>
      </c>
      <c r="G2" s="241"/>
      <c r="H2" s="241"/>
    </row>
    <row r="4" spans="1:12" x14ac:dyDescent="0.25">
      <c r="A4" s="42"/>
      <c r="B4" s="43" t="s">
        <v>91</v>
      </c>
      <c r="C4" s="43" t="s">
        <v>93</v>
      </c>
      <c r="D4" s="43" t="s">
        <v>98</v>
      </c>
      <c r="E4" s="43" t="s">
        <v>92</v>
      </c>
      <c r="F4" s="237" t="s">
        <v>91</v>
      </c>
      <c r="G4" s="237"/>
      <c r="H4" s="30" t="s">
        <v>94</v>
      </c>
      <c r="I4" s="30" t="s">
        <v>95</v>
      </c>
      <c r="J4" s="30"/>
    </row>
    <row r="5" spans="1:12" x14ac:dyDescent="0.25">
      <c r="A5" s="42" t="s">
        <v>96</v>
      </c>
      <c r="B5" s="38">
        <f>LOOKUP(2,1/(NOT(ISBLANK(B:B))),B:B)</f>
        <v>139176</v>
      </c>
      <c r="C5" s="38">
        <f ca="1">$E$5*(NOW()-$B$1)/$E$2</f>
        <v>505120.91435184632</v>
      </c>
      <c r="D5" s="38">
        <f ca="1">B5*$E$2/(NOW()-$B$1)</f>
        <v>41329.510235757858</v>
      </c>
      <c r="E5" s="190">
        <v>150000</v>
      </c>
      <c r="F5" s="238">
        <f>B5/E5</f>
        <v>0.92784</v>
      </c>
      <c r="G5" s="238"/>
      <c r="H5" s="41">
        <f ca="1">B5 - (E5*(NOW()-$B$1)/$E$2)</f>
        <v>-365944.91435184632</v>
      </c>
      <c r="I5" s="41">
        <f ca="1">D5-RAID_GOAL_EMBLEM</f>
        <v>-108670.48976424214</v>
      </c>
      <c r="J5" s="29"/>
    </row>
    <row r="6" spans="1:12" x14ac:dyDescent="0.25">
      <c r="A6" s="42" t="s">
        <v>97</v>
      </c>
      <c r="B6" s="38">
        <f>LOOKUP(2,1/(NOT(ISBLANK(C:C))),C:C)</f>
        <v>121735</v>
      </c>
      <c r="C6" s="38">
        <f ca="1">$E$6*(NOW()-$B$1)/$E$2</f>
        <v>336747.2762345642</v>
      </c>
      <c r="D6" s="38">
        <f ca="1">B6*$E$2/(NOW()-$B$1)</f>
        <v>36150.255277849508</v>
      </c>
      <c r="E6" s="190">
        <v>100000</v>
      </c>
      <c r="F6" s="238">
        <f>B6/E6</f>
        <v>1.2173499999999999</v>
      </c>
      <c r="G6" s="238"/>
      <c r="H6" s="41">
        <f ca="1">B6 - (E6*(NOW()-$B$1)/$E$2)</f>
        <v>-215012.2762345642</v>
      </c>
      <c r="I6" s="41">
        <f ca="1">D6-RAID_GOAL_BLAZON</f>
        <v>-63849.744722150492</v>
      </c>
      <c r="J6" s="29"/>
    </row>
    <row r="8" spans="1:12" x14ac:dyDescent="0.25">
      <c r="A8" s="42"/>
      <c r="B8" s="239" t="s">
        <v>91</v>
      </c>
      <c r="C8" s="239"/>
      <c r="D8" s="237" t="s">
        <v>93</v>
      </c>
      <c r="E8" s="237"/>
      <c r="F8" s="237" t="s">
        <v>98</v>
      </c>
      <c r="G8" s="237"/>
      <c r="H8" s="217" t="s">
        <v>95</v>
      </c>
      <c r="I8" s="217"/>
      <c r="J8" s="217" t="s">
        <v>100</v>
      </c>
      <c r="K8" s="217"/>
      <c r="L8" s="217"/>
    </row>
    <row r="9" spans="1:12" x14ac:dyDescent="0.25">
      <c r="A9" s="42" t="s">
        <v>25</v>
      </c>
      <c r="B9" s="44" t="s">
        <v>96</v>
      </c>
      <c r="C9" s="44" t="s">
        <v>97</v>
      </c>
      <c r="D9" s="44" t="s">
        <v>96</v>
      </c>
      <c r="E9" s="44" t="s">
        <v>97</v>
      </c>
      <c r="F9" s="44" t="s">
        <v>96</v>
      </c>
      <c r="G9" s="44" t="s">
        <v>97</v>
      </c>
      <c r="H9" s="44" t="s">
        <v>96</v>
      </c>
      <c r="I9" s="44" t="s">
        <v>97</v>
      </c>
      <c r="J9" s="44" t="s">
        <v>99</v>
      </c>
      <c r="K9" s="44" t="s">
        <v>96</v>
      </c>
      <c r="L9" s="44" t="s">
        <v>97</v>
      </c>
    </row>
    <row r="10" spans="1:12" x14ac:dyDescent="0.25">
      <c r="A10" s="45">
        <v>43523.916666666664</v>
      </c>
      <c r="B10" s="38">
        <v>0</v>
      </c>
      <c r="C10" s="38">
        <v>0</v>
      </c>
      <c r="D10" s="40">
        <f t="shared" ref="D10:D44" si="0">$E$5*($A10-$B$1)/$E$2</f>
        <v>0</v>
      </c>
      <c r="E10" s="40">
        <f t="shared" ref="E10:E44" si="1">$E$6*($A10-$B$1)/$E$2</f>
        <v>0</v>
      </c>
      <c r="F10" s="40" t="str">
        <f t="shared" ref="F10:F44" si="2">IFERROR(B10*$E$2/($A10-$B$1),"")</f>
        <v/>
      </c>
      <c r="G10" s="40" t="str">
        <f t="shared" ref="G10:G44" si="3">IFERROR(C10*$E$2/($A10-$B$1),"")</f>
        <v/>
      </c>
      <c r="H10" s="41" t="str">
        <f t="shared" ref="H10:H44" si="4">IFERROR(F10 - RAID_GOAL_EMBLEM,"")</f>
        <v/>
      </c>
      <c r="I10" s="41" t="str">
        <f t="shared" ref="I10:I44" si="5">IFERROR(G10 - RAID_GOAL_BLAZON,"")</f>
        <v/>
      </c>
      <c r="J10" s="29"/>
    </row>
    <row r="11" spans="1:12" x14ac:dyDescent="0.25">
      <c r="A11" s="45">
        <v>43527.209027777775</v>
      </c>
      <c r="B11" s="38">
        <v>35443</v>
      </c>
      <c r="C11" s="38">
        <v>33148</v>
      </c>
      <c r="D11" s="40">
        <f t="shared" si="0"/>
        <v>41154.513888886868</v>
      </c>
      <c r="E11" s="40">
        <f t="shared" si="1"/>
        <v>27436.342592591245</v>
      </c>
      <c r="F11" s="40">
        <f t="shared" si="2"/>
        <v>129182.67032272308</v>
      </c>
      <c r="G11" s="40">
        <f t="shared" si="3"/>
        <v>120817.85277368237</v>
      </c>
      <c r="H11" s="41">
        <f t="shared" si="4"/>
        <v>-20817.329677276924</v>
      </c>
      <c r="I11" s="41">
        <f t="shared" si="5"/>
        <v>20817.852773682374</v>
      </c>
      <c r="J11" s="29"/>
      <c r="K11" s="45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45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45">
        <v>43527.445138888892</v>
      </c>
      <c r="B12" s="38">
        <v>41400</v>
      </c>
      <c r="C12" s="38">
        <v>37937</v>
      </c>
      <c r="D12" s="40">
        <f t="shared" si="0"/>
        <v>44105.902777846495</v>
      </c>
      <c r="E12" s="40">
        <f t="shared" si="1"/>
        <v>29403.935185230996</v>
      </c>
      <c r="F12" s="40">
        <f t="shared" si="2"/>
        <v>140797.48081064463</v>
      </c>
      <c r="G12" s="40">
        <f t="shared" si="3"/>
        <v>129020.14564042092</v>
      </c>
      <c r="H12" s="41">
        <f t="shared" si="4"/>
        <v>-9202.5191893553711</v>
      </c>
      <c r="I12" s="41">
        <f t="shared" si="5"/>
        <v>29020.145640420917</v>
      </c>
      <c r="J12" s="29"/>
      <c r="K12" s="45" t="str">
        <f t="shared" ca="1" si="6"/>
        <v/>
      </c>
      <c r="L12" s="45" t="str">
        <f t="shared" ca="1" si="7"/>
        <v/>
      </c>
    </row>
    <row r="13" spans="1:12" x14ac:dyDescent="0.25">
      <c r="A13" s="45">
        <v>43527.46875</v>
      </c>
      <c r="B13" s="38">
        <v>41929</v>
      </c>
      <c r="C13" s="38">
        <v>38415</v>
      </c>
      <c r="D13" s="40">
        <f t="shared" si="0"/>
        <v>44401.041666696983</v>
      </c>
      <c r="E13" s="40">
        <f t="shared" si="1"/>
        <v>29600.694444464654</v>
      </c>
      <c r="F13" s="40">
        <f t="shared" si="2"/>
        <v>141648.70381221999</v>
      </c>
      <c r="G13" s="40">
        <f t="shared" si="3"/>
        <v>129777.36070372371</v>
      </c>
      <c r="H13" s="41">
        <f t="shared" si="4"/>
        <v>-8351.2961877800117</v>
      </c>
      <c r="I13" s="41">
        <f t="shared" si="5"/>
        <v>29777.360703723709</v>
      </c>
      <c r="J13" s="29"/>
      <c r="K13" s="45" t="str">
        <f t="shared" ca="1" si="6"/>
        <v/>
      </c>
      <c r="L13" s="45" t="str">
        <f t="shared" ca="1" si="7"/>
        <v/>
      </c>
    </row>
    <row r="14" spans="1:12" x14ac:dyDescent="0.25">
      <c r="A14" s="45">
        <v>43527.868055555555</v>
      </c>
      <c r="B14" s="38">
        <v>43438</v>
      </c>
      <c r="C14" s="38">
        <v>39551</v>
      </c>
      <c r="D14" s="40">
        <f t="shared" si="0"/>
        <v>49392.361111131322</v>
      </c>
      <c r="E14" s="40">
        <f t="shared" si="1"/>
        <v>32928.240740754212</v>
      </c>
      <c r="F14" s="40">
        <f t="shared" si="2"/>
        <v>131917.15992964726</v>
      </c>
      <c r="G14" s="40">
        <f t="shared" si="3"/>
        <v>120112.70298764856</v>
      </c>
      <c r="H14" s="41">
        <f t="shared" si="4"/>
        <v>-18082.840070352744</v>
      </c>
      <c r="I14" s="41">
        <f t="shared" si="5"/>
        <v>20112.702987648561</v>
      </c>
      <c r="J14" s="29"/>
      <c r="K14" s="45" t="str">
        <f t="shared" ca="1" si="6"/>
        <v/>
      </c>
      <c r="L14" s="45" t="str">
        <f t="shared" ca="1" si="7"/>
        <v/>
      </c>
    </row>
    <row r="15" spans="1:12" x14ac:dyDescent="0.25">
      <c r="A15" s="45">
        <v>43527.994444444441</v>
      </c>
      <c r="B15" s="38">
        <v>44772</v>
      </c>
      <c r="C15" s="38">
        <v>40959</v>
      </c>
      <c r="D15" s="40">
        <f t="shared" si="0"/>
        <v>50972.222222208075</v>
      </c>
      <c r="E15" s="40">
        <f t="shared" si="1"/>
        <v>33981.481481472052</v>
      </c>
      <c r="F15" s="40">
        <f t="shared" si="2"/>
        <v>131754.11444145345</v>
      </c>
      <c r="G15" s="40">
        <f t="shared" si="3"/>
        <v>120533.29700275825</v>
      </c>
      <c r="H15" s="41">
        <f t="shared" si="4"/>
        <v>-18245.88555854655</v>
      </c>
      <c r="I15" s="41">
        <f t="shared" si="5"/>
        <v>20533.297002758249</v>
      </c>
      <c r="J15" s="29"/>
      <c r="K15" s="45" t="str">
        <f t="shared" ca="1" si="6"/>
        <v/>
      </c>
      <c r="L15" s="45" t="str">
        <f t="shared" ca="1" si="7"/>
        <v/>
      </c>
    </row>
    <row r="16" spans="1:12" x14ac:dyDescent="0.25">
      <c r="A16" s="45">
        <v>43528.058333333334</v>
      </c>
      <c r="B16" s="38">
        <v>46140</v>
      </c>
      <c r="C16" s="38">
        <v>42221</v>
      </c>
      <c r="D16" s="40">
        <f t="shared" si="0"/>
        <v>51770.833333375776</v>
      </c>
      <c r="E16" s="40">
        <f t="shared" si="1"/>
        <v>34513.888888917187</v>
      </c>
      <c r="F16" s="40">
        <f t="shared" si="2"/>
        <v>133685.31187111777</v>
      </c>
      <c r="G16" s="40">
        <f t="shared" si="3"/>
        <v>122330.46277655967</v>
      </c>
      <c r="H16" s="41">
        <f t="shared" si="4"/>
        <v>-16314.688128882233</v>
      </c>
      <c r="I16" s="41">
        <f t="shared" si="5"/>
        <v>22330.462776559667</v>
      </c>
      <c r="J16" s="29"/>
      <c r="K16" s="45" t="str">
        <f t="shared" ca="1" si="6"/>
        <v/>
      </c>
      <c r="L16" s="45" t="str">
        <f t="shared" ca="1" si="7"/>
        <v/>
      </c>
    </row>
    <row r="17" spans="1:12" x14ac:dyDescent="0.25">
      <c r="A17" s="45">
        <v>43528.272222222222</v>
      </c>
      <c r="B17" s="38">
        <v>48207</v>
      </c>
      <c r="C17" s="38">
        <v>43929</v>
      </c>
      <c r="D17" s="40">
        <f t="shared" si="0"/>
        <v>54444.444444470719</v>
      </c>
      <c r="E17" s="40">
        <f t="shared" si="1"/>
        <v>36296.296296313812</v>
      </c>
      <c r="F17" s="40">
        <f t="shared" si="2"/>
        <v>132815.20408156855</v>
      </c>
      <c r="G17" s="40">
        <f t="shared" si="3"/>
        <v>121028.877550962</v>
      </c>
      <c r="H17" s="41">
        <f t="shared" si="4"/>
        <v>-17184.795918431453</v>
      </c>
      <c r="I17" s="41">
        <f t="shared" si="5"/>
        <v>21028.877550962003</v>
      </c>
      <c r="J17" s="29"/>
      <c r="K17" s="45" t="str">
        <f t="shared" ca="1" si="6"/>
        <v/>
      </c>
      <c r="L17" s="45" t="str">
        <f t="shared" ca="1" si="7"/>
        <v/>
      </c>
    </row>
    <row r="18" spans="1:12" x14ac:dyDescent="0.25">
      <c r="A18" s="45">
        <v>43528.572222222225</v>
      </c>
      <c r="B18" s="38">
        <v>51946</v>
      </c>
      <c r="C18" s="38">
        <v>47141</v>
      </c>
      <c r="D18" s="40">
        <f t="shared" si="0"/>
        <v>58194.444444507099</v>
      </c>
      <c r="E18" s="40">
        <f t="shared" si="1"/>
        <v>38796.296296338063</v>
      </c>
      <c r="F18" s="40">
        <f t="shared" si="2"/>
        <v>133894.22434353127</v>
      </c>
      <c r="G18" s="40">
        <f t="shared" si="3"/>
        <v>121509.02147958278</v>
      </c>
      <c r="H18" s="41">
        <f t="shared" si="4"/>
        <v>-16105.77565646873</v>
      </c>
      <c r="I18" s="41">
        <f t="shared" si="5"/>
        <v>21509.021479582778</v>
      </c>
      <c r="J18" s="29"/>
      <c r="K18" s="45" t="str">
        <f t="shared" ca="1" si="6"/>
        <v/>
      </c>
      <c r="L18" s="45" t="str">
        <f t="shared" ca="1" si="7"/>
        <v/>
      </c>
    </row>
    <row r="19" spans="1:12" x14ac:dyDescent="0.25">
      <c r="A19" s="45">
        <v>43528.772916666669</v>
      </c>
      <c r="B19" s="38">
        <v>55757</v>
      </c>
      <c r="C19" s="38">
        <v>50060</v>
      </c>
      <c r="D19" s="40">
        <f t="shared" si="0"/>
        <v>60703.12500005457</v>
      </c>
      <c r="E19" s="40">
        <f t="shared" si="1"/>
        <v>40468.75000003638</v>
      </c>
      <c r="F19" s="40">
        <f t="shared" si="2"/>
        <v>137777.91505779119</v>
      </c>
      <c r="G19" s="40">
        <f t="shared" si="3"/>
        <v>123700.3861002749</v>
      </c>
      <c r="H19" s="41">
        <f t="shared" si="4"/>
        <v>-12222.084942208807</v>
      </c>
      <c r="I19" s="41">
        <f t="shared" si="5"/>
        <v>23700.386100274904</v>
      </c>
      <c r="J19" s="29"/>
      <c r="K19" s="45" t="str">
        <f t="shared" ca="1" si="6"/>
        <v/>
      </c>
      <c r="L19" s="45" t="str">
        <f t="shared" ca="1" si="7"/>
        <v/>
      </c>
    </row>
    <row r="20" spans="1:12" x14ac:dyDescent="0.25">
      <c r="A20" s="45">
        <v>43529.173611111109</v>
      </c>
      <c r="B20" s="38">
        <v>56596</v>
      </c>
      <c r="C20" s="38">
        <v>51008</v>
      </c>
      <c r="D20" s="40">
        <f t="shared" si="0"/>
        <v>65711.805555565661</v>
      </c>
      <c r="E20" s="40">
        <f t="shared" si="1"/>
        <v>43807.87037037711</v>
      </c>
      <c r="F20" s="40">
        <f t="shared" si="2"/>
        <v>129191.397622173</v>
      </c>
      <c r="G20" s="40">
        <f t="shared" si="3"/>
        <v>116435.69881107853</v>
      </c>
      <c r="H20" s="41">
        <f t="shared" si="4"/>
        <v>-20808.602377827003</v>
      </c>
      <c r="I20" s="41">
        <f t="shared" si="5"/>
        <v>16435.698811078531</v>
      </c>
      <c r="J20" s="29"/>
      <c r="K20" s="45" t="str">
        <f t="shared" ca="1" si="6"/>
        <v/>
      </c>
      <c r="L20" s="45" t="str">
        <f t="shared" ca="1" si="7"/>
        <v/>
      </c>
    </row>
    <row r="21" spans="1:12" x14ac:dyDescent="0.25">
      <c r="A21" s="45">
        <v>43529.252083333333</v>
      </c>
      <c r="B21" s="38">
        <v>58035</v>
      </c>
      <c r="C21" s="38">
        <v>52216</v>
      </c>
      <c r="D21" s="40">
        <f t="shared" si="0"/>
        <v>66692.708333357587</v>
      </c>
      <c r="E21" s="40">
        <f t="shared" si="1"/>
        <v>44461.805555571722</v>
      </c>
      <c r="F21" s="40">
        <f t="shared" si="2"/>
        <v>130527.76259268975</v>
      </c>
      <c r="G21" s="40">
        <f t="shared" si="3"/>
        <v>117440.12495114823</v>
      </c>
      <c r="H21" s="41">
        <f t="shared" si="4"/>
        <v>-19472.237407310255</v>
      </c>
      <c r="I21" s="41">
        <f t="shared" si="5"/>
        <v>17440.124951148231</v>
      </c>
      <c r="J21" s="29"/>
      <c r="K21" s="45" t="str">
        <f t="shared" ca="1" si="6"/>
        <v/>
      </c>
      <c r="L21" s="45" t="str">
        <f t="shared" ca="1" si="7"/>
        <v/>
      </c>
    </row>
    <row r="22" spans="1:12" x14ac:dyDescent="0.25">
      <c r="A22" s="45">
        <v>43529.332638888889</v>
      </c>
      <c r="B22" s="38">
        <v>58777</v>
      </c>
      <c r="C22" s="38">
        <v>52824</v>
      </c>
      <c r="D22" s="40">
        <f t="shared" si="0"/>
        <v>67699.652777810115</v>
      </c>
      <c r="E22" s="40">
        <f t="shared" si="1"/>
        <v>45133.101851873413</v>
      </c>
      <c r="F22" s="40">
        <f t="shared" si="2"/>
        <v>130230.35773810935</v>
      </c>
      <c r="G22" s="40">
        <f t="shared" si="3"/>
        <v>117040.48211303551</v>
      </c>
      <c r="H22" s="41">
        <f t="shared" si="4"/>
        <v>-19769.642261890651</v>
      </c>
      <c r="I22" s="41">
        <f t="shared" si="5"/>
        <v>17040.482113035512</v>
      </c>
      <c r="J22" s="29"/>
      <c r="K22" s="45" t="str">
        <f t="shared" ca="1" si="6"/>
        <v/>
      </c>
      <c r="L22" s="45" t="str">
        <f t="shared" ca="1" si="7"/>
        <v/>
      </c>
    </row>
    <row r="23" spans="1:12" x14ac:dyDescent="0.25">
      <c r="A23" s="45">
        <v>43529.574999999997</v>
      </c>
      <c r="B23" s="38">
        <v>62350</v>
      </c>
      <c r="C23" s="38">
        <v>55746</v>
      </c>
      <c r="D23" s="40">
        <f t="shared" si="0"/>
        <v>70729.166666660603</v>
      </c>
      <c r="E23" s="40">
        <f t="shared" si="1"/>
        <v>47152.777777773736</v>
      </c>
      <c r="F23" s="40">
        <f t="shared" si="2"/>
        <v>132229.74963182284</v>
      </c>
      <c r="G23" s="40">
        <f t="shared" si="3"/>
        <v>118224.21207659335</v>
      </c>
      <c r="H23" s="41">
        <f t="shared" si="4"/>
        <v>-17770.250368177163</v>
      </c>
      <c r="I23" s="41">
        <f t="shared" si="5"/>
        <v>18224.212076593351</v>
      </c>
      <c r="J23" s="29"/>
      <c r="K23" s="45" t="str">
        <f t="shared" ca="1" si="6"/>
        <v/>
      </c>
      <c r="L23" s="45" t="str">
        <f t="shared" ca="1" si="7"/>
        <v/>
      </c>
    </row>
    <row r="24" spans="1:12" x14ac:dyDescent="0.25">
      <c r="A24" s="45">
        <v>43529.856249999997</v>
      </c>
      <c r="B24" s="38">
        <v>67839</v>
      </c>
      <c r="C24" s="38">
        <v>60364</v>
      </c>
      <c r="D24" s="40">
        <f t="shared" si="0"/>
        <v>74244.791666660603</v>
      </c>
      <c r="E24" s="40">
        <f t="shared" si="1"/>
        <v>49496.527777773736</v>
      </c>
      <c r="F24" s="40">
        <f t="shared" si="2"/>
        <v>137058.09891267342</v>
      </c>
      <c r="G24" s="40">
        <f t="shared" si="3"/>
        <v>121956.02946335616</v>
      </c>
      <c r="H24" s="41">
        <f t="shared" si="4"/>
        <v>-12941.90108732658</v>
      </c>
      <c r="I24" s="41">
        <f t="shared" si="5"/>
        <v>21956.029463356157</v>
      </c>
      <c r="J24" s="29"/>
      <c r="K24" s="45" t="str">
        <f t="shared" ca="1" si="6"/>
        <v/>
      </c>
      <c r="L24" s="45" t="str">
        <f t="shared" ca="1" si="7"/>
        <v/>
      </c>
    </row>
    <row r="25" spans="1:12" x14ac:dyDescent="0.25">
      <c r="A25" s="45">
        <v>43530.330555555556</v>
      </c>
      <c r="B25" s="38">
        <v>70607</v>
      </c>
      <c r="C25" s="38">
        <v>62967</v>
      </c>
      <c r="D25" s="40">
        <f t="shared" si="0"/>
        <v>80173.611111149512</v>
      </c>
      <c r="E25" s="40">
        <f t="shared" si="1"/>
        <v>53449.074074099677</v>
      </c>
      <c r="F25" s="40">
        <f t="shared" si="2"/>
        <v>132101.44651357899</v>
      </c>
      <c r="G25" s="40">
        <f t="shared" si="3"/>
        <v>117807.46643563002</v>
      </c>
      <c r="H25" s="41">
        <f t="shared" si="4"/>
        <v>-17898.553486421006</v>
      </c>
      <c r="I25" s="41">
        <f t="shared" si="5"/>
        <v>17807.46643563002</v>
      </c>
      <c r="J25" s="29"/>
      <c r="K25" s="45" t="str">
        <f t="shared" ca="1" si="6"/>
        <v/>
      </c>
      <c r="L25" s="45" t="str">
        <f t="shared" ca="1" si="7"/>
        <v/>
      </c>
    </row>
    <row r="26" spans="1:12" x14ac:dyDescent="0.25">
      <c r="A26" s="45">
        <v>43530.547222222223</v>
      </c>
      <c r="B26" s="38">
        <v>74563</v>
      </c>
      <c r="C26" s="38">
        <v>66120</v>
      </c>
      <c r="D26" s="40">
        <f t="shared" si="0"/>
        <v>82881.944444488909</v>
      </c>
      <c r="E26" s="40">
        <f t="shared" si="1"/>
        <v>55254.62962965927</v>
      </c>
      <c r="F26" s="40">
        <f t="shared" si="2"/>
        <v>134944.34855459875</v>
      </c>
      <c r="G26" s="40">
        <f t="shared" si="3"/>
        <v>119664.18098024582</v>
      </c>
      <c r="H26" s="41">
        <f t="shared" si="4"/>
        <v>-15055.65144540125</v>
      </c>
      <c r="I26" s="41">
        <f t="shared" si="5"/>
        <v>19664.180980245816</v>
      </c>
      <c r="J26" s="29">
        <v>23</v>
      </c>
      <c r="K26" s="45">
        <f t="shared" ca="1" si="6"/>
        <v>43534.967118438748</v>
      </c>
      <c r="L26" s="45" t="str">
        <f t="shared" ca="1" si="7"/>
        <v/>
      </c>
    </row>
    <row r="27" spans="1:12" x14ac:dyDescent="0.25">
      <c r="A27" s="45">
        <v>43530.617361111108</v>
      </c>
      <c r="B27" s="38">
        <v>75335</v>
      </c>
      <c r="C27" s="38">
        <v>67021</v>
      </c>
      <c r="D27" s="40">
        <f t="shared" si="0"/>
        <v>83758.680555547471</v>
      </c>
      <c r="E27" s="40">
        <f t="shared" si="1"/>
        <v>55839.120370364981</v>
      </c>
      <c r="F27" s="40">
        <f t="shared" si="2"/>
        <v>134914.37454659815</v>
      </c>
      <c r="G27" s="40">
        <f t="shared" si="3"/>
        <v>120025.17152037639</v>
      </c>
      <c r="H27" s="41">
        <f t="shared" si="4"/>
        <v>-15085.625453401852</v>
      </c>
      <c r="I27" s="41">
        <f t="shared" si="5"/>
        <v>20025.171520376389</v>
      </c>
      <c r="J27" s="29">
        <v>20</v>
      </c>
      <c r="K27" s="45">
        <f t="shared" ca="1" si="6"/>
        <v>43532.979300359199</v>
      </c>
      <c r="L27" s="45" t="str">
        <f t="shared" ca="1" si="7"/>
        <v/>
      </c>
    </row>
    <row r="28" spans="1:12" x14ac:dyDescent="0.25">
      <c r="A28" s="45">
        <v>43530.895138888889</v>
      </c>
      <c r="B28" s="38">
        <v>76314</v>
      </c>
      <c r="C28" s="38">
        <v>67874</v>
      </c>
      <c r="D28" s="40">
        <f t="shared" si="0"/>
        <v>87230.902777810115</v>
      </c>
      <c r="E28" s="40">
        <f t="shared" si="1"/>
        <v>58153.935185206741</v>
      </c>
      <c r="F28" s="40">
        <f t="shared" si="2"/>
        <v>131227.57687327208</v>
      </c>
      <c r="G28" s="40">
        <f t="shared" si="3"/>
        <v>116714.37157921835</v>
      </c>
      <c r="H28" s="41">
        <f t="shared" si="4"/>
        <v>-18772.423126727925</v>
      </c>
      <c r="I28" s="41">
        <f t="shared" si="5"/>
        <v>16714.37157921835</v>
      </c>
      <c r="J28" s="29">
        <v>20</v>
      </c>
      <c r="K28" s="45">
        <f t="shared" ca="1" si="6"/>
        <v>43545.045125297031</v>
      </c>
      <c r="L28" s="45" t="str">
        <f t="shared" ca="1" si="7"/>
        <v/>
      </c>
    </row>
    <row r="29" spans="1:12" x14ac:dyDescent="0.25">
      <c r="A29" s="45">
        <v>43531.416666666664</v>
      </c>
      <c r="B29" s="38">
        <v>82871</v>
      </c>
      <c r="C29" s="38">
        <v>73536</v>
      </c>
      <c r="D29" s="40">
        <f t="shared" si="0"/>
        <v>93750</v>
      </c>
      <c r="E29" s="40">
        <f t="shared" si="1"/>
        <v>62500</v>
      </c>
      <c r="F29" s="40">
        <f t="shared" si="2"/>
        <v>132593.60000000001</v>
      </c>
      <c r="G29" s="40">
        <f t="shared" si="3"/>
        <v>117657.60000000001</v>
      </c>
      <c r="H29" s="41">
        <f t="shared" si="4"/>
        <v>-17406.399999999994</v>
      </c>
      <c r="I29" s="41">
        <f t="shared" si="5"/>
        <v>17657.600000000006</v>
      </c>
      <c r="J29" s="29">
        <v>20</v>
      </c>
      <c r="K29" s="45">
        <f t="shared" ca="1" si="6"/>
        <v>43540.649566356064</v>
      </c>
      <c r="L29" s="45" t="str">
        <f t="shared" ca="1" si="7"/>
        <v/>
      </c>
    </row>
    <row r="30" spans="1:12" x14ac:dyDescent="0.25">
      <c r="A30" s="45">
        <v>43531.775694444441</v>
      </c>
      <c r="B30" s="38">
        <v>85079</v>
      </c>
      <c r="C30" s="38">
        <v>75412</v>
      </c>
      <c r="D30" s="40">
        <f t="shared" si="0"/>
        <v>98237.847222208089</v>
      </c>
      <c r="E30" s="40">
        <f t="shared" si="1"/>
        <v>65491.898148138716</v>
      </c>
      <c r="F30" s="40">
        <f t="shared" si="2"/>
        <v>129907.67164444744</v>
      </c>
      <c r="G30" s="40">
        <f t="shared" si="3"/>
        <v>115147.06724398583</v>
      </c>
      <c r="H30" s="41">
        <f t="shared" si="4"/>
        <v>-20092.328355552556</v>
      </c>
      <c r="I30" s="41">
        <f t="shared" si="5"/>
        <v>15147.067243985832</v>
      </c>
      <c r="J30" s="29">
        <v>20</v>
      </c>
      <c r="K30" s="45">
        <f t="shared" ca="1" si="6"/>
        <v>43602.16510754398</v>
      </c>
      <c r="L30" s="45" t="str">
        <f t="shared" ca="1" si="7"/>
        <v/>
      </c>
    </row>
    <row r="31" spans="1:12" x14ac:dyDescent="0.25">
      <c r="A31" s="45">
        <v>43533.052777777775</v>
      </c>
      <c r="B31" s="38">
        <v>100956</v>
      </c>
      <c r="C31" s="38">
        <v>89048</v>
      </c>
      <c r="D31" s="40">
        <f t="shared" si="0"/>
        <v>114201.38888888685</v>
      </c>
      <c r="E31" s="40">
        <f t="shared" si="1"/>
        <v>76134.259259257917</v>
      </c>
      <c r="F31" s="40">
        <f t="shared" si="2"/>
        <v>132602.59045302757</v>
      </c>
      <c r="G31" s="40">
        <f t="shared" si="3"/>
        <v>116961.79993919331</v>
      </c>
      <c r="H31" s="41">
        <f t="shared" si="4"/>
        <v>-17397.409546972427</v>
      </c>
      <c r="I31" s="41">
        <f t="shared" si="5"/>
        <v>16961.799939193312</v>
      </c>
      <c r="J31" s="29">
        <v>30</v>
      </c>
      <c r="K31" s="45">
        <f t="shared" ca="1" si="6"/>
        <v>43540.020077059933</v>
      </c>
      <c r="L31" s="45" t="str">
        <f t="shared" ca="1" si="7"/>
        <v/>
      </c>
    </row>
    <row r="32" spans="1:12" x14ac:dyDescent="0.25">
      <c r="A32" s="45">
        <v>43533.246527777781</v>
      </c>
      <c r="B32" s="38">
        <v>105020</v>
      </c>
      <c r="C32" s="38">
        <v>92512</v>
      </c>
      <c r="D32" s="40">
        <f t="shared" si="0"/>
        <v>116623.26388895961</v>
      </c>
      <c r="E32" s="40">
        <f t="shared" si="1"/>
        <v>77748.842592639747</v>
      </c>
      <c r="F32" s="40">
        <f t="shared" si="2"/>
        <v>135075.9657609899</v>
      </c>
      <c r="G32" s="40">
        <f t="shared" si="3"/>
        <v>118988.26646810795</v>
      </c>
      <c r="H32" s="41">
        <f t="shared" si="4"/>
        <v>-14924.0342390101</v>
      </c>
      <c r="I32" s="41">
        <f t="shared" si="5"/>
        <v>18988.266468107948</v>
      </c>
      <c r="J32" s="29">
        <v>31</v>
      </c>
      <c r="K32" s="45">
        <f t="shared" ca="1" si="6"/>
        <v>43534.221840808597</v>
      </c>
      <c r="L32" s="45" t="str">
        <f t="shared" ca="1" si="7"/>
        <v/>
      </c>
    </row>
    <row r="33" spans="1:12" x14ac:dyDescent="0.25">
      <c r="A33" s="45">
        <v>43533.673611111109</v>
      </c>
      <c r="B33" s="38">
        <v>113822</v>
      </c>
      <c r="C33" s="38">
        <v>99777</v>
      </c>
      <c r="D33" s="40">
        <f t="shared" si="0"/>
        <v>121961.80555556568</v>
      </c>
      <c r="E33" s="40">
        <f t="shared" si="1"/>
        <v>81307.870370377103</v>
      </c>
      <c r="F33" s="40">
        <f t="shared" si="2"/>
        <v>139988.90818504177</v>
      </c>
      <c r="G33" s="40">
        <f t="shared" si="3"/>
        <v>122715.05765123539</v>
      </c>
      <c r="H33" s="41">
        <f t="shared" si="4"/>
        <v>-10011.091814958228</v>
      </c>
      <c r="I33" s="41">
        <f t="shared" si="5"/>
        <v>22715.057651235387</v>
      </c>
      <c r="J33" s="29">
        <v>31</v>
      </c>
      <c r="K33" s="45">
        <f t="shared" ca="1" si="6"/>
        <v>43533.894228108955</v>
      </c>
      <c r="L33" s="45" t="str">
        <f t="shared" ca="1" si="7"/>
        <v/>
      </c>
    </row>
    <row r="34" spans="1:12" x14ac:dyDescent="0.25">
      <c r="A34" s="45">
        <v>43534.036111111112</v>
      </c>
      <c r="B34" s="38">
        <v>117115</v>
      </c>
      <c r="C34" s="38">
        <v>102551</v>
      </c>
      <c r="D34" s="40">
        <f t="shared" si="0"/>
        <v>126493.05555560203</v>
      </c>
      <c r="E34" s="40">
        <f t="shared" si="1"/>
        <v>84328.703703734689</v>
      </c>
      <c r="F34" s="40">
        <f t="shared" si="2"/>
        <v>138879.16552286962</v>
      </c>
      <c r="G34" s="40">
        <f t="shared" si="3"/>
        <v>121608.65220967258</v>
      </c>
      <c r="H34" s="41">
        <f t="shared" si="4"/>
        <v>-11120.834477130382</v>
      </c>
      <c r="I34" s="41">
        <f t="shared" si="5"/>
        <v>21608.652209672582</v>
      </c>
      <c r="J34" s="29">
        <v>31</v>
      </c>
      <c r="K34" s="45">
        <f t="shared" ca="1" si="6"/>
        <v>43534.795047584827</v>
      </c>
      <c r="L34" s="45" t="str">
        <f t="shared" ca="1" si="7"/>
        <v/>
      </c>
    </row>
    <row r="35" spans="1:12" x14ac:dyDescent="0.25">
      <c r="A35" s="45">
        <v>43534.129166666666</v>
      </c>
      <c r="B35" s="38">
        <v>117115</v>
      </c>
      <c r="C35" s="38">
        <v>102859</v>
      </c>
      <c r="D35" s="40">
        <f t="shared" si="0"/>
        <v>127656.2500000182</v>
      </c>
      <c r="E35" s="40">
        <f t="shared" si="1"/>
        <v>85104.166666678793</v>
      </c>
      <c r="F35" s="40">
        <f t="shared" si="2"/>
        <v>137613.70869031086</v>
      </c>
      <c r="G35" s="40">
        <f t="shared" si="3"/>
        <v>120862.47246020309</v>
      </c>
      <c r="H35" s="41">
        <f t="shared" si="4"/>
        <v>-12386.291309689143</v>
      </c>
      <c r="I35" s="41">
        <f t="shared" si="5"/>
        <v>20862.472460203091</v>
      </c>
      <c r="J35" s="29">
        <v>31</v>
      </c>
      <c r="K35" s="45">
        <f t="shared" ca="1" si="6"/>
        <v>43535.713354860374</v>
      </c>
      <c r="L35" s="45" t="str">
        <f t="shared" ca="1" si="7"/>
        <v/>
      </c>
    </row>
    <row r="36" spans="1:12" x14ac:dyDescent="0.25">
      <c r="A36" s="45">
        <v>43534.231944444444</v>
      </c>
      <c r="B36" s="38">
        <v>119175</v>
      </c>
      <c r="C36" s="38">
        <v>104678</v>
      </c>
      <c r="D36" s="40">
        <f t="shared" si="0"/>
        <v>128940.97222224444</v>
      </c>
      <c r="E36" s="40">
        <f t="shared" si="1"/>
        <v>85960.648148162974</v>
      </c>
      <c r="F36" s="40">
        <f t="shared" si="2"/>
        <v>138639.01979262455</v>
      </c>
      <c r="G36" s="40">
        <f t="shared" si="3"/>
        <v>121774.32610742481</v>
      </c>
      <c r="H36" s="41">
        <f t="shared" si="4"/>
        <v>-11360.980207375454</v>
      </c>
      <c r="I36" s="41">
        <f t="shared" si="5"/>
        <v>21774.326107424815</v>
      </c>
      <c r="J36" s="29">
        <v>31</v>
      </c>
      <c r="K36" s="45">
        <f t="shared" ca="1" si="6"/>
        <v>43535.272051525142</v>
      </c>
      <c r="L36" s="45" t="str">
        <f t="shared" ca="1" si="7"/>
        <v/>
      </c>
    </row>
    <row r="37" spans="1:12" x14ac:dyDescent="0.25">
      <c r="A37" s="45">
        <v>43534.314583333333</v>
      </c>
      <c r="B37" s="38">
        <v>119175</v>
      </c>
      <c r="C37" s="38">
        <v>104678</v>
      </c>
      <c r="D37" s="40">
        <f t="shared" si="0"/>
        <v>129973.95833335759</v>
      </c>
      <c r="E37" s="40">
        <f t="shared" si="1"/>
        <v>86649.305555571729</v>
      </c>
      <c r="F37" s="40">
        <f t="shared" si="2"/>
        <v>137537.1669003951</v>
      </c>
      <c r="G37" s="40">
        <f t="shared" si="3"/>
        <v>120806.50771386245</v>
      </c>
      <c r="H37" s="41">
        <f t="shared" si="4"/>
        <v>-12462.833099604904</v>
      </c>
      <c r="I37" s="41">
        <f t="shared" si="5"/>
        <v>20806.507713862447</v>
      </c>
      <c r="J37" s="29">
        <v>31</v>
      </c>
      <c r="K37" s="45">
        <f t="shared" ca="1" si="6"/>
        <v>43536.239610976285</v>
      </c>
      <c r="L37" s="45" t="str">
        <f t="shared" ca="1" si="7"/>
        <v/>
      </c>
    </row>
    <row r="38" spans="1:12" x14ac:dyDescent="0.25">
      <c r="A38" s="45">
        <v>43534.486805555556</v>
      </c>
      <c r="B38" s="38">
        <v>122906</v>
      </c>
      <c r="C38" s="38">
        <v>107941</v>
      </c>
      <c r="D38" s="40">
        <f t="shared" si="0"/>
        <v>132126.73611114951</v>
      </c>
      <c r="E38" s="40">
        <f t="shared" si="1"/>
        <v>88084.490740766341</v>
      </c>
      <c r="F38" s="40">
        <f t="shared" si="2"/>
        <v>139531.94139671393</v>
      </c>
      <c r="G38" s="40">
        <f t="shared" si="3"/>
        <v>122542.57144730687</v>
      </c>
      <c r="H38" s="41">
        <f t="shared" si="4"/>
        <v>-10468.058603286074</v>
      </c>
      <c r="I38" s="41">
        <f t="shared" si="5"/>
        <v>22542.571447306866</v>
      </c>
      <c r="J38" s="29">
        <v>31</v>
      </c>
      <c r="K38" s="45">
        <f t="shared" ca="1" si="6"/>
        <v>43535.219140390742</v>
      </c>
      <c r="L38" s="45" t="str">
        <f t="shared" ca="1" si="7"/>
        <v/>
      </c>
    </row>
    <row r="39" spans="1:12" x14ac:dyDescent="0.25">
      <c r="A39" s="45">
        <v>43535.138888888891</v>
      </c>
      <c r="B39" s="38">
        <v>125282</v>
      </c>
      <c r="C39" s="38">
        <v>110340</v>
      </c>
      <c r="D39" s="40">
        <f t="shared" si="0"/>
        <v>140277.77777782831</v>
      </c>
      <c r="E39" s="40">
        <f t="shared" si="1"/>
        <v>93518.518518552199</v>
      </c>
      <c r="F39" s="40">
        <f t="shared" si="2"/>
        <v>133964.91089104087</v>
      </c>
      <c r="G39" s="40">
        <f t="shared" si="3"/>
        <v>117987.32673263077</v>
      </c>
      <c r="H39" s="41">
        <f t="shared" si="4"/>
        <v>-16035.089108959131</v>
      </c>
      <c r="I39" s="41">
        <f t="shared" si="5"/>
        <v>17987.326732630769</v>
      </c>
      <c r="J39" s="29"/>
      <c r="K39" s="45" t="str">
        <f t="shared" ca="1" si="6"/>
        <v/>
      </c>
      <c r="L39" s="45" t="str">
        <f t="shared" ca="1" si="7"/>
        <v/>
      </c>
    </row>
    <row r="40" spans="1:12" x14ac:dyDescent="0.25">
      <c r="A40" s="45">
        <v>43535.189583333333</v>
      </c>
      <c r="B40" s="38">
        <v>126683</v>
      </c>
      <c r="C40" s="38">
        <v>111358</v>
      </c>
      <c r="D40" s="40">
        <f t="shared" si="0"/>
        <v>140911.45833335759</v>
      </c>
      <c r="E40" s="40">
        <f t="shared" si="1"/>
        <v>93940.972222238386</v>
      </c>
      <c r="F40" s="40">
        <f t="shared" si="2"/>
        <v>134853.831084804</v>
      </c>
      <c r="G40" s="40">
        <f t="shared" si="3"/>
        <v>118540.39549064676</v>
      </c>
      <c r="H40" s="41">
        <f t="shared" si="4"/>
        <v>-15146.168915196002</v>
      </c>
      <c r="I40" s="41">
        <f t="shared" si="5"/>
        <v>18540.395490646755</v>
      </c>
      <c r="J40" s="29">
        <v>39</v>
      </c>
      <c r="K40" s="45">
        <f t="shared" ca="1" si="6"/>
        <v>43536.002663414401</v>
      </c>
      <c r="L40" s="45" t="str">
        <f t="shared" ca="1" si="7"/>
        <v/>
      </c>
    </row>
    <row r="41" spans="1:12" x14ac:dyDescent="0.25">
      <c r="A41" s="45">
        <v>43535.3125</v>
      </c>
      <c r="B41" s="38">
        <v>129105</v>
      </c>
      <c r="C41" s="38">
        <v>113395</v>
      </c>
      <c r="D41" s="40">
        <f t="shared" si="0"/>
        <v>142447.91666669698</v>
      </c>
      <c r="E41" s="40">
        <f t="shared" si="1"/>
        <v>94965.277777797994</v>
      </c>
      <c r="F41" s="40">
        <f t="shared" si="2"/>
        <v>135949.68921386503</v>
      </c>
      <c r="G41" s="40">
        <f t="shared" si="3"/>
        <v>119406.80073123601</v>
      </c>
      <c r="H41" s="41">
        <f t="shared" si="4"/>
        <v>-14050.310786134971</v>
      </c>
      <c r="I41" s="41">
        <f t="shared" si="5"/>
        <v>19406.800731236013</v>
      </c>
      <c r="J41" s="29">
        <v>39</v>
      </c>
      <c r="K41" s="45">
        <f t="shared" ca="1" si="6"/>
        <v>43536.367887633467</v>
      </c>
      <c r="L41" s="45" t="str">
        <f t="shared" ca="1" si="7"/>
        <v/>
      </c>
    </row>
    <row r="42" spans="1:12" x14ac:dyDescent="0.25">
      <c r="A42" s="45">
        <v>43535.543055555558</v>
      </c>
      <c r="B42" s="38">
        <v>134214</v>
      </c>
      <c r="C42" s="38">
        <v>117529</v>
      </c>
      <c r="D42" s="40">
        <f t="shared" si="0"/>
        <v>145329.8611111677</v>
      </c>
      <c r="E42" s="40">
        <f t="shared" si="1"/>
        <v>96886.574074111806</v>
      </c>
      <c r="F42" s="40">
        <f t="shared" si="2"/>
        <v>138526.93346070344</v>
      </c>
      <c r="G42" s="40">
        <f t="shared" si="3"/>
        <v>121305.76514151291</v>
      </c>
      <c r="H42" s="41">
        <f t="shared" si="4"/>
        <v>-11473.06653929656</v>
      </c>
      <c r="I42" s="41">
        <f t="shared" si="5"/>
        <v>21305.765141512908</v>
      </c>
      <c r="J42" s="29">
        <v>39</v>
      </c>
      <c r="K42" s="45">
        <f t="shared" ca="1" si="6"/>
        <v>43536.15533082639</v>
      </c>
      <c r="L42" s="45" t="str">
        <f t="shared" ca="1" si="7"/>
        <v/>
      </c>
    </row>
    <row r="43" spans="1:12" x14ac:dyDescent="0.25">
      <c r="A43" s="45">
        <v>43535.70416666667</v>
      </c>
      <c r="B43" s="38">
        <v>137350</v>
      </c>
      <c r="C43" s="38">
        <v>120226</v>
      </c>
      <c r="D43" s="40">
        <f t="shared" si="0"/>
        <v>147343.75000007276</v>
      </c>
      <c r="E43" s="40">
        <f t="shared" si="1"/>
        <v>98229.166666715173</v>
      </c>
      <c r="F43" s="40">
        <f t="shared" si="2"/>
        <v>139826.08695645269</v>
      </c>
      <c r="G43" s="40">
        <f t="shared" si="3"/>
        <v>122393.38282072429</v>
      </c>
      <c r="H43" s="41">
        <f t="shared" si="4"/>
        <v>-10173.913043547305</v>
      </c>
      <c r="I43" s="41">
        <f t="shared" si="5"/>
        <v>22393.382820724291</v>
      </c>
      <c r="J43" s="29">
        <v>39</v>
      </c>
      <c r="K43" s="45">
        <f t="shared" ca="1" si="6"/>
        <v>43536.120106121132</v>
      </c>
      <c r="L43" s="45" t="str">
        <f t="shared" ca="1" si="7"/>
        <v/>
      </c>
    </row>
    <row r="44" spans="1:12" x14ac:dyDescent="0.25">
      <c r="A44" s="45">
        <v>43535.788194444445</v>
      </c>
      <c r="B44" s="38">
        <v>139176</v>
      </c>
      <c r="C44" s="38">
        <v>121735</v>
      </c>
      <c r="D44" s="40">
        <f t="shared" si="0"/>
        <v>148394.09722226264</v>
      </c>
      <c r="E44" s="40">
        <f t="shared" si="1"/>
        <v>98929.398148175096</v>
      </c>
      <c r="F44" s="40">
        <f t="shared" si="2"/>
        <v>140682.14565658642</v>
      </c>
      <c r="G44" s="40">
        <f t="shared" si="3"/>
        <v>123052.40128689248</v>
      </c>
      <c r="H44" s="41">
        <f t="shared" si="4"/>
        <v>-9317.854343413579</v>
      </c>
      <c r="I44" s="41">
        <f t="shared" si="5"/>
        <v>23052.401286892476</v>
      </c>
      <c r="J44" s="29">
        <v>39</v>
      </c>
      <c r="K44" s="45">
        <f t="shared" ca="1" si="6"/>
        <v>43536.039577163487</v>
      </c>
      <c r="L44" s="45" t="str">
        <f t="shared" ca="1" si="7"/>
        <v/>
      </c>
    </row>
    <row r="45" spans="1:12" x14ac:dyDescent="0.25">
      <c r="D45" s="40"/>
      <c r="E45" s="40"/>
    </row>
    <row r="46" spans="1:12" x14ac:dyDescent="0.25">
      <c r="D46" s="40"/>
      <c r="E46" s="40"/>
    </row>
    <row r="47" spans="1:12" x14ac:dyDescent="0.25">
      <c r="D47" s="40"/>
      <c r="E47" s="40"/>
    </row>
    <row r="48" spans="1:12" x14ac:dyDescent="0.25">
      <c r="D48" s="40"/>
      <c r="E48" s="40"/>
    </row>
    <row r="49" spans="4:5" x14ac:dyDescent="0.25">
      <c r="D49" s="40"/>
      <c r="E49" s="40"/>
    </row>
    <row r="50" spans="4:5" x14ac:dyDescent="0.25">
      <c r="D50" s="40"/>
      <c r="E50" s="40"/>
    </row>
    <row r="51" spans="4:5" x14ac:dyDescent="0.25">
      <c r="D51" s="40"/>
      <c r="E51" s="40"/>
    </row>
    <row r="52" spans="4:5" x14ac:dyDescent="0.25">
      <c r="D52" s="40"/>
      <c r="E52" s="40"/>
    </row>
    <row r="53" spans="4:5" x14ac:dyDescent="0.25">
      <c r="D53" s="40"/>
      <c r="E53" s="40"/>
    </row>
    <row r="54" spans="4:5" x14ac:dyDescent="0.25">
      <c r="D54" s="40"/>
      <c r="E54" s="40"/>
    </row>
    <row r="55" spans="4:5" x14ac:dyDescent="0.25">
      <c r="D55" s="40"/>
      <c r="E55" s="40"/>
    </row>
    <row r="56" spans="4:5" x14ac:dyDescent="0.25">
      <c r="D56" s="40"/>
      <c r="E56" s="40"/>
    </row>
    <row r="57" spans="4:5" x14ac:dyDescent="0.25">
      <c r="D57" s="40"/>
      <c r="E57" s="40"/>
    </row>
    <row r="58" spans="4:5" x14ac:dyDescent="0.25">
      <c r="D58" s="40"/>
      <c r="E58" s="40"/>
    </row>
    <row r="59" spans="4:5" x14ac:dyDescent="0.25">
      <c r="D59" s="40"/>
      <c r="E59" s="40"/>
    </row>
    <row r="60" spans="4:5" x14ac:dyDescent="0.25">
      <c r="D60" s="40"/>
      <c r="E60" s="40"/>
    </row>
    <row r="61" spans="4:5" x14ac:dyDescent="0.25">
      <c r="D61" s="40"/>
      <c r="E61" s="40"/>
    </row>
    <row r="62" spans="4:5" x14ac:dyDescent="0.25">
      <c r="D62" s="40"/>
      <c r="E62" s="40"/>
    </row>
    <row r="63" spans="4:5" x14ac:dyDescent="0.25">
      <c r="D63" s="40"/>
      <c r="E63" s="40"/>
    </row>
    <row r="64" spans="4:5" x14ac:dyDescent="0.25">
      <c r="D64" s="40"/>
      <c r="E64" s="40"/>
    </row>
    <row r="65" spans="4:5" x14ac:dyDescent="0.25">
      <c r="D65" s="40"/>
      <c r="E65" s="40"/>
    </row>
    <row r="66" spans="4:5" x14ac:dyDescent="0.25">
      <c r="D66" s="40"/>
      <c r="E66" s="40"/>
    </row>
    <row r="67" spans="4:5" x14ac:dyDescent="0.25">
      <c r="D67" s="40"/>
      <c r="E67" s="40"/>
    </row>
    <row r="68" spans="4:5" x14ac:dyDescent="0.25">
      <c r="D68" s="40"/>
      <c r="E68" s="40"/>
    </row>
    <row r="69" spans="4:5" x14ac:dyDescent="0.25">
      <c r="D69" s="40"/>
      <c r="E69" s="40"/>
    </row>
    <row r="70" spans="4:5" x14ac:dyDescent="0.25">
      <c r="D70" s="40"/>
      <c r="E70" s="40"/>
    </row>
    <row r="71" spans="4:5" x14ac:dyDescent="0.25">
      <c r="D71" s="40"/>
      <c r="E71" s="40"/>
    </row>
    <row r="72" spans="4:5" x14ac:dyDescent="0.25">
      <c r="D72" s="40"/>
      <c r="E72" s="40"/>
    </row>
    <row r="73" spans="4:5" x14ac:dyDescent="0.25">
      <c r="D73" s="40"/>
      <c r="E73" s="40"/>
    </row>
    <row r="74" spans="4:5" x14ac:dyDescent="0.25">
      <c r="D74" s="40"/>
      <c r="E74" s="40"/>
    </row>
    <row r="75" spans="4:5" x14ac:dyDescent="0.25">
      <c r="D75" s="40"/>
      <c r="E75" s="40"/>
    </row>
    <row r="76" spans="4:5" x14ac:dyDescent="0.25">
      <c r="D76" s="40"/>
      <c r="E76" s="40"/>
    </row>
    <row r="77" spans="4:5" x14ac:dyDescent="0.25">
      <c r="D77" s="40"/>
      <c r="E77" s="40"/>
    </row>
    <row r="78" spans="4:5" x14ac:dyDescent="0.25">
      <c r="D78" s="40"/>
      <c r="E78" s="40"/>
    </row>
    <row r="79" spans="4:5" x14ac:dyDescent="0.25">
      <c r="D79" s="40"/>
      <c r="E79" s="40"/>
    </row>
    <row r="80" spans="4:5" x14ac:dyDescent="0.25">
      <c r="D80" s="40"/>
      <c r="E80" s="40"/>
    </row>
    <row r="81" spans="4:5" x14ac:dyDescent="0.25">
      <c r="D81" s="40"/>
      <c r="E81" s="40"/>
    </row>
    <row r="82" spans="4:5" x14ac:dyDescent="0.25">
      <c r="D82" s="40"/>
      <c r="E82" s="40"/>
    </row>
    <row r="83" spans="4:5" x14ac:dyDescent="0.25">
      <c r="D83" s="40"/>
      <c r="E83" s="40"/>
    </row>
    <row r="84" spans="4:5" x14ac:dyDescent="0.25">
      <c r="D84" s="40"/>
      <c r="E84" s="40"/>
    </row>
    <row r="85" spans="4:5" x14ac:dyDescent="0.25">
      <c r="D85" s="40"/>
      <c r="E85" s="40"/>
    </row>
    <row r="86" spans="4:5" x14ac:dyDescent="0.25">
      <c r="D86" s="40"/>
      <c r="E86" s="40"/>
    </row>
    <row r="87" spans="4:5" x14ac:dyDescent="0.25">
      <c r="D87" s="40"/>
      <c r="E87" s="40"/>
    </row>
    <row r="88" spans="4:5" x14ac:dyDescent="0.25">
      <c r="D88" s="40"/>
      <c r="E88" s="40"/>
    </row>
    <row r="89" spans="4:5" x14ac:dyDescent="0.25">
      <c r="D89" s="40"/>
      <c r="E89" s="40"/>
    </row>
    <row r="90" spans="4:5" x14ac:dyDescent="0.25">
      <c r="D90" s="40"/>
      <c r="E90" s="40"/>
    </row>
    <row r="91" spans="4:5" x14ac:dyDescent="0.25">
      <c r="D91" s="40"/>
      <c r="E91" s="40"/>
    </row>
    <row r="92" spans="4:5" x14ac:dyDescent="0.25">
      <c r="D92" s="40"/>
      <c r="E92" s="40"/>
    </row>
    <row r="93" spans="4:5" x14ac:dyDescent="0.25">
      <c r="D93" s="40"/>
      <c r="E93" s="40"/>
    </row>
    <row r="94" spans="4:5" x14ac:dyDescent="0.25">
      <c r="D94" s="40"/>
      <c r="E94" s="40"/>
    </row>
    <row r="95" spans="4:5" x14ac:dyDescent="0.25">
      <c r="D95" s="40"/>
      <c r="E95" s="40"/>
    </row>
    <row r="96" spans="4:5" x14ac:dyDescent="0.25">
      <c r="D96" s="40"/>
      <c r="E96" s="40"/>
    </row>
    <row r="97" spans="4:5" x14ac:dyDescent="0.25">
      <c r="D97" s="40"/>
      <c r="E97" s="40"/>
    </row>
    <row r="98" spans="4:5" x14ac:dyDescent="0.25">
      <c r="D98" s="40"/>
      <c r="E98" s="40"/>
    </row>
    <row r="99" spans="4:5" x14ac:dyDescent="0.25">
      <c r="D99" s="40"/>
      <c r="E99" s="40"/>
    </row>
    <row r="100" spans="4:5" x14ac:dyDescent="0.25">
      <c r="D100" s="40"/>
      <c r="E100" s="40"/>
    </row>
  </sheetData>
  <mergeCells count="12">
    <mergeCell ref="B8:C8"/>
    <mergeCell ref="D8:E8"/>
    <mergeCell ref="F8:G8"/>
    <mergeCell ref="B1:C1"/>
    <mergeCell ref="B2:C2"/>
    <mergeCell ref="F1:H1"/>
    <mergeCell ref="F2:H2"/>
    <mergeCell ref="J8:L8"/>
    <mergeCell ref="H8:I8"/>
    <mergeCell ref="F4:G4"/>
    <mergeCell ref="F5:G5"/>
    <mergeCell ref="F6:G6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A2" sqref="A2"/>
    </sheetView>
  </sheetViews>
  <sheetFormatPr defaultColWidth="9.140625" defaultRowHeight="15" x14ac:dyDescent="0.25"/>
  <cols>
    <col min="1" max="2" width="9.140625" style="20"/>
    <col min="3" max="3" width="9.140625" style="33"/>
    <col min="4" max="16384" width="9.140625" style="20"/>
  </cols>
  <sheetData>
    <row r="1" spans="1:7" x14ac:dyDescent="0.25">
      <c r="A1" s="20" t="s">
        <v>76</v>
      </c>
      <c r="B1" s="20" t="s">
        <v>29</v>
      </c>
      <c r="C1" s="33" t="s">
        <v>32</v>
      </c>
      <c r="E1" s="20" t="s">
        <v>50</v>
      </c>
      <c r="F1" s="20" t="s">
        <v>72</v>
      </c>
      <c r="G1" s="20" t="s">
        <v>73</v>
      </c>
    </row>
    <row r="2" spans="1:7" x14ac:dyDescent="0.25">
      <c r="A2" s="20">
        <v>15850</v>
      </c>
      <c r="B2" s="20">
        <v>7</v>
      </c>
      <c r="C2" s="33">
        <f>IF(ISBLANK(A2),"",A2/B2)</f>
        <v>2264.2857142857142</v>
      </c>
      <c r="E2" s="21">
        <v>1</v>
      </c>
      <c r="F2" s="21">
        <v>240</v>
      </c>
      <c r="G2" s="21">
        <v>0</v>
      </c>
    </row>
    <row r="3" spans="1:7" x14ac:dyDescent="0.25">
      <c r="A3" s="20">
        <v>46200</v>
      </c>
      <c r="B3" s="20">
        <v>19</v>
      </c>
      <c r="C3" s="33">
        <f t="shared" ref="C3:C66" si="0">IF(ISBLANK(A3),"",A3/B3)</f>
        <v>2431.5789473684213</v>
      </c>
      <c r="E3" s="21">
        <v>2</v>
      </c>
      <c r="F3" s="21">
        <v>300</v>
      </c>
      <c r="G3" s="21">
        <v>240</v>
      </c>
    </row>
    <row r="4" spans="1:7" x14ac:dyDescent="0.25">
      <c r="A4" s="20">
        <v>115100</v>
      </c>
      <c r="B4" s="20">
        <v>36</v>
      </c>
      <c r="C4" s="33">
        <f t="shared" si="0"/>
        <v>3197.2222222222222</v>
      </c>
      <c r="E4" s="21">
        <v>3</v>
      </c>
      <c r="F4" s="21">
        <v>360</v>
      </c>
      <c r="G4" s="21">
        <v>540</v>
      </c>
    </row>
    <row r="5" spans="1:7" x14ac:dyDescent="0.25">
      <c r="A5" s="20">
        <v>14900</v>
      </c>
      <c r="B5" s="20">
        <v>6</v>
      </c>
      <c r="C5" s="33">
        <f t="shared" si="0"/>
        <v>2483.3333333333335</v>
      </c>
      <c r="E5" s="21">
        <v>4</v>
      </c>
      <c r="F5" s="21">
        <v>420</v>
      </c>
      <c r="G5" s="21">
        <v>900</v>
      </c>
    </row>
    <row r="6" spans="1:7" x14ac:dyDescent="0.25">
      <c r="A6" s="20">
        <v>149500</v>
      </c>
      <c r="B6" s="20">
        <v>57</v>
      </c>
      <c r="C6" s="33">
        <f t="shared" si="0"/>
        <v>2622.8070175438597</v>
      </c>
      <c r="E6" s="21">
        <v>5</v>
      </c>
      <c r="F6" s="21">
        <v>480</v>
      </c>
      <c r="G6" s="21">
        <v>1320</v>
      </c>
    </row>
    <row r="7" spans="1:7" x14ac:dyDescent="0.25">
      <c r="A7" s="20">
        <v>14300</v>
      </c>
      <c r="B7" s="20">
        <v>5</v>
      </c>
      <c r="C7" s="33">
        <f t="shared" si="0"/>
        <v>2860</v>
      </c>
      <c r="E7" s="21">
        <v>6</v>
      </c>
      <c r="F7" s="21">
        <v>540</v>
      </c>
      <c r="G7" s="21">
        <v>1800</v>
      </c>
    </row>
    <row r="8" spans="1:7" x14ac:dyDescent="0.25">
      <c r="A8" s="20">
        <v>6400</v>
      </c>
      <c r="B8" s="20">
        <v>2</v>
      </c>
      <c r="C8" s="33">
        <f t="shared" si="0"/>
        <v>3200</v>
      </c>
      <c r="E8" s="21">
        <v>7</v>
      </c>
      <c r="F8" s="21">
        <v>600</v>
      </c>
      <c r="G8" s="21">
        <v>2340</v>
      </c>
    </row>
    <row r="9" spans="1:7" x14ac:dyDescent="0.25">
      <c r="A9" s="20">
        <v>364050</v>
      </c>
      <c r="B9" s="20">
        <v>145</v>
      </c>
      <c r="C9" s="33">
        <f t="shared" si="0"/>
        <v>2510.6896551724139</v>
      </c>
      <c r="E9" s="21">
        <v>8</v>
      </c>
      <c r="F9" s="21">
        <v>660</v>
      </c>
      <c r="G9" s="21">
        <v>2940</v>
      </c>
    </row>
    <row r="10" spans="1:7" x14ac:dyDescent="0.25">
      <c r="A10" s="20">
        <v>17400</v>
      </c>
      <c r="B10" s="20">
        <v>7</v>
      </c>
      <c r="C10" s="33">
        <f t="shared" si="0"/>
        <v>2485.7142857142858</v>
      </c>
      <c r="E10" s="21">
        <v>9</v>
      </c>
      <c r="F10" s="21">
        <v>720</v>
      </c>
      <c r="G10" s="21">
        <v>3600</v>
      </c>
    </row>
    <row r="11" spans="1:7" x14ac:dyDescent="0.25">
      <c r="A11" s="20">
        <v>12300</v>
      </c>
      <c r="B11" s="20">
        <v>5</v>
      </c>
      <c r="C11" s="33">
        <f t="shared" si="0"/>
        <v>2460</v>
      </c>
      <c r="E11" s="21">
        <v>10</v>
      </c>
      <c r="F11" s="21">
        <v>780</v>
      </c>
      <c r="G11" s="21">
        <v>4320</v>
      </c>
    </row>
    <row r="12" spans="1:7" x14ac:dyDescent="0.25">
      <c r="A12" s="20">
        <v>13150</v>
      </c>
      <c r="B12" s="20">
        <v>5</v>
      </c>
      <c r="C12" s="33">
        <f t="shared" si="0"/>
        <v>2630</v>
      </c>
      <c r="E12" s="21">
        <v>11</v>
      </c>
      <c r="F12" s="21">
        <v>900</v>
      </c>
      <c r="G12" s="21">
        <v>5100</v>
      </c>
    </row>
    <row r="13" spans="1:7" x14ac:dyDescent="0.25">
      <c r="A13" s="20">
        <v>62700</v>
      </c>
      <c r="B13" s="20">
        <v>26</v>
      </c>
      <c r="C13" s="33">
        <f t="shared" si="0"/>
        <v>2411.5384615384614</v>
      </c>
      <c r="E13" s="21">
        <v>12</v>
      </c>
      <c r="F13" s="21">
        <v>1020</v>
      </c>
      <c r="G13" s="21">
        <v>6000</v>
      </c>
    </row>
    <row r="14" spans="1:7" x14ac:dyDescent="0.25">
      <c r="A14" s="20">
        <v>13800</v>
      </c>
      <c r="B14" s="20">
        <v>4</v>
      </c>
      <c r="C14" s="33">
        <f t="shared" si="0"/>
        <v>3450</v>
      </c>
      <c r="E14" s="21">
        <v>13</v>
      </c>
      <c r="F14" s="21">
        <v>1140</v>
      </c>
      <c r="G14" s="21">
        <v>7020</v>
      </c>
    </row>
    <row r="15" spans="1:7" x14ac:dyDescent="0.25">
      <c r="A15" s="20">
        <v>255900</v>
      </c>
      <c r="B15" s="20">
        <v>88</v>
      </c>
      <c r="C15" s="33">
        <f t="shared" si="0"/>
        <v>2907.9545454545455</v>
      </c>
      <c r="E15" s="21">
        <v>14</v>
      </c>
      <c r="F15" s="21">
        <v>1260</v>
      </c>
      <c r="G15" s="21">
        <v>8160</v>
      </c>
    </row>
    <row r="16" spans="1:7" x14ac:dyDescent="0.25">
      <c r="A16" s="20">
        <v>43350</v>
      </c>
      <c r="B16" s="20">
        <v>15</v>
      </c>
      <c r="C16" s="33">
        <f t="shared" si="0"/>
        <v>2890</v>
      </c>
      <c r="E16" s="21">
        <v>15</v>
      </c>
      <c r="F16" s="21">
        <v>1380</v>
      </c>
      <c r="G16" s="21">
        <v>9420</v>
      </c>
    </row>
    <row r="17" spans="1:7" x14ac:dyDescent="0.25">
      <c r="A17" s="20">
        <v>39650</v>
      </c>
      <c r="B17" s="20">
        <v>16</v>
      </c>
      <c r="C17" s="33">
        <f t="shared" si="0"/>
        <v>2478.125</v>
      </c>
      <c r="E17" s="21">
        <v>16</v>
      </c>
      <c r="F17" s="21">
        <v>1500</v>
      </c>
      <c r="G17" s="21">
        <v>10800</v>
      </c>
    </row>
    <row r="18" spans="1:7" x14ac:dyDescent="0.25">
      <c r="C18" s="33" t="str">
        <f t="shared" si="0"/>
        <v/>
      </c>
      <c r="E18" s="21">
        <v>17</v>
      </c>
      <c r="F18" s="21">
        <v>1620</v>
      </c>
      <c r="G18" s="21">
        <v>12300</v>
      </c>
    </row>
    <row r="19" spans="1:7" x14ac:dyDescent="0.25">
      <c r="C19" s="33" t="str">
        <f t="shared" si="0"/>
        <v/>
      </c>
      <c r="E19" s="21">
        <v>18</v>
      </c>
      <c r="F19" s="21">
        <v>1740</v>
      </c>
      <c r="G19" s="21">
        <v>13920</v>
      </c>
    </row>
    <row r="20" spans="1:7" x14ac:dyDescent="0.25">
      <c r="C20" s="33" t="str">
        <f t="shared" si="0"/>
        <v/>
      </c>
      <c r="E20" s="21">
        <v>19</v>
      </c>
      <c r="F20" s="21">
        <v>1860</v>
      </c>
      <c r="G20" s="21">
        <v>15660</v>
      </c>
    </row>
    <row r="21" spans="1:7" x14ac:dyDescent="0.25">
      <c r="C21" s="33" t="str">
        <f t="shared" si="0"/>
        <v/>
      </c>
      <c r="E21" s="21">
        <v>20</v>
      </c>
      <c r="F21" s="21">
        <v>1980</v>
      </c>
      <c r="G21" s="21">
        <v>17520</v>
      </c>
    </row>
    <row r="22" spans="1:7" x14ac:dyDescent="0.25">
      <c r="C22" s="33" t="str">
        <f t="shared" si="0"/>
        <v/>
      </c>
      <c r="E22" s="21">
        <v>21</v>
      </c>
      <c r="F22" s="21">
        <v>2160</v>
      </c>
      <c r="G22" s="21">
        <v>19500</v>
      </c>
    </row>
    <row r="23" spans="1:7" x14ac:dyDescent="0.25">
      <c r="C23" s="33" t="str">
        <f t="shared" si="0"/>
        <v/>
      </c>
      <c r="E23" s="21">
        <v>22</v>
      </c>
      <c r="F23" s="21">
        <v>2340</v>
      </c>
      <c r="G23" s="21">
        <v>21660</v>
      </c>
    </row>
    <row r="24" spans="1:7" x14ac:dyDescent="0.25">
      <c r="C24" s="33" t="str">
        <f t="shared" si="0"/>
        <v/>
      </c>
      <c r="E24" s="21">
        <v>23</v>
      </c>
      <c r="F24" s="21">
        <v>2520</v>
      </c>
      <c r="G24" s="21">
        <v>24000</v>
      </c>
    </row>
    <row r="25" spans="1:7" x14ac:dyDescent="0.25">
      <c r="C25" s="33" t="str">
        <f t="shared" si="0"/>
        <v/>
      </c>
      <c r="E25" s="21">
        <v>24</v>
      </c>
      <c r="F25" s="21">
        <v>2700</v>
      </c>
      <c r="G25" s="21">
        <v>26520</v>
      </c>
    </row>
    <row r="26" spans="1:7" x14ac:dyDescent="0.25">
      <c r="C26" s="33" t="str">
        <f t="shared" si="0"/>
        <v/>
      </c>
      <c r="E26" s="21">
        <v>25</v>
      </c>
      <c r="F26" s="21">
        <v>2880</v>
      </c>
      <c r="G26" s="21">
        <v>29220</v>
      </c>
    </row>
    <row r="27" spans="1:7" x14ac:dyDescent="0.25">
      <c r="C27" s="33" t="str">
        <f t="shared" si="0"/>
        <v/>
      </c>
      <c r="E27" s="21">
        <v>26</v>
      </c>
      <c r="F27" s="21">
        <v>3060</v>
      </c>
      <c r="G27" s="21">
        <v>32100</v>
      </c>
    </row>
    <row r="28" spans="1:7" x14ac:dyDescent="0.25">
      <c r="C28" s="33" t="str">
        <f t="shared" si="0"/>
        <v/>
      </c>
      <c r="E28" s="21">
        <v>27</v>
      </c>
      <c r="F28" s="21">
        <v>3240</v>
      </c>
      <c r="G28" s="21">
        <v>35160</v>
      </c>
    </row>
    <row r="29" spans="1:7" x14ac:dyDescent="0.25">
      <c r="C29" s="33" t="str">
        <f t="shared" si="0"/>
        <v/>
      </c>
      <c r="E29" s="21">
        <v>28</v>
      </c>
      <c r="F29" s="21">
        <v>3420</v>
      </c>
      <c r="G29" s="21">
        <v>38400</v>
      </c>
    </row>
    <row r="30" spans="1:7" x14ac:dyDescent="0.25">
      <c r="C30" s="33" t="str">
        <f t="shared" si="0"/>
        <v/>
      </c>
      <c r="E30" s="21">
        <v>29</v>
      </c>
      <c r="F30" s="21">
        <v>3600</v>
      </c>
      <c r="G30" s="21">
        <v>41820</v>
      </c>
    </row>
    <row r="31" spans="1:7" x14ac:dyDescent="0.25">
      <c r="C31" s="33" t="str">
        <f t="shared" si="0"/>
        <v/>
      </c>
      <c r="E31" s="21">
        <v>30</v>
      </c>
      <c r="F31" s="21">
        <v>3780</v>
      </c>
      <c r="G31" s="21">
        <v>45420</v>
      </c>
    </row>
    <row r="32" spans="1:7" x14ac:dyDescent="0.25">
      <c r="C32" s="33" t="str">
        <f t="shared" si="0"/>
        <v/>
      </c>
      <c r="E32" s="21">
        <v>31</v>
      </c>
      <c r="F32" s="21">
        <v>4020</v>
      </c>
      <c r="G32" s="21">
        <v>49200</v>
      </c>
    </row>
    <row r="33" spans="3:7" x14ac:dyDescent="0.25">
      <c r="C33" s="33" t="str">
        <f t="shared" si="0"/>
        <v/>
      </c>
      <c r="E33" s="21">
        <v>32</v>
      </c>
      <c r="F33" s="21">
        <v>4260</v>
      </c>
      <c r="G33" s="21">
        <v>53220</v>
      </c>
    </row>
    <row r="34" spans="3:7" x14ac:dyDescent="0.25">
      <c r="C34" s="33" t="str">
        <f t="shared" si="0"/>
        <v/>
      </c>
      <c r="E34" s="21">
        <v>33</v>
      </c>
      <c r="F34" s="21">
        <v>4500</v>
      </c>
      <c r="G34" s="21">
        <v>57480</v>
      </c>
    </row>
    <row r="35" spans="3:7" x14ac:dyDescent="0.25">
      <c r="C35" s="33" t="str">
        <f t="shared" si="0"/>
        <v/>
      </c>
      <c r="E35" s="21">
        <v>34</v>
      </c>
      <c r="F35" s="21">
        <v>4740</v>
      </c>
      <c r="G35" s="21">
        <v>61980</v>
      </c>
    </row>
    <row r="36" spans="3:7" x14ac:dyDescent="0.25">
      <c r="C36" s="33" t="str">
        <f t="shared" si="0"/>
        <v/>
      </c>
      <c r="E36" s="21">
        <v>35</v>
      </c>
      <c r="F36" s="21">
        <v>4980</v>
      </c>
      <c r="G36" s="21">
        <v>66720</v>
      </c>
    </row>
    <row r="37" spans="3:7" x14ac:dyDescent="0.25">
      <c r="C37" s="33" t="str">
        <f t="shared" si="0"/>
        <v/>
      </c>
      <c r="E37" s="21">
        <v>36</v>
      </c>
      <c r="F37" s="21">
        <v>5220</v>
      </c>
      <c r="G37" s="21">
        <v>71700</v>
      </c>
    </row>
    <row r="38" spans="3:7" x14ac:dyDescent="0.25">
      <c r="C38" s="33" t="str">
        <f t="shared" si="0"/>
        <v/>
      </c>
      <c r="E38" s="21">
        <v>37</v>
      </c>
      <c r="F38" s="21">
        <v>5460</v>
      </c>
      <c r="G38" s="21">
        <v>76920</v>
      </c>
    </row>
    <row r="39" spans="3:7" x14ac:dyDescent="0.25">
      <c r="C39" s="33" t="str">
        <f t="shared" si="0"/>
        <v/>
      </c>
      <c r="E39" s="21">
        <v>38</v>
      </c>
      <c r="F39" s="21">
        <v>5700</v>
      </c>
      <c r="G39" s="21">
        <v>82380</v>
      </c>
    </row>
    <row r="40" spans="3:7" x14ac:dyDescent="0.25">
      <c r="C40" s="33" t="str">
        <f t="shared" si="0"/>
        <v/>
      </c>
      <c r="E40" s="21">
        <v>39</v>
      </c>
      <c r="F40" s="21">
        <v>5940</v>
      </c>
      <c r="G40" s="21">
        <v>88080</v>
      </c>
    </row>
    <row r="41" spans="3:7" x14ac:dyDescent="0.25">
      <c r="C41" s="33" t="str">
        <f t="shared" si="0"/>
        <v/>
      </c>
      <c r="E41" s="21">
        <v>40</v>
      </c>
      <c r="F41" s="21">
        <v>6180</v>
      </c>
      <c r="G41" s="21">
        <v>94020</v>
      </c>
    </row>
    <row r="42" spans="3:7" x14ac:dyDescent="0.25">
      <c r="C42" s="33" t="str">
        <f t="shared" si="0"/>
        <v/>
      </c>
      <c r="E42" s="21">
        <v>41</v>
      </c>
      <c r="F42" s="21">
        <v>6480</v>
      </c>
      <c r="G42" s="21">
        <v>100200</v>
      </c>
    </row>
    <row r="43" spans="3:7" x14ac:dyDescent="0.25">
      <c r="C43" s="33" t="str">
        <f t="shared" si="0"/>
        <v/>
      </c>
      <c r="E43" s="21">
        <v>42</v>
      </c>
      <c r="F43" s="21">
        <v>6780</v>
      </c>
      <c r="G43" s="21">
        <v>106680</v>
      </c>
    </row>
    <row r="44" spans="3:7" x14ac:dyDescent="0.25">
      <c r="C44" s="33" t="str">
        <f t="shared" si="0"/>
        <v/>
      </c>
      <c r="E44" s="21">
        <v>43</v>
      </c>
      <c r="F44" s="21">
        <v>7080</v>
      </c>
      <c r="G44" s="21">
        <v>113460</v>
      </c>
    </row>
    <row r="45" spans="3:7" x14ac:dyDescent="0.25">
      <c r="C45" s="33" t="str">
        <f t="shared" si="0"/>
        <v/>
      </c>
      <c r="E45" s="21">
        <v>44</v>
      </c>
      <c r="F45" s="21">
        <v>7380</v>
      </c>
      <c r="G45" s="21">
        <v>120540</v>
      </c>
    </row>
    <row r="46" spans="3:7" x14ac:dyDescent="0.25">
      <c r="C46" s="33" t="str">
        <f t="shared" si="0"/>
        <v/>
      </c>
      <c r="E46" s="21">
        <v>45</v>
      </c>
      <c r="F46" s="21">
        <v>7680</v>
      </c>
      <c r="G46" s="21">
        <v>127920</v>
      </c>
    </row>
    <row r="47" spans="3:7" x14ac:dyDescent="0.25">
      <c r="C47" s="33" t="str">
        <f t="shared" si="0"/>
        <v/>
      </c>
      <c r="E47" s="21">
        <v>46</v>
      </c>
      <c r="F47" s="21">
        <v>7980</v>
      </c>
      <c r="G47" s="21">
        <v>135600</v>
      </c>
    </row>
    <row r="48" spans="3:7" x14ac:dyDescent="0.25">
      <c r="C48" s="33" t="str">
        <f t="shared" si="0"/>
        <v/>
      </c>
      <c r="E48" s="21">
        <v>47</v>
      </c>
      <c r="F48" s="21">
        <v>8280</v>
      </c>
      <c r="G48" s="21">
        <v>143580</v>
      </c>
    </row>
    <row r="49" spans="3:7" x14ac:dyDescent="0.25">
      <c r="C49" s="33" t="str">
        <f t="shared" si="0"/>
        <v/>
      </c>
      <c r="E49" s="21">
        <v>48</v>
      </c>
      <c r="F49" s="21">
        <v>8580</v>
      </c>
      <c r="G49" s="21">
        <v>151860</v>
      </c>
    </row>
    <row r="50" spans="3:7" x14ac:dyDescent="0.25">
      <c r="C50" s="33" t="str">
        <f t="shared" si="0"/>
        <v/>
      </c>
      <c r="E50" s="21">
        <v>49</v>
      </c>
      <c r="F50" s="21">
        <v>8880</v>
      </c>
      <c r="G50" s="21">
        <v>160440</v>
      </c>
    </row>
    <row r="51" spans="3:7" x14ac:dyDescent="0.25">
      <c r="C51" s="33" t="str">
        <f t="shared" si="0"/>
        <v/>
      </c>
      <c r="E51" s="21">
        <v>50</v>
      </c>
      <c r="F51" s="21">
        <v>9180</v>
      </c>
      <c r="G51" s="21">
        <v>169320</v>
      </c>
    </row>
    <row r="52" spans="3:7" x14ac:dyDescent="0.25">
      <c r="C52" s="33" t="str">
        <f t="shared" si="0"/>
        <v/>
      </c>
      <c r="E52" s="21">
        <v>51</v>
      </c>
      <c r="F52" s="21">
        <v>9540</v>
      </c>
      <c r="G52" s="21">
        <v>178500</v>
      </c>
    </row>
    <row r="53" spans="3:7" x14ac:dyDescent="0.25">
      <c r="C53" s="33" t="str">
        <f t="shared" si="0"/>
        <v/>
      </c>
      <c r="E53" s="21">
        <v>52</v>
      </c>
      <c r="F53" s="21">
        <v>9900</v>
      </c>
      <c r="G53" s="21">
        <v>188040</v>
      </c>
    </row>
    <row r="54" spans="3:7" x14ac:dyDescent="0.25">
      <c r="C54" s="33" t="str">
        <f t="shared" si="0"/>
        <v/>
      </c>
      <c r="E54" s="21">
        <v>53</v>
      </c>
      <c r="F54" s="21">
        <v>10260</v>
      </c>
      <c r="G54" s="21">
        <v>197940</v>
      </c>
    </row>
    <row r="55" spans="3:7" x14ac:dyDescent="0.25">
      <c r="C55" s="33" t="str">
        <f t="shared" si="0"/>
        <v/>
      </c>
      <c r="E55" s="21">
        <v>54</v>
      </c>
      <c r="F55" s="21">
        <v>10620</v>
      </c>
      <c r="G55" s="21">
        <v>208200</v>
      </c>
    </row>
    <row r="56" spans="3:7" x14ac:dyDescent="0.25">
      <c r="C56" s="33" t="str">
        <f t="shared" si="0"/>
        <v/>
      </c>
      <c r="E56" s="21">
        <v>55</v>
      </c>
      <c r="F56" s="21">
        <v>10980</v>
      </c>
      <c r="G56" s="21">
        <v>218820</v>
      </c>
    </row>
    <row r="57" spans="3:7" x14ac:dyDescent="0.25">
      <c r="C57" s="33" t="str">
        <f t="shared" si="0"/>
        <v/>
      </c>
      <c r="E57" s="21">
        <v>56</v>
      </c>
      <c r="F57" s="21">
        <v>11340</v>
      </c>
      <c r="G57" s="21">
        <v>229800</v>
      </c>
    </row>
    <row r="58" spans="3:7" x14ac:dyDescent="0.25">
      <c r="C58" s="33" t="str">
        <f t="shared" si="0"/>
        <v/>
      </c>
      <c r="E58" s="21">
        <v>57</v>
      </c>
      <c r="F58" s="21">
        <v>11700</v>
      </c>
      <c r="G58" s="21">
        <v>241140</v>
      </c>
    </row>
    <row r="59" spans="3:7" x14ac:dyDescent="0.25">
      <c r="C59" s="33" t="str">
        <f t="shared" si="0"/>
        <v/>
      </c>
      <c r="E59" s="21">
        <v>58</v>
      </c>
      <c r="F59" s="21">
        <v>12060</v>
      </c>
      <c r="G59" s="21">
        <v>252840</v>
      </c>
    </row>
    <row r="60" spans="3:7" x14ac:dyDescent="0.25">
      <c r="C60" s="33" t="str">
        <f t="shared" si="0"/>
        <v/>
      </c>
      <c r="E60" s="21">
        <v>59</v>
      </c>
      <c r="F60" s="21">
        <v>12420</v>
      </c>
      <c r="G60" s="21">
        <v>264900</v>
      </c>
    </row>
    <row r="61" spans="3:7" x14ac:dyDescent="0.25">
      <c r="C61" s="33" t="str">
        <f t="shared" si="0"/>
        <v/>
      </c>
      <c r="E61" s="21">
        <v>60</v>
      </c>
      <c r="F61" s="21">
        <v>12780</v>
      </c>
      <c r="G61" s="21">
        <v>277320</v>
      </c>
    </row>
    <row r="62" spans="3:7" x14ac:dyDescent="0.25">
      <c r="C62" s="33" t="str">
        <f t="shared" si="0"/>
        <v/>
      </c>
      <c r="E62" s="21">
        <v>61</v>
      </c>
      <c r="F62" s="21">
        <v>13230</v>
      </c>
      <c r="G62" s="21">
        <v>290100</v>
      </c>
    </row>
    <row r="63" spans="3:7" x14ac:dyDescent="0.25">
      <c r="C63" s="33" t="str">
        <f t="shared" si="0"/>
        <v/>
      </c>
      <c r="E63" s="21">
        <v>62</v>
      </c>
      <c r="F63" s="21">
        <v>13680</v>
      </c>
      <c r="G63" s="21">
        <v>303330</v>
      </c>
    </row>
    <row r="64" spans="3:7" x14ac:dyDescent="0.25">
      <c r="C64" s="33" t="str">
        <f t="shared" si="0"/>
        <v/>
      </c>
      <c r="E64" s="21">
        <v>63</v>
      </c>
      <c r="F64" s="21">
        <v>14130</v>
      </c>
      <c r="G64" s="21">
        <v>317010</v>
      </c>
    </row>
    <row r="65" spans="3:7" x14ac:dyDescent="0.25">
      <c r="C65" s="33" t="str">
        <f t="shared" si="0"/>
        <v/>
      </c>
      <c r="E65" s="21">
        <v>64</v>
      </c>
      <c r="F65" s="21">
        <v>14580</v>
      </c>
      <c r="G65" s="21">
        <v>331140</v>
      </c>
    </row>
    <row r="66" spans="3:7" x14ac:dyDescent="0.25">
      <c r="C66" s="33" t="str">
        <f t="shared" si="0"/>
        <v/>
      </c>
      <c r="E66" s="21">
        <v>65</v>
      </c>
      <c r="F66" s="21">
        <v>15030</v>
      </c>
      <c r="G66" s="21">
        <v>345720</v>
      </c>
    </row>
    <row r="67" spans="3:7" x14ac:dyDescent="0.25">
      <c r="C67" s="33" t="str">
        <f t="shared" ref="C67:C101" si="1">IF(ISBLANK(A67),"",A67/B67)</f>
        <v/>
      </c>
      <c r="E67" s="21">
        <v>66</v>
      </c>
      <c r="F67" s="21">
        <v>15480</v>
      </c>
      <c r="G67" s="21">
        <v>360750</v>
      </c>
    </row>
    <row r="68" spans="3:7" x14ac:dyDescent="0.25">
      <c r="C68" s="33" t="str">
        <f t="shared" si="1"/>
        <v/>
      </c>
      <c r="E68" s="21">
        <v>67</v>
      </c>
      <c r="F68" s="21">
        <v>15930</v>
      </c>
      <c r="G68" s="21">
        <v>376230</v>
      </c>
    </row>
    <row r="69" spans="3:7" x14ac:dyDescent="0.25">
      <c r="C69" s="33" t="str">
        <f t="shared" si="1"/>
        <v/>
      </c>
      <c r="E69" s="21">
        <v>68</v>
      </c>
      <c r="F69" s="21">
        <v>16380</v>
      </c>
      <c r="G69" s="21">
        <v>392160</v>
      </c>
    </row>
    <row r="70" spans="3:7" x14ac:dyDescent="0.25">
      <c r="C70" s="33" t="str">
        <f t="shared" si="1"/>
        <v/>
      </c>
      <c r="E70" s="21">
        <v>69</v>
      </c>
      <c r="F70" s="21">
        <v>16830</v>
      </c>
      <c r="G70" s="21">
        <v>408540</v>
      </c>
    </row>
    <row r="71" spans="3:7" x14ac:dyDescent="0.25">
      <c r="C71" s="33" t="str">
        <f t="shared" si="1"/>
        <v/>
      </c>
      <c r="E71" s="21">
        <v>70</v>
      </c>
      <c r="F71" s="21">
        <v>17280</v>
      </c>
      <c r="G71" s="21">
        <v>425370</v>
      </c>
    </row>
    <row r="72" spans="3:7" x14ac:dyDescent="0.25">
      <c r="C72" s="33" t="str">
        <f t="shared" si="1"/>
        <v/>
      </c>
      <c r="E72" s="21">
        <v>71</v>
      </c>
      <c r="F72" s="21">
        <v>17880</v>
      </c>
      <c r="G72" s="21">
        <v>442650</v>
      </c>
    </row>
    <row r="73" spans="3:7" x14ac:dyDescent="0.25">
      <c r="C73" s="33" t="str">
        <f t="shared" si="1"/>
        <v/>
      </c>
      <c r="E73" s="21">
        <v>72</v>
      </c>
      <c r="F73" s="21">
        <v>18480</v>
      </c>
      <c r="G73" s="21">
        <v>460530</v>
      </c>
    </row>
    <row r="74" spans="3:7" x14ac:dyDescent="0.25">
      <c r="C74" s="33" t="str">
        <f t="shared" si="1"/>
        <v/>
      </c>
      <c r="E74" s="21">
        <v>73</v>
      </c>
      <c r="F74" s="21">
        <v>19080</v>
      </c>
      <c r="G74" s="21">
        <v>479010</v>
      </c>
    </row>
    <row r="75" spans="3:7" x14ac:dyDescent="0.25">
      <c r="C75" s="33" t="str">
        <f t="shared" si="1"/>
        <v/>
      </c>
      <c r="E75" s="21">
        <v>74</v>
      </c>
      <c r="F75" s="21">
        <v>19680</v>
      </c>
      <c r="G75" s="21">
        <v>498090</v>
      </c>
    </row>
    <row r="76" spans="3:7" x14ac:dyDescent="0.25">
      <c r="C76" s="33" t="str">
        <f t="shared" si="1"/>
        <v/>
      </c>
      <c r="E76" s="21">
        <v>75</v>
      </c>
      <c r="F76" s="21">
        <v>20280</v>
      </c>
      <c r="G76" s="21">
        <v>517770</v>
      </c>
    </row>
    <row r="77" spans="3:7" x14ac:dyDescent="0.25">
      <c r="C77" s="33" t="str">
        <f t="shared" si="1"/>
        <v/>
      </c>
      <c r="E77" s="21">
        <v>76</v>
      </c>
      <c r="F77" s="21">
        <v>20880</v>
      </c>
      <c r="G77" s="21">
        <v>538050</v>
      </c>
    </row>
    <row r="78" spans="3:7" x14ac:dyDescent="0.25">
      <c r="C78" s="33" t="str">
        <f t="shared" si="1"/>
        <v/>
      </c>
      <c r="E78" s="21">
        <v>77</v>
      </c>
      <c r="F78" s="21">
        <v>21480</v>
      </c>
      <c r="G78" s="21">
        <v>558930</v>
      </c>
    </row>
    <row r="79" spans="3:7" x14ac:dyDescent="0.25">
      <c r="C79" s="33" t="str">
        <f t="shared" si="1"/>
        <v/>
      </c>
      <c r="E79" s="21">
        <v>78</v>
      </c>
      <c r="F79" s="21">
        <v>22080</v>
      </c>
      <c r="G79" s="21">
        <v>580410</v>
      </c>
    </row>
    <row r="80" spans="3:7" x14ac:dyDescent="0.25">
      <c r="C80" s="33" t="str">
        <f t="shared" si="1"/>
        <v/>
      </c>
      <c r="E80" s="21">
        <v>79</v>
      </c>
      <c r="F80" s="21">
        <v>22680</v>
      </c>
      <c r="G80" s="21">
        <v>602490</v>
      </c>
    </row>
    <row r="81" spans="3:7" x14ac:dyDescent="0.25">
      <c r="C81" s="33" t="str">
        <f t="shared" si="1"/>
        <v/>
      </c>
      <c r="E81" s="21">
        <v>80</v>
      </c>
      <c r="F81" s="21">
        <v>23280</v>
      </c>
      <c r="G81" s="21">
        <v>625170</v>
      </c>
    </row>
    <row r="82" spans="3:7" x14ac:dyDescent="0.25">
      <c r="C82" s="33" t="str">
        <f t="shared" si="1"/>
        <v/>
      </c>
      <c r="E82" s="21">
        <v>81</v>
      </c>
      <c r="F82" s="21">
        <v>24030</v>
      </c>
      <c r="G82" s="21">
        <v>648450</v>
      </c>
    </row>
    <row r="83" spans="3:7" x14ac:dyDescent="0.25">
      <c r="C83" s="33" t="str">
        <f t="shared" si="1"/>
        <v/>
      </c>
      <c r="E83" s="21">
        <v>82</v>
      </c>
      <c r="F83" s="21">
        <v>24780</v>
      </c>
      <c r="G83" s="21">
        <v>672480</v>
      </c>
    </row>
    <row r="84" spans="3:7" x14ac:dyDescent="0.25">
      <c r="C84" s="33" t="str">
        <f t="shared" si="1"/>
        <v/>
      </c>
      <c r="E84" s="21">
        <v>83</v>
      </c>
      <c r="F84" s="21">
        <v>25530</v>
      </c>
      <c r="G84" s="21">
        <v>697260</v>
      </c>
    </row>
    <row r="85" spans="3:7" x14ac:dyDescent="0.25">
      <c r="C85" s="33" t="str">
        <f t="shared" si="1"/>
        <v/>
      </c>
      <c r="E85" s="21">
        <v>84</v>
      </c>
      <c r="F85" s="21">
        <v>26280</v>
      </c>
      <c r="G85" s="21">
        <v>722790</v>
      </c>
    </row>
    <row r="86" spans="3:7" x14ac:dyDescent="0.25">
      <c r="C86" s="33" t="str">
        <f t="shared" si="1"/>
        <v/>
      </c>
      <c r="E86" s="21">
        <v>85</v>
      </c>
      <c r="F86" s="21">
        <v>27030</v>
      </c>
      <c r="G86" s="21">
        <v>749070</v>
      </c>
    </row>
    <row r="87" spans="3:7" x14ac:dyDescent="0.25">
      <c r="C87" s="33" t="str">
        <f t="shared" si="1"/>
        <v/>
      </c>
      <c r="E87" s="21">
        <v>86</v>
      </c>
      <c r="F87" s="21">
        <v>27780</v>
      </c>
      <c r="G87" s="21">
        <v>776100</v>
      </c>
    </row>
    <row r="88" spans="3:7" x14ac:dyDescent="0.25">
      <c r="C88" s="33" t="str">
        <f t="shared" si="1"/>
        <v/>
      </c>
      <c r="E88" s="21">
        <v>87</v>
      </c>
      <c r="F88" s="21">
        <v>28530</v>
      </c>
      <c r="G88" s="21">
        <v>803880</v>
      </c>
    </row>
    <row r="89" spans="3:7" x14ac:dyDescent="0.25">
      <c r="C89" s="33" t="str">
        <f t="shared" si="1"/>
        <v/>
      </c>
      <c r="E89" s="21">
        <v>88</v>
      </c>
      <c r="F89" s="21">
        <v>29280</v>
      </c>
      <c r="G89" s="21">
        <v>832410</v>
      </c>
    </row>
    <row r="90" spans="3:7" x14ac:dyDescent="0.25">
      <c r="C90" s="33" t="str">
        <f t="shared" si="1"/>
        <v/>
      </c>
      <c r="E90" s="21">
        <v>89</v>
      </c>
      <c r="F90" s="21">
        <v>30030</v>
      </c>
      <c r="G90" s="21">
        <v>861690</v>
      </c>
    </row>
    <row r="91" spans="3:7" x14ac:dyDescent="0.25">
      <c r="C91" s="33" t="str">
        <f t="shared" si="1"/>
        <v/>
      </c>
      <c r="E91" s="21">
        <v>90</v>
      </c>
      <c r="F91" s="21">
        <v>30780</v>
      </c>
      <c r="G91" s="21">
        <v>891720</v>
      </c>
    </row>
    <row r="92" spans="3:7" x14ac:dyDescent="0.25">
      <c r="C92" s="33" t="str">
        <f t="shared" si="1"/>
        <v/>
      </c>
      <c r="E92" s="21">
        <v>91</v>
      </c>
      <c r="F92" s="21">
        <v>31680</v>
      </c>
      <c r="G92" s="21">
        <v>922500</v>
      </c>
    </row>
    <row r="93" spans="3:7" x14ac:dyDescent="0.25">
      <c r="C93" s="33" t="str">
        <f t="shared" si="1"/>
        <v/>
      </c>
      <c r="E93" s="21">
        <v>92</v>
      </c>
      <c r="F93" s="21">
        <v>32580</v>
      </c>
      <c r="G93" s="21">
        <v>954180</v>
      </c>
    </row>
    <row r="94" spans="3:7" x14ac:dyDescent="0.25">
      <c r="C94" s="33" t="str">
        <f t="shared" si="1"/>
        <v/>
      </c>
      <c r="E94" s="21">
        <v>93</v>
      </c>
      <c r="F94" s="21">
        <v>33480</v>
      </c>
      <c r="G94" s="21">
        <v>986760</v>
      </c>
    </row>
    <row r="95" spans="3:7" x14ac:dyDescent="0.25">
      <c r="C95" s="33" t="str">
        <f t="shared" si="1"/>
        <v/>
      </c>
      <c r="E95" s="21">
        <v>94</v>
      </c>
      <c r="F95" s="21">
        <v>34380</v>
      </c>
      <c r="G95" s="21">
        <v>1020240</v>
      </c>
    </row>
    <row r="96" spans="3:7" x14ac:dyDescent="0.25">
      <c r="C96" s="33" t="str">
        <f t="shared" si="1"/>
        <v/>
      </c>
      <c r="E96" s="21">
        <v>95</v>
      </c>
      <c r="F96" s="21">
        <v>35280</v>
      </c>
      <c r="G96" s="21">
        <v>1054620</v>
      </c>
    </row>
    <row r="97" spans="3:7" x14ac:dyDescent="0.25">
      <c r="C97" s="33" t="str">
        <f t="shared" si="1"/>
        <v/>
      </c>
      <c r="E97" s="21">
        <v>96</v>
      </c>
      <c r="F97" s="21">
        <v>36180</v>
      </c>
      <c r="G97" s="21">
        <v>1089900</v>
      </c>
    </row>
    <row r="98" spans="3:7" x14ac:dyDescent="0.25">
      <c r="C98" s="33" t="str">
        <f t="shared" si="1"/>
        <v/>
      </c>
      <c r="E98" s="21">
        <v>97</v>
      </c>
      <c r="F98" s="21">
        <v>37080</v>
      </c>
      <c r="G98" s="21">
        <v>1126080</v>
      </c>
    </row>
    <row r="99" spans="3:7" x14ac:dyDescent="0.25">
      <c r="C99" s="33" t="str">
        <f t="shared" si="1"/>
        <v/>
      </c>
      <c r="E99" s="21">
        <v>98</v>
      </c>
      <c r="F99" s="21">
        <v>37980</v>
      </c>
      <c r="G99" s="21">
        <v>1163160</v>
      </c>
    </row>
    <row r="100" spans="3:7" x14ac:dyDescent="0.25">
      <c r="C100" s="33" t="str">
        <f t="shared" si="1"/>
        <v/>
      </c>
      <c r="E100" s="21">
        <v>99</v>
      </c>
      <c r="F100" s="21">
        <v>38880</v>
      </c>
      <c r="G100" s="21">
        <v>1201140</v>
      </c>
    </row>
    <row r="101" spans="3:7" x14ac:dyDescent="0.25">
      <c r="C101" s="33" t="str">
        <f t="shared" si="1"/>
        <v/>
      </c>
      <c r="E101" s="21">
        <v>100</v>
      </c>
      <c r="F101" s="21">
        <v>0</v>
      </c>
      <c r="G101" s="21">
        <v>1240020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theme="4" tint="0.59999389629810485"/>
  </sheetPr>
  <dimension ref="A1:AU33"/>
  <sheetViews>
    <sheetView workbookViewId="0">
      <selection activeCell="P19" sqref="P19"/>
    </sheetView>
  </sheetViews>
  <sheetFormatPr defaultColWidth="9.140625" defaultRowHeight="15" x14ac:dyDescent="0.25"/>
  <cols>
    <col min="1" max="1" width="6.85546875" style="72" customWidth="1"/>
    <col min="2" max="2" width="4.85546875" style="168" customWidth="1"/>
    <col min="3" max="3" width="4.85546875" style="87" customWidth="1"/>
    <col min="4" max="4" width="6.85546875" style="72" customWidth="1"/>
    <col min="5" max="5" width="4.85546875" style="168" customWidth="1"/>
    <col min="6" max="6" width="4.85546875" style="87" customWidth="1"/>
    <col min="7" max="7" width="6.85546875" style="9" customWidth="1"/>
    <col min="8" max="8" width="4.85546875" style="6" customWidth="1"/>
    <col min="9" max="9" width="4.85546875" style="88" customWidth="1"/>
    <col min="10" max="10" width="6.85546875" style="73" customWidth="1"/>
    <col min="11" max="11" width="4.85546875" style="175" customWidth="1"/>
    <col min="12" max="12" width="4.85546875" style="88" customWidth="1"/>
    <col min="13" max="13" width="6.85546875" style="74" customWidth="1"/>
    <col min="14" max="14" width="4.85546875" style="166" customWidth="1"/>
    <col min="15" max="15" width="4.85546875" style="89" customWidth="1"/>
    <col min="16" max="16" width="6.85546875" style="74" customWidth="1"/>
    <col min="17" max="17" width="4.85546875" style="166" customWidth="1"/>
    <col min="18" max="18" width="4.85546875" style="89" customWidth="1"/>
    <col min="19" max="19" width="6.85546875" style="75" customWidth="1"/>
    <col min="20" max="20" width="4.85546875" style="164" customWidth="1"/>
    <col min="21" max="21" width="4.85546875" style="90" customWidth="1"/>
    <col min="22" max="22" width="6.85546875" style="75" customWidth="1"/>
    <col min="23" max="23" width="4.85546875" style="164" customWidth="1"/>
    <col min="24" max="24" width="4.85546875" style="90" customWidth="1"/>
    <col min="25" max="25" width="6.85546875" style="76" customWidth="1"/>
    <col min="26" max="26" width="4.85546875" style="177" customWidth="1"/>
    <col min="27" max="27" width="4.85546875" style="91" customWidth="1"/>
    <col min="28" max="28" width="6.85546875" style="76" customWidth="1"/>
    <col min="29" max="29" width="4.85546875" style="177" customWidth="1"/>
    <col min="30" max="30" width="4.85546875" style="91" customWidth="1"/>
    <col min="31" max="31" width="6.85546875" style="172" customWidth="1"/>
    <col min="32" max="32" width="4.85546875" style="179" customWidth="1"/>
    <col min="33" max="33" width="6.85546875" style="158" customWidth="1"/>
    <col min="34" max="34" width="4.85546875" style="181" customWidth="1"/>
    <col min="35" max="35" width="7.85546875" style="162" customWidth="1"/>
    <col min="36" max="36" width="4.85546875" style="183" customWidth="1"/>
    <col min="37" max="37" width="4.85546875" style="198" customWidth="1"/>
    <col min="38" max="38" width="3.5703125" customWidth="1"/>
    <col min="39" max="39" width="4.28515625" style="70" customWidth="1"/>
    <col min="40" max="46" width="5.42578125" style="70" customWidth="1"/>
    <col min="47" max="47" width="9.42578125" style="70" customWidth="1"/>
    <col min="48" max="16384" width="9.140625" style="71"/>
  </cols>
  <sheetData>
    <row r="1" spans="1:47" x14ac:dyDescent="0.25">
      <c r="A1" s="242" t="s">
        <v>108</v>
      </c>
      <c r="B1" s="242"/>
      <c r="C1" s="242" t="s">
        <v>30</v>
      </c>
      <c r="D1" s="252" t="s">
        <v>109</v>
      </c>
      <c r="E1" s="252"/>
      <c r="F1" s="242" t="s">
        <v>30</v>
      </c>
      <c r="G1" s="248" t="s">
        <v>108</v>
      </c>
      <c r="H1" s="248"/>
      <c r="I1" s="248" t="s">
        <v>30</v>
      </c>
      <c r="J1" s="251" t="s">
        <v>109</v>
      </c>
      <c r="K1" s="251"/>
      <c r="L1" s="248" t="s">
        <v>30</v>
      </c>
      <c r="M1" s="249" t="s">
        <v>108</v>
      </c>
      <c r="N1" s="249"/>
      <c r="O1" s="249" t="s">
        <v>30</v>
      </c>
      <c r="P1" s="250" t="s">
        <v>109</v>
      </c>
      <c r="Q1" s="250"/>
      <c r="R1" s="249" t="s">
        <v>30</v>
      </c>
      <c r="S1" s="246" t="s">
        <v>108</v>
      </c>
      <c r="T1" s="246"/>
      <c r="U1" s="246" t="s">
        <v>30</v>
      </c>
      <c r="V1" s="247" t="s">
        <v>109</v>
      </c>
      <c r="W1" s="247"/>
      <c r="X1" s="246" t="s">
        <v>30</v>
      </c>
      <c r="Y1" s="244" t="s">
        <v>108</v>
      </c>
      <c r="Z1" s="244"/>
      <c r="AA1" s="244" t="s">
        <v>30</v>
      </c>
      <c r="AB1" s="245" t="s">
        <v>109</v>
      </c>
      <c r="AC1" s="245"/>
      <c r="AD1" s="244" t="s">
        <v>30</v>
      </c>
      <c r="AE1" s="255" t="s">
        <v>119</v>
      </c>
      <c r="AF1" s="255"/>
      <c r="AG1" s="256" t="s">
        <v>120</v>
      </c>
      <c r="AH1" s="256"/>
      <c r="AI1" s="253" t="s">
        <v>121</v>
      </c>
      <c r="AJ1" s="253"/>
      <c r="AK1" s="254" t="s">
        <v>30</v>
      </c>
      <c r="AM1" s="243" t="s">
        <v>71</v>
      </c>
      <c r="AN1" s="243"/>
      <c r="AO1" s="243"/>
      <c r="AP1" s="243"/>
      <c r="AQ1" s="243"/>
      <c r="AR1" s="243"/>
      <c r="AS1" s="243"/>
      <c r="AT1" s="243"/>
      <c r="AU1" s="243"/>
    </row>
    <row r="2" spans="1:47" x14ac:dyDescent="0.25">
      <c r="A2" s="170" t="s">
        <v>32</v>
      </c>
      <c r="B2" s="173" t="s">
        <v>118</v>
      </c>
      <c r="C2" s="242"/>
      <c r="D2" s="171" t="s">
        <v>32</v>
      </c>
      <c r="E2" s="173" t="s">
        <v>118</v>
      </c>
      <c r="F2" s="242"/>
      <c r="G2" s="169" t="s">
        <v>32</v>
      </c>
      <c r="H2" s="167" t="s">
        <v>118</v>
      </c>
      <c r="I2" s="248"/>
      <c r="J2" s="142" t="s">
        <v>32</v>
      </c>
      <c r="K2" s="174" t="s">
        <v>118</v>
      </c>
      <c r="L2" s="248"/>
      <c r="M2" s="143" t="s">
        <v>32</v>
      </c>
      <c r="N2" s="165" t="s">
        <v>118</v>
      </c>
      <c r="O2" s="249"/>
      <c r="P2" s="143" t="s">
        <v>32</v>
      </c>
      <c r="Q2" s="165" t="s">
        <v>118</v>
      </c>
      <c r="R2" s="249"/>
      <c r="S2" s="144" t="s">
        <v>32</v>
      </c>
      <c r="T2" s="163" t="s">
        <v>118</v>
      </c>
      <c r="U2" s="246"/>
      <c r="V2" s="144" t="s">
        <v>32</v>
      </c>
      <c r="W2" s="163" t="s">
        <v>118</v>
      </c>
      <c r="X2" s="246"/>
      <c r="Y2" s="145" t="s">
        <v>32</v>
      </c>
      <c r="Z2" s="176" t="s">
        <v>118</v>
      </c>
      <c r="AA2" s="244"/>
      <c r="AB2" s="145" t="s">
        <v>32</v>
      </c>
      <c r="AC2" s="176" t="s">
        <v>118</v>
      </c>
      <c r="AD2" s="244"/>
      <c r="AE2" s="156" t="s">
        <v>32</v>
      </c>
      <c r="AF2" s="178" t="s">
        <v>118</v>
      </c>
      <c r="AG2" s="157" t="s">
        <v>32</v>
      </c>
      <c r="AH2" s="180" t="s">
        <v>118</v>
      </c>
      <c r="AI2" s="161" t="s">
        <v>32</v>
      </c>
      <c r="AJ2" s="182" t="s">
        <v>118</v>
      </c>
      <c r="AK2" s="254"/>
      <c r="AM2" s="70" t="s">
        <v>19</v>
      </c>
      <c r="AN2" s="70" t="s">
        <v>18</v>
      </c>
      <c r="AO2" s="70" t="s">
        <v>17</v>
      </c>
      <c r="AP2" s="70" t="s">
        <v>16</v>
      </c>
      <c r="AQ2" s="70" t="s">
        <v>15</v>
      </c>
      <c r="AR2" s="70" t="s">
        <v>96</v>
      </c>
      <c r="AS2" s="70" t="s">
        <v>1</v>
      </c>
      <c r="AT2" s="70" t="s">
        <v>0</v>
      </c>
      <c r="AU2" s="70" t="s">
        <v>25</v>
      </c>
    </row>
    <row r="3" spans="1:47" x14ac:dyDescent="0.25">
      <c r="B3" s="7"/>
      <c r="D3" s="72">
        <f>E3/F3</f>
        <v>3.5363427697016068</v>
      </c>
      <c r="E3" s="168">
        <v>4622</v>
      </c>
      <c r="F3" s="87">
        <v>1307</v>
      </c>
      <c r="J3" s="73">
        <f t="shared" ref="J3:J17" si="0">K3/L3</f>
        <v>3.5274390243902438</v>
      </c>
      <c r="K3" s="175">
        <v>1157</v>
      </c>
      <c r="L3" s="88">
        <v>328</v>
      </c>
      <c r="P3" s="74">
        <f t="shared" ref="P3:P8" si="1">Q3/R3</f>
        <v>3.5833333333333335</v>
      </c>
      <c r="Q3" s="166">
        <v>172</v>
      </c>
      <c r="R3" s="89">
        <v>48</v>
      </c>
      <c r="V3" s="75">
        <f t="shared" ref="V3:V8" si="2">W3/X3</f>
        <v>3.5063291139240507</v>
      </c>
      <c r="W3" s="164">
        <v>554</v>
      </c>
      <c r="X3" s="90">
        <v>158</v>
      </c>
      <c r="Y3" s="76">
        <f>Z3/AD8</f>
        <v>1.44</v>
      </c>
      <c r="Z3" s="177">
        <v>72</v>
      </c>
      <c r="AA3" s="91">
        <v>50</v>
      </c>
      <c r="AB3" s="76">
        <f t="shared" ref="AB3:AB9" si="3">AC3/AD3</f>
        <v>3.547945205479452</v>
      </c>
      <c r="AC3" s="177">
        <v>518</v>
      </c>
      <c r="AD3" s="63">
        <v>146</v>
      </c>
      <c r="AE3" s="172">
        <f>AF3/AK3</f>
        <v>1.68</v>
      </c>
      <c r="AF3" s="179">
        <v>84</v>
      </c>
      <c r="AG3" s="158">
        <f>AH3/AK3</f>
        <v>1.96</v>
      </c>
      <c r="AH3" s="181">
        <v>98</v>
      </c>
      <c r="AI3" s="162">
        <f>AJ3/AK3</f>
        <v>12.24</v>
      </c>
      <c r="AJ3" s="183">
        <v>612</v>
      </c>
      <c r="AK3" s="198">
        <v>50</v>
      </c>
      <c r="AM3" s="70">
        <v>1</v>
      </c>
      <c r="AN3" s="70">
        <v>2380</v>
      </c>
      <c r="AO3" s="70">
        <v>715</v>
      </c>
      <c r="AP3" s="70">
        <v>650</v>
      </c>
      <c r="AQ3" s="70">
        <v>1430</v>
      </c>
      <c r="AR3" s="70">
        <v>200</v>
      </c>
      <c r="AS3" s="70">
        <v>3</v>
      </c>
      <c r="AT3" s="70">
        <v>3</v>
      </c>
      <c r="AU3" s="77">
        <v>25.6875</v>
      </c>
    </row>
    <row r="4" spans="1:47" x14ac:dyDescent="0.25">
      <c r="B4" s="7"/>
      <c r="D4" s="72">
        <f>E4/F4</f>
        <v>3.4642857142857144</v>
      </c>
      <c r="E4" s="168">
        <v>97</v>
      </c>
      <c r="F4" s="87">
        <v>28</v>
      </c>
      <c r="J4" s="73">
        <f t="shared" si="0"/>
        <v>3.625</v>
      </c>
      <c r="K4" s="175">
        <v>58</v>
      </c>
      <c r="L4" s="88">
        <v>16</v>
      </c>
      <c r="P4" s="74">
        <f t="shared" si="1"/>
        <v>3.4444444444444446</v>
      </c>
      <c r="Q4" s="166">
        <v>93</v>
      </c>
      <c r="R4" s="89">
        <v>27</v>
      </c>
      <c r="V4" s="75">
        <f t="shared" si="2"/>
        <v>3.4966442953020134</v>
      </c>
      <c r="W4" s="164">
        <v>521</v>
      </c>
      <c r="X4" s="90">
        <v>149</v>
      </c>
      <c r="Y4" s="76">
        <f>Z4/AD9</f>
        <v>2</v>
      </c>
      <c r="Z4" s="177">
        <v>2</v>
      </c>
      <c r="AA4" s="192">
        <v>1</v>
      </c>
      <c r="AB4" s="76">
        <f t="shared" si="3"/>
        <v>3.3333333333333335</v>
      </c>
      <c r="AC4" s="177">
        <v>10</v>
      </c>
      <c r="AD4" s="63">
        <v>3</v>
      </c>
      <c r="AE4" s="172">
        <f>AF4/AK4</f>
        <v>2</v>
      </c>
      <c r="AF4" s="179">
        <v>2</v>
      </c>
      <c r="AG4" s="158">
        <f>AH4/AK4</f>
        <v>2</v>
      </c>
      <c r="AH4" s="181">
        <v>2</v>
      </c>
      <c r="AI4" s="162">
        <f>AJ4/AK4</f>
        <v>13</v>
      </c>
      <c r="AJ4" s="183">
        <v>13</v>
      </c>
      <c r="AK4" s="198">
        <v>1</v>
      </c>
      <c r="AM4" s="70">
        <v>2</v>
      </c>
      <c r="AN4" s="70">
        <v>2370</v>
      </c>
      <c r="AO4" s="70">
        <v>715</v>
      </c>
      <c r="AP4" s="70">
        <v>650</v>
      </c>
      <c r="AQ4" s="70">
        <v>1430</v>
      </c>
      <c r="AR4" s="70">
        <v>200</v>
      </c>
      <c r="AS4" s="70">
        <v>3.5</v>
      </c>
      <c r="AT4" s="70">
        <v>3</v>
      </c>
      <c r="AU4" s="77">
        <v>25.666666666666668</v>
      </c>
    </row>
    <row r="5" spans="1:47" x14ac:dyDescent="0.25">
      <c r="B5" s="7"/>
      <c r="D5" s="72">
        <f>E5/F5</f>
        <v>3.5</v>
      </c>
      <c r="E5" s="168">
        <v>7</v>
      </c>
      <c r="F5" s="87">
        <v>2</v>
      </c>
      <c r="J5" s="73">
        <f t="shared" si="0"/>
        <v>3.48</v>
      </c>
      <c r="K5" s="175">
        <v>87</v>
      </c>
      <c r="L5" s="88">
        <v>25</v>
      </c>
      <c r="P5" s="74">
        <f t="shared" si="1"/>
        <v>3.3571428571428572</v>
      </c>
      <c r="Q5" s="166">
        <v>94</v>
      </c>
      <c r="R5" s="89">
        <v>28</v>
      </c>
      <c r="V5" s="75">
        <f t="shared" si="2"/>
        <v>3.5</v>
      </c>
      <c r="W5" s="164">
        <v>63</v>
      </c>
      <c r="X5" s="90">
        <v>18</v>
      </c>
      <c r="Y5" s="12"/>
      <c r="AA5" s="192"/>
      <c r="AB5" s="76">
        <f t="shared" si="3"/>
        <v>3.4727272727272727</v>
      </c>
      <c r="AC5" s="177">
        <v>191</v>
      </c>
      <c r="AD5" s="63">
        <v>55</v>
      </c>
      <c r="AM5" s="70">
        <v>3</v>
      </c>
      <c r="AN5" s="70">
        <v>2360</v>
      </c>
      <c r="AO5" s="70">
        <v>715</v>
      </c>
      <c r="AP5" s="70">
        <v>650</v>
      </c>
      <c r="AQ5" s="70">
        <v>1430</v>
      </c>
      <c r="AR5" s="70">
        <v>200</v>
      </c>
      <c r="AS5" s="70">
        <v>3.5</v>
      </c>
      <c r="AT5" s="70">
        <v>3.5</v>
      </c>
      <c r="AU5" s="77">
        <v>25.625</v>
      </c>
    </row>
    <row r="6" spans="1:47" x14ac:dyDescent="0.25">
      <c r="B6" s="7"/>
      <c r="D6" s="72" t="s">
        <v>110</v>
      </c>
      <c r="J6" s="73">
        <f t="shared" si="0"/>
        <v>3</v>
      </c>
      <c r="K6" s="175">
        <v>12</v>
      </c>
      <c r="L6" s="88">
        <v>4</v>
      </c>
      <c r="P6" s="74">
        <f t="shared" si="1"/>
        <v>3.3157894736842106</v>
      </c>
      <c r="Q6" s="166">
        <v>63</v>
      </c>
      <c r="R6" s="89">
        <v>19</v>
      </c>
      <c r="V6" s="75">
        <f t="shared" si="2"/>
        <v>3.5142857142857142</v>
      </c>
      <c r="W6" s="164">
        <v>123</v>
      </c>
      <c r="X6" s="90">
        <v>35</v>
      </c>
      <c r="Y6" s="12"/>
      <c r="Z6" s="3"/>
      <c r="AA6" s="192"/>
      <c r="AB6" s="76">
        <f t="shared" si="3"/>
        <v>3.6</v>
      </c>
      <c r="AC6" s="177">
        <v>90</v>
      </c>
      <c r="AD6" s="63">
        <v>25</v>
      </c>
      <c r="AM6" s="70">
        <v>4</v>
      </c>
      <c r="AN6" s="70">
        <v>2350</v>
      </c>
      <c r="AO6" s="70">
        <v>715</v>
      </c>
      <c r="AP6" s="70">
        <v>650</v>
      </c>
      <c r="AQ6" s="70">
        <v>1430</v>
      </c>
      <c r="AR6" s="70">
        <v>200</v>
      </c>
      <c r="AS6" s="70">
        <v>4</v>
      </c>
      <c r="AT6" s="70">
        <v>3.5</v>
      </c>
      <c r="AU6" s="77">
        <v>25.541666666666668</v>
      </c>
    </row>
    <row r="7" spans="1:47" x14ac:dyDescent="0.25">
      <c r="B7" s="7"/>
      <c r="D7" s="72" t="s">
        <v>110</v>
      </c>
      <c r="J7" s="73">
        <f t="shared" si="0"/>
        <v>3.5118110236220472</v>
      </c>
      <c r="K7" s="175">
        <v>446</v>
      </c>
      <c r="L7" s="88">
        <v>127</v>
      </c>
      <c r="P7" s="74">
        <f t="shared" si="1"/>
        <v>3.6842105263157894</v>
      </c>
      <c r="Q7" s="166">
        <v>70</v>
      </c>
      <c r="R7" s="89">
        <v>19</v>
      </c>
      <c r="V7" s="75">
        <f t="shared" si="2"/>
        <v>3.8181818181818183</v>
      </c>
      <c r="W7" s="164">
        <v>42</v>
      </c>
      <c r="X7" s="90">
        <v>11</v>
      </c>
      <c r="Y7" s="12"/>
      <c r="AB7" s="76">
        <f t="shared" si="3"/>
        <v>3.5925925925925926</v>
      </c>
      <c r="AC7" s="177">
        <v>194</v>
      </c>
      <c r="AD7" s="91">
        <v>54</v>
      </c>
      <c r="AM7" s="70">
        <v>5</v>
      </c>
      <c r="AN7" s="70">
        <v>2340</v>
      </c>
      <c r="AO7" s="70">
        <v>715</v>
      </c>
      <c r="AP7" s="70">
        <v>650</v>
      </c>
      <c r="AQ7" s="70">
        <v>1430</v>
      </c>
      <c r="AR7" s="70">
        <v>200</v>
      </c>
      <c r="AS7" s="70">
        <v>4</v>
      </c>
      <c r="AT7" s="70">
        <v>4</v>
      </c>
      <c r="AU7" s="77">
        <v>25.416666666666668</v>
      </c>
    </row>
    <row r="8" spans="1:47" x14ac:dyDescent="0.25">
      <c r="B8" s="7"/>
      <c r="D8" s="72" t="s">
        <v>110</v>
      </c>
      <c r="J8" s="73">
        <f t="shared" si="0"/>
        <v>3.4133333333333336</v>
      </c>
      <c r="K8" s="175">
        <v>256</v>
      </c>
      <c r="L8" s="88">
        <v>75</v>
      </c>
      <c r="P8" s="74">
        <f t="shared" si="1"/>
        <v>4</v>
      </c>
      <c r="Q8" s="166">
        <v>4</v>
      </c>
      <c r="R8" s="89">
        <v>1</v>
      </c>
      <c r="V8" s="75">
        <f t="shared" si="2"/>
        <v>3.6666666666666665</v>
      </c>
      <c r="W8" s="164">
        <v>22</v>
      </c>
      <c r="X8" s="90">
        <v>6</v>
      </c>
      <c r="AB8" s="76">
        <f t="shared" si="3"/>
        <v>3.48</v>
      </c>
      <c r="AC8" s="177">
        <v>174</v>
      </c>
      <c r="AD8" s="91">
        <v>50</v>
      </c>
      <c r="AG8" s="158" t="s">
        <v>110</v>
      </c>
      <c r="AI8" s="162" t="s">
        <v>110</v>
      </c>
      <c r="AM8" s="70">
        <v>6</v>
      </c>
      <c r="AN8" s="70">
        <v>2320</v>
      </c>
      <c r="AO8" s="70">
        <v>715</v>
      </c>
      <c r="AP8" s="70">
        <v>650</v>
      </c>
      <c r="AQ8" s="70">
        <v>1430</v>
      </c>
      <c r="AR8" s="70">
        <v>200</v>
      </c>
      <c r="AS8" s="70">
        <v>4.5</v>
      </c>
      <c r="AT8" s="70">
        <v>4</v>
      </c>
      <c r="AU8" s="77">
        <v>25.25</v>
      </c>
    </row>
    <row r="9" spans="1:47" x14ac:dyDescent="0.25">
      <c r="B9" s="7"/>
      <c r="D9" s="72" t="s">
        <v>110</v>
      </c>
      <c r="J9" s="73">
        <f t="shared" si="0"/>
        <v>3.5</v>
      </c>
      <c r="K9" s="175">
        <v>140</v>
      </c>
      <c r="L9" s="88">
        <v>40</v>
      </c>
      <c r="P9" s="74" t="s">
        <v>110</v>
      </c>
      <c r="V9" s="75" t="s">
        <v>110</v>
      </c>
      <c r="AB9" s="76">
        <f t="shared" si="3"/>
        <v>3</v>
      </c>
      <c r="AC9" s="177">
        <v>3</v>
      </c>
      <c r="AD9" s="91">
        <v>1</v>
      </c>
      <c r="AG9" s="158" t="s">
        <v>110</v>
      </c>
      <c r="AI9" s="162" t="s">
        <v>110</v>
      </c>
      <c r="AM9" s="70">
        <v>7</v>
      </c>
      <c r="AN9" s="70">
        <v>2300</v>
      </c>
      <c r="AO9" s="70">
        <v>715</v>
      </c>
      <c r="AP9" s="70">
        <v>650</v>
      </c>
      <c r="AQ9" s="70">
        <v>1430</v>
      </c>
      <c r="AR9" s="70">
        <v>200</v>
      </c>
      <c r="AS9" s="70">
        <v>4.5</v>
      </c>
      <c r="AT9" s="70">
        <v>4.5</v>
      </c>
      <c r="AU9" s="77">
        <v>25.041666666666668</v>
      </c>
    </row>
    <row r="10" spans="1:47" x14ac:dyDescent="0.25">
      <c r="B10" s="7"/>
      <c r="D10" s="72" t="s">
        <v>110</v>
      </c>
      <c r="J10" s="73">
        <f t="shared" si="0"/>
        <v>3.4545454545454546</v>
      </c>
      <c r="K10" s="175">
        <v>608</v>
      </c>
      <c r="L10" s="88">
        <v>176</v>
      </c>
      <c r="P10" s="74" t="s">
        <v>110</v>
      </c>
      <c r="V10" s="75" t="s">
        <v>110</v>
      </c>
      <c r="AB10" s="76" t="s">
        <v>110</v>
      </c>
      <c r="AG10" s="158" t="s">
        <v>110</v>
      </c>
      <c r="AI10" s="162" t="s">
        <v>110</v>
      </c>
      <c r="AM10" s="70">
        <v>8</v>
      </c>
      <c r="AN10" s="70">
        <v>2280</v>
      </c>
      <c r="AO10" s="70">
        <v>715</v>
      </c>
      <c r="AP10" s="70">
        <v>650</v>
      </c>
      <c r="AQ10" s="70">
        <v>1430</v>
      </c>
      <c r="AR10" s="70">
        <v>200</v>
      </c>
      <c r="AS10" s="70">
        <v>5</v>
      </c>
      <c r="AT10" s="70">
        <v>4.5</v>
      </c>
      <c r="AU10" s="77">
        <v>24.791666666666668</v>
      </c>
    </row>
    <row r="11" spans="1:47" x14ac:dyDescent="0.25">
      <c r="B11" s="7"/>
      <c r="D11" s="72" t="s">
        <v>110</v>
      </c>
      <c r="J11" s="73">
        <f t="shared" si="0"/>
        <v>3.1111111111111112</v>
      </c>
      <c r="K11" s="175">
        <v>28</v>
      </c>
      <c r="L11" s="88">
        <v>9</v>
      </c>
      <c r="P11" s="74" t="s">
        <v>110</v>
      </c>
      <c r="V11" s="75" t="s">
        <v>110</v>
      </c>
      <c r="AB11" s="76" t="s">
        <v>110</v>
      </c>
      <c r="AG11" s="158" t="s">
        <v>110</v>
      </c>
      <c r="AI11" s="162" t="s">
        <v>110</v>
      </c>
      <c r="AM11" s="70">
        <v>9</v>
      </c>
      <c r="AN11" s="70">
        <v>2260</v>
      </c>
      <c r="AO11" s="70">
        <v>715</v>
      </c>
      <c r="AP11" s="70">
        <v>650</v>
      </c>
      <c r="AQ11" s="70">
        <v>1430</v>
      </c>
      <c r="AR11" s="70">
        <v>200</v>
      </c>
      <c r="AS11" s="70">
        <v>5</v>
      </c>
      <c r="AT11" s="70">
        <v>5</v>
      </c>
      <c r="AU11" s="77">
        <v>24.5</v>
      </c>
    </row>
    <row r="12" spans="1:47" x14ac:dyDescent="0.25">
      <c r="B12" s="7"/>
      <c r="D12" s="72" t="s">
        <v>110</v>
      </c>
      <c r="J12" s="73">
        <f t="shared" si="0"/>
        <v>3.3333333333333335</v>
      </c>
      <c r="K12" s="175">
        <v>60</v>
      </c>
      <c r="L12" s="88">
        <v>18</v>
      </c>
      <c r="P12" s="74" t="s">
        <v>110</v>
      </c>
      <c r="V12" s="75" t="s">
        <v>110</v>
      </c>
      <c r="AB12" s="76" t="s">
        <v>110</v>
      </c>
      <c r="AG12" s="158" t="s">
        <v>110</v>
      </c>
      <c r="AI12" s="162" t="s">
        <v>110</v>
      </c>
      <c r="AM12" s="70">
        <v>10</v>
      </c>
      <c r="AN12" s="70">
        <v>2240</v>
      </c>
      <c r="AO12" s="70">
        <v>715</v>
      </c>
      <c r="AP12" s="70">
        <v>650</v>
      </c>
      <c r="AQ12" s="70">
        <v>1430</v>
      </c>
      <c r="AR12" s="70">
        <v>200</v>
      </c>
      <c r="AS12" s="70">
        <v>5.5</v>
      </c>
      <c r="AT12" s="70">
        <v>5</v>
      </c>
      <c r="AU12" s="77">
        <v>24.166666666666668</v>
      </c>
    </row>
    <row r="13" spans="1:47" x14ac:dyDescent="0.25">
      <c r="B13" s="7"/>
      <c r="D13" s="72" t="s">
        <v>110</v>
      </c>
      <c r="J13" s="73">
        <f t="shared" si="0"/>
        <v>3.25</v>
      </c>
      <c r="K13" s="175">
        <v>13</v>
      </c>
      <c r="L13" s="88">
        <v>4</v>
      </c>
      <c r="P13" s="74" t="s">
        <v>110</v>
      </c>
      <c r="V13" s="75" t="s">
        <v>110</v>
      </c>
      <c r="AB13" s="76" t="s">
        <v>110</v>
      </c>
      <c r="AG13" s="158" t="s">
        <v>110</v>
      </c>
      <c r="AI13" s="162" t="s">
        <v>110</v>
      </c>
      <c r="AM13" s="70">
        <v>11</v>
      </c>
      <c r="AN13" s="70">
        <v>2210</v>
      </c>
      <c r="AO13" s="70">
        <v>710</v>
      </c>
      <c r="AP13" s="70">
        <v>650</v>
      </c>
      <c r="AQ13" s="70">
        <v>1420</v>
      </c>
      <c r="AR13" s="70">
        <v>200</v>
      </c>
      <c r="AS13" s="70">
        <v>5.5</v>
      </c>
      <c r="AT13" s="70">
        <v>5.5</v>
      </c>
      <c r="AU13" s="77">
        <v>23.75</v>
      </c>
    </row>
    <row r="14" spans="1:47" x14ac:dyDescent="0.25">
      <c r="B14" s="7"/>
      <c r="D14" s="72" t="s">
        <v>110</v>
      </c>
      <c r="J14" s="73">
        <f t="shared" si="0"/>
        <v>3.6</v>
      </c>
      <c r="K14" s="175">
        <v>18</v>
      </c>
      <c r="L14" s="88">
        <v>5</v>
      </c>
      <c r="P14" s="74" t="s">
        <v>110</v>
      </c>
      <c r="V14" s="75" t="s">
        <v>110</v>
      </c>
      <c r="AB14" s="76" t="s">
        <v>110</v>
      </c>
      <c r="AG14" s="158" t="s">
        <v>110</v>
      </c>
      <c r="AI14" s="162" t="s">
        <v>110</v>
      </c>
      <c r="AM14" s="70">
        <v>12</v>
      </c>
      <c r="AN14" s="70">
        <v>2180</v>
      </c>
      <c r="AO14" s="70">
        <v>705</v>
      </c>
      <c r="AP14" s="70">
        <v>650</v>
      </c>
      <c r="AQ14" s="70">
        <v>1410</v>
      </c>
      <c r="AR14" s="70">
        <v>200</v>
      </c>
      <c r="AS14" s="70">
        <v>6</v>
      </c>
      <c r="AT14" s="70">
        <v>5.5</v>
      </c>
      <c r="AU14" s="77">
        <v>23.25</v>
      </c>
    </row>
    <row r="15" spans="1:47" x14ac:dyDescent="0.25">
      <c r="B15" s="7"/>
      <c r="D15" s="72" t="s">
        <v>110</v>
      </c>
      <c r="J15" s="73">
        <f t="shared" si="0"/>
        <v>3.3529411764705883</v>
      </c>
      <c r="K15" s="175">
        <v>57</v>
      </c>
      <c r="L15" s="88">
        <v>17</v>
      </c>
      <c r="P15" s="74" t="s">
        <v>110</v>
      </c>
      <c r="V15" s="75" t="s">
        <v>110</v>
      </c>
      <c r="AB15" s="76" t="s">
        <v>110</v>
      </c>
      <c r="AG15" s="158" t="s">
        <v>110</v>
      </c>
      <c r="AI15" s="162" t="s">
        <v>110</v>
      </c>
      <c r="AM15" s="70">
        <v>13</v>
      </c>
      <c r="AN15" s="70">
        <v>2150</v>
      </c>
      <c r="AO15" s="70">
        <v>700</v>
      </c>
      <c r="AP15" s="70">
        <v>650</v>
      </c>
      <c r="AQ15" s="70">
        <v>1400</v>
      </c>
      <c r="AR15" s="70">
        <v>200</v>
      </c>
      <c r="AS15" s="70">
        <v>6</v>
      </c>
      <c r="AT15" s="70">
        <v>6</v>
      </c>
      <c r="AU15" s="77">
        <v>22.666666666666668</v>
      </c>
    </row>
    <row r="16" spans="1:47" x14ac:dyDescent="0.25">
      <c r="B16" s="7"/>
      <c r="D16" s="72" t="s">
        <v>110</v>
      </c>
      <c r="J16" s="73">
        <f t="shared" si="0"/>
        <v>3</v>
      </c>
      <c r="K16" s="175">
        <v>15</v>
      </c>
      <c r="L16" s="88">
        <v>5</v>
      </c>
      <c r="P16" s="74" t="s">
        <v>110</v>
      </c>
      <c r="V16" s="75" t="s">
        <v>110</v>
      </c>
      <c r="AB16" s="76" t="s">
        <v>110</v>
      </c>
      <c r="AG16" s="158" t="s">
        <v>110</v>
      </c>
      <c r="AI16" s="162" t="s">
        <v>110</v>
      </c>
      <c r="AM16" s="70">
        <v>15</v>
      </c>
      <c r="AN16" s="70">
        <v>2120</v>
      </c>
      <c r="AO16" s="70">
        <v>690</v>
      </c>
      <c r="AP16" s="70">
        <v>650</v>
      </c>
      <c r="AQ16" s="70">
        <v>1380</v>
      </c>
      <c r="AR16" s="70">
        <v>200</v>
      </c>
      <c r="AS16" s="70">
        <v>6.5</v>
      </c>
      <c r="AT16" s="70">
        <v>6</v>
      </c>
      <c r="AU16" s="77">
        <v>22</v>
      </c>
    </row>
    <row r="17" spans="2:47" x14ac:dyDescent="0.25">
      <c r="B17" s="7"/>
      <c r="D17" s="72" t="s">
        <v>110</v>
      </c>
      <c r="J17" s="73">
        <f t="shared" si="0"/>
        <v>3.40625</v>
      </c>
      <c r="K17" s="175">
        <v>109</v>
      </c>
      <c r="L17" s="88">
        <v>32</v>
      </c>
      <c r="P17" s="74" t="s">
        <v>110</v>
      </c>
      <c r="V17" s="75" t="s">
        <v>110</v>
      </c>
      <c r="AB17" s="76" t="s">
        <v>110</v>
      </c>
      <c r="AG17" s="158" t="s">
        <v>110</v>
      </c>
      <c r="AI17" s="162" t="s">
        <v>110</v>
      </c>
      <c r="AM17" s="70">
        <v>15</v>
      </c>
      <c r="AN17" s="70">
        <v>2120</v>
      </c>
      <c r="AO17" s="70">
        <v>690</v>
      </c>
      <c r="AP17" s="70">
        <v>650</v>
      </c>
      <c r="AQ17" s="70">
        <v>1380</v>
      </c>
      <c r="AR17" s="70">
        <v>200</v>
      </c>
      <c r="AS17" s="70">
        <v>6.5</v>
      </c>
      <c r="AT17" s="70">
        <v>6</v>
      </c>
      <c r="AU17" s="77">
        <v>21.25</v>
      </c>
    </row>
    <row r="18" spans="2:47" x14ac:dyDescent="0.25">
      <c r="B18" s="7"/>
      <c r="D18" s="72" t="s">
        <v>110</v>
      </c>
      <c r="J18" s="73" t="s">
        <v>110</v>
      </c>
      <c r="P18" s="74" t="s">
        <v>110</v>
      </c>
      <c r="V18" s="75" t="s">
        <v>110</v>
      </c>
      <c r="AB18" s="76" t="s">
        <v>110</v>
      </c>
      <c r="AG18" s="158" t="s">
        <v>110</v>
      </c>
      <c r="AI18" s="162" t="s">
        <v>110</v>
      </c>
      <c r="AM18" s="70">
        <v>16</v>
      </c>
      <c r="AN18" s="70">
        <v>2040</v>
      </c>
      <c r="AO18" s="70">
        <v>660</v>
      </c>
      <c r="AP18" s="70">
        <v>650</v>
      </c>
      <c r="AQ18" s="70">
        <v>1320</v>
      </c>
      <c r="AR18" s="70">
        <v>200</v>
      </c>
      <c r="AS18" s="70">
        <v>8</v>
      </c>
      <c r="AT18" s="70">
        <v>8</v>
      </c>
      <c r="AU18" s="77">
        <v>20.416666666666668</v>
      </c>
    </row>
    <row r="19" spans="2:47" x14ac:dyDescent="0.25">
      <c r="B19" s="7"/>
      <c r="D19" s="72" t="s">
        <v>110</v>
      </c>
      <c r="J19" s="73" t="s">
        <v>110</v>
      </c>
      <c r="P19" s="74" t="s">
        <v>110</v>
      </c>
      <c r="V19" s="75" t="s">
        <v>110</v>
      </c>
      <c r="AB19" s="76" t="s">
        <v>110</v>
      </c>
      <c r="AG19" s="158" t="s">
        <v>110</v>
      </c>
      <c r="AI19" s="162" t="s">
        <v>110</v>
      </c>
      <c r="AM19" s="70">
        <v>17</v>
      </c>
      <c r="AN19" s="70">
        <v>1990</v>
      </c>
      <c r="AO19" s="70">
        <v>640</v>
      </c>
      <c r="AP19" s="70">
        <v>650</v>
      </c>
      <c r="AQ19" s="70">
        <v>1280</v>
      </c>
      <c r="AR19" s="70">
        <v>200</v>
      </c>
      <c r="AS19" s="70">
        <v>8</v>
      </c>
      <c r="AT19" s="70">
        <v>8.5</v>
      </c>
      <c r="AU19" s="77">
        <v>19.5</v>
      </c>
    </row>
    <row r="20" spans="2:47" x14ac:dyDescent="0.25">
      <c r="B20" s="7"/>
      <c r="D20" s="72" t="s">
        <v>110</v>
      </c>
      <c r="J20" s="73" t="s">
        <v>110</v>
      </c>
      <c r="P20" s="74" t="s">
        <v>110</v>
      </c>
      <c r="V20" s="75" t="s">
        <v>110</v>
      </c>
      <c r="AB20" s="76" t="s">
        <v>110</v>
      </c>
      <c r="AG20" s="158" t="s">
        <v>110</v>
      </c>
      <c r="AI20" s="162" t="s">
        <v>110</v>
      </c>
      <c r="AM20" s="70">
        <v>18</v>
      </c>
      <c r="AN20" s="70">
        <v>1940</v>
      </c>
      <c r="AO20" s="70">
        <v>620</v>
      </c>
      <c r="AP20" s="70">
        <v>650</v>
      </c>
      <c r="AQ20" s="70">
        <v>1240</v>
      </c>
      <c r="AR20" s="70">
        <v>200</v>
      </c>
      <c r="AS20" s="70">
        <v>8.5</v>
      </c>
      <c r="AT20" s="70">
        <v>8.5</v>
      </c>
      <c r="AU20" s="77">
        <v>18.5</v>
      </c>
    </row>
    <row r="21" spans="2:47" x14ac:dyDescent="0.25">
      <c r="B21" s="7"/>
      <c r="D21" s="72" t="s">
        <v>110</v>
      </c>
      <c r="J21" s="73" t="s">
        <v>110</v>
      </c>
      <c r="P21" s="74" t="s">
        <v>110</v>
      </c>
      <c r="V21" s="75" t="s">
        <v>110</v>
      </c>
      <c r="AB21" s="76" t="s">
        <v>110</v>
      </c>
      <c r="AG21" s="158" t="s">
        <v>110</v>
      </c>
      <c r="AI21" s="162" t="s">
        <v>110</v>
      </c>
      <c r="AM21" s="70">
        <v>19</v>
      </c>
      <c r="AN21" s="70">
        <v>1870</v>
      </c>
      <c r="AO21" s="70">
        <v>590</v>
      </c>
      <c r="AP21" s="70">
        <v>650</v>
      </c>
      <c r="AQ21" s="70">
        <v>1180</v>
      </c>
      <c r="AR21" s="70">
        <v>200</v>
      </c>
      <c r="AS21" s="70">
        <v>8.5</v>
      </c>
      <c r="AT21" s="70">
        <v>9</v>
      </c>
      <c r="AU21" s="77">
        <v>17.416666666666668</v>
      </c>
    </row>
    <row r="22" spans="2:47" x14ac:dyDescent="0.25">
      <c r="B22" s="7"/>
      <c r="D22" s="72" t="s">
        <v>110</v>
      </c>
      <c r="J22" s="73" t="s">
        <v>110</v>
      </c>
      <c r="P22" s="74" t="s">
        <v>110</v>
      </c>
      <c r="V22" s="75" t="s">
        <v>110</v>
      </c>
      <c r="AB22" s="76" t="s">
        <v>110</v>
      </c>
      <c r="AG22" s="158" t="s">
        <v>110</v>
      </c>
      <c r="AI22" s="162" t="s">
        <v>110</v>
      </c>
      <c r="AM22" s="70">
        <v>20</v>
      </c>
      <c r="AN22" s="70">
        <v>1800</v>
      </c>
      <c r="AO22" s="70">
        <v>560</v>
      </c>
      <c r="AP22" s="70">
        <v>650</v>
      </c>
      <c r="AQ22" s="70">
        <v>1120</v>
      </c>
      <c r="AR22" s="70">
        <v>200</v>
      </c>
      <c r="AS22" s="70">
        <v>9</v>
      </c>
      <c r="AT22" s="70">
        <v>9</v>
      </c>
      <c r="AU22" s="77">
        <v>16.25</v>
      </c>
    </row>
    <row r="23" spans="2:47" x14ac:dyDescent="0.25">
      <c r="B23" s="7"/>
      <c r="D23" s="72" t="s">
        <v>110</v>
      </c>
      <c r="J23" s="73" t="s">
        <v>110</v>
      </c>
      <c r="P23" s="74" t="s">
        <v>110</v>
      </c>
      <c r="V23" s="75" t="s">
        <v>110</v>
      </c>
      <c r="AB23" s="76" t="s">
        <v>110</v>
      </c>
      <c r="AG23" s="158" t="s">
        <v>110</v>
      </c>
      <c r="AI23" s="162" t="s">
        <v>110</v>
      </c>
      <c r="AM23" s="70">
        <v>21</v>
      </c>
      <c r="AN23" s="70">
        <v>1700</v>
      </c>
      <c r="AO23" s="70">
        <v>520</v>
      </c>
      <c r="AP23" s="70">
        <v>630</v>
      </c>
      <c r="AQ23" s="70">
        <v>1040</v>
      </c>
      <c r="AR23" s="70">
        <v>200</v>
      </c>
      <c r="AS23" s="70">
        <v>9</v>
      </c>
      <c r="AT23" s="70">
        <v>9.5</v>
      </c>
      <c r="AU23" s="77">
        <v>15</v>
      </c>
    </row>
    <row r="24" spans="2:47" x14ac:dyDescent="0.25">
      <c r="B24" s="7"/>
      <c r="D24" s="72" t="s">
        <v>110</v>
      </c>
      <c r="J24" s="73" t="s">
        <v>110</v>
      </c>
      <c r="P24" s="74" t="s">
        <v>110</v>
      </c>
      <c r="V24" s="75" t="s">
        <v>110</v>
      </c>
      <c r="AB24" s="76" t="s">
        <v>110</v>
      </c>
      <c r="AG24" s="158" t="s">
        <v>110</v>
      </c>
      <c r="AI24" s="162" t="s">
        <v>110</v>
      </c>
      <c r="AM24" s="70">
        <v>22</v>
      </c>
      <c r="AN24" s="70">
        <v>1600</v>
      </c>
      <c r="AO24" s="70">
        <v>480</v>
      </c>
      <c r="AP24" s="70">
        <v>600</v>
      </c>
      <c r="AQ24" s="70">
        <v>960</v>
      </c>
      <c r="AR24" s="70">
        <v>200</v>
      </c>
      <c r="AS24" s="70">
        <v>9.5</v>
      </c>
      <c r="AT24" s="70">
        <v>9.5</v>
      </c>
      <c r="AU24" s="77">
        <v>13.666666666666666</v>
      </c>
    </row>
    <row r="25" spans="2:47" x14ac:dyDescent="0.25">
      <c r="B25" s="7"/>
      <c r="D25" s="72" t="s">
        <v>110</v>
      </c>
      <c r="J25" s="73" t="s">
        <v>110</v>
      </c>
      <c r="P25" s="74" t="s">
        <v>110</v>
      </c>
      <c r="V25" s="75" t="s">
        <v>110</v>
      </c>
      <c r="AB25" s="76" t="s">
        <v>110</v>
      </c>
      <c r="AG25" s="158" t="s">
        <v>110</v>
      </c>
      <c r="AI25" s="162" t="s">
        <v>110</v>
      </c>
      <c r="AM25" s="70">
        <v>23</v>
      </c>
      <c r="AN25" s="70">
        <v>1500</v>
      </c>
      <c r="AO25" s="70">
        <v>440</v>
      </c>
      <c r="AP25" s="70">
        <v>560</v>
      </c>
      <c r="AQ25" s="70">
        <v>880</v>
      </c>
      <c r="AR25" s="70">
        <v>200</v>
      </c>
      <c r="AS25" s="70">
        <v>9.5</v>
      </c>
      <c r="AT25" s="70">
        <v>10</v>
      </c>
      <c r="AU25" s="77">
        <v>12.25</v>
      </c>
    </row>
    <row r="26" spans="2:47" x14ac:dyDescent="0.25">
      <c r="B26" s="7"/>
      <c r="D26" s="72" t="s">
        <v>110</v>
      </c>
      <c r="J26" s="73" t="s">
        <v>110</v>
      </c>
      <c r="P26" s="74" t="s">
        <v>110</v>
      </c>
      <c r="V26" s="75" t="s">
        <v>110</v>
      </c>
      <c r="AB26" s="76" t="s">
        <v>110</v>
      </c>
      <c r="AG26" s="158" t="s">
        <v>110</v>
      </c>
      <c r="AI26" s="162" t="s">
        <v>110</v>
      </c>
      <c r="AM26" s="70">
        <v>24</v>
      </c>
      <c r="AN26" s="70">
        <v>1350</v>
      </c>
      <c r="AO26" s="70">
        <v>390</v>
      </c>
      <c r="AP26" s="70">
        <v>510</v>
      </c>
      <c r="AQ26" s="70">
        <v>780</v>
      </c>
      <c r="AR26" s="70">
        <v>200</v>
      </c>
      <c r="AS26" s="70">
        <v>10</v>
      </c>
      <c r="AT26" s="70">
        <v>10</v>
      </c>
      <c r="AU26" s="77">
        <v>10.75</v>
      </c>
    </row>
    <row r="27" spans="2:47" x14ac:dyDescent="0.25">
      <c r="B27" s="7"/>
      <c r="AM27" s="70">
        <v>25</v>
      </c>
      <c r="AN27" s="70">
        <v>1200</v>
      </c>
      <c r="AO27" s="70">
        <v>340</v>
      </c>
      <c r="AP27" s="70">
        <v>450</v>
      </c>
      <c r="AQ27" s="70">
        <v>680</v>
      </c>
      <c r="AR27" s="70">
        <v>200</v>
      </c>
      <c r="AS27" s="70">
        <v>10</v>
      </c>
      <c r="AT27" s="70">
        <v>10.5</v>
      </c>
      <c r="AU27" s="77">
        <v>9.1666666666666661</v>
      </c>
    </row>
    <row r="28" spans="2:47" x14ac:dyDescent="0.25">
      <c r="B28" s="7"/>
      <c r="AM28" s="70">
        <v>26</v>
      </c>
      <c r="AN28" s="70">
        <v>1000</v>
      </c>
      <c r="AO28" s="70">
        <v>280</v>
      </c>
      <c r="AP28" s="70">
        <v>380</v>
      </c>
      <c r="AQ28" s="70">
        <v>560</v>
      </c>
      <c r="AR28" s="70">
        <v>180</v>
      </c>
      <c r="AS28" s="70">
        <v>10.5</v>
      </c>
      <c r="AT28" s="70">
        <v>10.5</v>
      </c>
      <c r="AU28" s="77">
        <v>7.5</v>
      </c>
    </row>
    <row r="29" spans="2:47" x14ac:dyDescent="0.25">
      <c r="B29" s="7"/>
      <c r="AM29" s="70">
        <v>27</v>
      </c>
      <c r="AN29" s="70">
        <v>800</v>
      </c>
      <c r="AO29" s="70">
        <v>220</v>
      </c>
      <c r="AP29" s="70">
        <v>300</v>
      </c>
      <c r="AQ29" s="70">
        <v>440</v>
      </c>
      <c r="AR29" s="70">
        <v>150</v>
      </c>
      <c r="AS29" s="70">
        <v>10.5</v>
      </c>
      <c r="AT29" s="70">
        <v>11</v>
      </c>
      <c r="AU29" s="77">
        <v>5.75</v>
      </c>
    </row>
    <row r="30" spans="2:47" x14ac:dyDescent="0.25">
      <c r="B30" s="7"/>
      <c r="AM30" s="70">
        <v>28</v>
      </c>
      <c r="AN30" s="70">
        <v>600</v>
      </c>
      <c r="AO30" s="70">
        <v>160</v>
      </c>
      <c r="AP30" s="70">
        <v>210</v>
      </c>
      <c r="AQ30" s="70">
        <v>320</v>
      </c>
      <c r="AR30" s="70">
        <v>110</v>
      </c>
      <c r="AS30" s="70">
        <v>11</v>
      </c>
      <c r="AT30" s="70">
        <v>11</v>
      </c>
      <c r="AU30" s="77">
        <v>3.9166666666666665</v>
      </c>
    </row>
    <row r="31" spans="2:47" x14ac:dyDescent="0.25">
      <c r="B31" s="7"/>
      <c r="AM31" s="70">
        <v>29</v>
      </c>
      <c r="AN31" s="70">
        <v>300</v>
      </c>
      <c r="AO31" s="70">
        <v>80</v>
      </c>
      <c r="AP31" s="70">
        <v>110</v>
      </c>
      <c r="AQ31" s="70">
        <v>160</v>
      </c>
      <c r="AR31" s="70">
        <v>60</v>
      </c>
      <c r="AS31" s="70">
        <v>11</v>
      </c>
      <c r="AT31" s="70">
        <v>11.5</v>
      </c>
      <c r="AU31" s="77">
        <v>2</v>
      </c>
    </row>
    <row r="32" spans="2:47" x14ac:dyDescent="0.25">
      <c r="B32" s="7"/>
      <c r="AM32" s="70">
        <v>30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11.5</v>
      </c>
      <c r="AT32" s="70">
        <v>11.5</v>
      </c>
      <c r="AU32" s="77">
        <v>0</v>
      </c>
    </row>
    <row r="33" spans="2:2" x14ac:dyDescent="0.25">
      <c r="B33" s="7"/>
    </row>
  </sheetData>
  <mergeCells count="25">
    <mergeCell ref="AI1:AJ1"/>
    <mergeCell ref="AK1:AK2"/>
    <mergeCell ref="AE1:AF1"/>
    <mergeCell ref="AG1:AH1"/>
    <mergeCell ref="C1:C2"/>
    <mergeCell ref="I1:I2"/>
    <mergeCell ref="O1:O2"/>
    <mergeCell ref="U1:U2"/>
    <mergeCell ref="AA1:AA2"/>
    <mergeCell ref="A1:B1"/>
    <mergeCell ref="AM1:AU1"/>
    <mergeCell ref="AD1:AD2"/>
    <mergeCell ref="AB1:AC1"/>
    <mergeCell ref="Y1:Z1"/>
    <mergeCell ref="X1:X2"/>
    <mergeCell ref="V1:W1"/>
    <mergeCell ref="S1:T1"/>
    <mergeCell ref="F1:F2"/>
    <mergeCell ref="L1:L2"/>
    <mergeCell ref="R1:R2"/>
    <mergeCell ref="P1:Q1"/>
    <mergeCell ref="M1:N1"/>
    <mergeCell ref="J1:K1"/>
    <mergeCell ref="G1:H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theme="4" tint="0.59999389629810485"/>
  </sheetPr>
  <dimension ref="A1:G28"/>
  <sheetViews>
    <sheetView workbookViewId="0">
      <selection activeCell="J10" sqref="J10"/>
    </sheetView>
  </sheetViews>
  <sheetFormatPr defaultColWidth="9.140625" defaultRowHeight="15" x14ac:dyDescent="0.25"/>
  <cols>
    <col min="1" max="4" width="9.140625" style="1"/>
    <col min="5" max="5" width="0" style="1" hidden="1" customWidth="1"/>
    <col min="6" max="16384" width="9.140625" style="1"/>
  </cols>
  <sheetData>
    <row r="1" spans="1:7" x14ac:dyDescent="0.25">
      <c r="A1" s="1" t="s">
        <v>30</v>
      </c>
      <c r="B1" s="1" t="s">
        <v>77</v>
      </c>
      <c r="C1" s="1" t="s">
        <v>78</v>
      </c>
      <c r="D1" s="1" t="s">
        <v>85</v>
      </c>
      <c r="E1" s="1" t="s">
        <v>86</v>
      </c>
      <c r="F1" s="1" t="s">
        <v>81</v>
      </c>
      <c r="G1" s="1" t="s">
        <v>124</v>
      </c>
    </row>
    <row r="2" spans="1:7" x14ac:dyDescent="0.25">
      <c r="A2" s="1">
        <v>37</v>
      </c>
      <c r="B2" s="1">
        <v>3</v>
      </c>
      <c r="C2" s="1">
        <v>75</v>
      </c>
      <c r="E2" s="1">
        <f t="shared" ref="E2:E28" si="0">IF(D2&gt;0,A2,0)</f>
        <v>0</v>
      </c>
      <c r="F2" s="1">
        <v>3</v>
      </c>
      <c r="G2" s="1" t="s">
        <v>102</v>
      </c>
    </row>
    <row r="3" spans="1:7" x14ac:dyDescent="0.25">
      <c r="A3" s="1">
        <v>67</v>
      </c>
      <c r="B3" s="1">
        <v>0</v>
      </c>
      <c r="C3" s="1">
        <v>185</v>
      </c>
      <c r="E3" s="1">
        <f t="shared" si="0"/>
        <v>0</v>
      </c>
      <c r="F3" s="1">
        <v>15</v>
      </c>
      <c r="G3" s="1" t="s">
        <v>102</v>
      </c>
    </row>
    <row r="4" spans="1:7" x14ac:dyDescent="0.25">
      <c r="A4" s="1">
        <v>27</v>
      </c>
      <c r="B4" s="1">
        <v>3</v>
      </c>
      <c r="C4" s="1">
        <v>45</v>
      </c>
      <c r="E4" s="1">
        <f t="shared" si="0"/>
        <v>0</v>
      </c>
      <c r="F4" s="1">
        <v>4</v>
      </c>
      <c r="G4" s="1" t="s">
        <v>102</v>
      </c>
    </row>
    <row r="5" spans="1:7" x14ac:dyDescent="0.25">
      <c r="A5" s="1">
        <v>9</v>
      </c>
      <c r="B5" s="1">
        <v>0</v>
      </c>
      <c r="C5" s="1">
        <v>14</v>
      </c>
      <c r="E5" s="1">
        <f t="shared" si="0"/>
        <v>0</v>
      </c>
      <c r="F5" s="1">
        <v>1</v>
      </c>
      <c r="G5" s="1" t="s">
        <v>103</v>
      </c>
    </row>
    <row r="6" spans="1:7" x14ac:dyDescent="0.25">
      <c r="A6" s="1">
        <v>30</v>
      </c>
      <c r="B6" s="1">
        <v>0</v>
      </c>
      <c r="C6" s="1">
        <v>42</v>
      </c>
      <c r="E6" s="1">
        <f t="shared" si="0"/>
        <v>0</v>
      </c>
      <c r="F6" s="1">
        <v>1</v>
      </c>
      <c r="G6" s="1" t="s">
        <v>103</v>
      </c>
    </row>
    <row r="7" spans="1:7" x14ac:dyDescent="0.25">
      <c r="A7" s="1">
        <v>21</v>
      </c>
      <c r="B7" s="1">
        <v>1</v>
      </c>
      <c r="C7" s="1">
        <v>64</v>
      </c>
      <c r="D7" s="1">
        <v>86</v>
      </c>
      <c r="E7" s="1">
        <f t="shared" si="0"/>
        <v>21</v>
      </c>
      <c r="F7" s="1">
        <v>1</v>
      </c>
      <c r="G7" s="1" t="s">
        <v>104</v>
      </c>
    </row>
    <row r="8" spans="1:7" x14ac:dyDescent="0.25">
      <c r="A8" s="1">
        <v>13</v>
      </c>
      <c r="B8" s="1">
        <v>1</v>
      </c>
      <c r="C8" s="1">
        <v>33</v>
      </c>
      <c r="D8" s="1">
        <v>42</v>
      </c>
      <c r="E8" s="1">
        <f t="shared" si="0"/>
        <v>13</v>
      </c>
      <c r="F8" s="1">
        <v>0</v>
      </c>
      <c r="G8" s="1" t="s">
        <v>105</v>
      </c>
    </row>
    <row r="9" spans="1:7" x14ac:dyDescent="0.25">
      <c r="A9" s="1">
        <v>30</v>
      </c>
      <c r="B9" s="1">
        <v>1</v>
      </c>
      <c r="C9" s="1">
        <v>40</v>
      </c>
      <c r="E9" s="1">
        <f t="shared" si="0"/>
        <v>0</v>
      </c>
      <c r="F9" s="1">
        <v>0</v>
      </c>
      <c r="G9" s="1" t="s">
        <v>105</v>
      </c>
    </row>
    <row r="10" spans="1:7" x14ac:dyDescent="0.25">
      <c r="A10" s="1">
        <v>58</v>
      </c>
      <c r="B10" s="1">
        <v>3</v>
      </c>
      <c r="C10" s="1">
        <v>122</v>
      </c>
      <c r="D10" s="1">
        <v>153</v>
      </c>
      <c r="E10" s="1">
        <f t="shared" si="0"/>
        <v>58</v>
      </c>
      <c r="F10" s="1">
        <v>3</v>
      </c>
      <c r="G10" s="1" t="s">
        <v>105</v>
      </c>
    </row>
    <row r="11" spans="1:7" x14ac:dyDescent="0.25">
      <c r="A11" s="1">
        <v>13</v>
      </c>
      <c r="B11" s="1">
        <v>2</v>
      </c>
      <c r="C11" s="1">
        <v>43</v>
      </c>
      <c r="D11" s="1">
        <v>46</v>
      </c>
      <c r="E11" s="1">
        <f t="shared" si="0"/>
        <v>13</v>
      </c>
      <c r="F11" s="1">
        <v>0</v>
      </c>
      <c r="G11" s="1" t="s">
        <v>105</v>
      </c>
    </row>
    <row r="12" spans="1:7" x14ac:dyDescent="0.25">
      <c r="A12" s="1">
        <v>30</v>
      </c>
      <c r="B12" s="1">
        <v>1</v>
      </c>
      <c r="C12" s="1">
        <v>87</v>
      </c>
      <c r="D12" s="1">
        <v>114</v>
      </c>
      <c r="E12" s="1">
        <f t="shared" si="0"/>
        <v>30</v>
      </c>
      <c r="F12" s="1">
        <v>1</v>
      </c>
      <c r="G12" s="1" t="s">
        <v>105</v>
      </c>
    </row>
    <row r="13" spans="1:7" x14ac:dyDescent="0.25">
      <c r="A13" s="1">
        <v>4</v>
      </c>
      <c r="B13" s="1">
        <v>0</v>
      </c>
      <c r="C13" s="1">
        <v>5</v>
      </c>
      <c r="E13" s="1">
        <f t="shared" si="0"/>
        <v>0</v>
      </c>
      <c r="F13" s="1">
        <v>0</v>
      </c>
      <c r="G13" s="1" t="s">
        <v>103</v>
      </c>
    </row>
    <row r="14" spans="1:7" x14ac:dyDescent="0.25">
      <c r="A14" s="1">
        <v>17</v>
      </c>
      <c r="B14" s="1">
        <v>3</v>
      </c>
      <c r="C14" s="1">
        <v>54</v>
      </c>
      <c r="D14" s="1">
        <v>68</v>
      </c>
      <c r="E14" s="1">
        <f t="shared" si="0"/>
        <v>17</v>
      </c>
      <c r="F14" s="1">
        <v>2</v>
      </c>
      <c r="G14" s="1" t="s">
        <v>104</v>
      </c>
    </row>
    <row r="15" spans="1:7" x14ac:dyDescent="0.25">
      <c r="A15" s="1">
        <v>11</v>
      </c>
      <c r="B15" s="1">
        <v>3</v>
      </c>
      <c r="C15" s="1">
        <v>32</v>
      </c>
      <c r="D15" s="1">
        <v>51</v>
      </c>
      <c r="E15" s="1">
        <f t="shared" si="0"/>
        <v>11</v>
      </c>
      <c r="F15" s="1">
        <v>0</v>
      </c>
      <c r="G15" s="1" t="s">
        <v>104</v>
      </c>
    </row>
    <row r="16" spans="1:7" x14ac:dyDescent="0.25">
      <c r="A16" s="1">
        <v>8</v>
      </c>
      <c r="B16" s="1">
        <v>1</v>
      </c>
      <c r="C16" s="1">
        <v>27</v>
      </c>
      <c r="D16" s="1">
        <v>4</v>
      </c>
      <c r="E16" s="1">
        <f t="shared" si="0"/>
        <v>8</v>
      </c>
      <c r="F16" s="1">
        <v>1</v>
      </c>
      <c r="G16" s="1" t="s">
        <v>106</v>
      </c>
    </row>
    <row r="17" spans="1:7" x14ac:dyDescent="0.25">
      <c r="A17" s="1">
        <v>1</v>
      </c>
      <c r="B17" s="1">
        <v>0</v>
      </c>
      <c r="C17" s="1">
        <v>4</v>
      </c>
      <c r="D17" s="1">
        <v>3</v>
      </c>
      <c r="E17" s="1">
        <f t="shared" si="0"/>
        <v>1</v>
      </c>
      <c r="F17" s="1">
        <v>0</v>
      </c>
      <c r="G17" s="1" t="s">
        <v>105</v>
      </c>
    </row>
    <row r="18" spans="1:7" x14ac:dyDescent="0.25">
      <c r="E18" s="1">
        <f t="shared" si="0"/>
        <v>0</v>
      </c>
    </row>
    <row r="19" spans="1:7" x14ac:dyDescent="0.25">
      <c r="E19" s="1">
        <f t="shared" si="0"/>
        <v>0</v>
      </c>
    </row>
    <row r="20" spans="1:7" x14ac:dyDescent="0.25">
      <c r="E20" s="1">
        <f t="shared" si="0"/>
        <v>0</v>
      </c>
    </row>
    <row r="21" spans="1:7" x14ac:dyDescent="0.25">
      <c r="E21" s="1">
        <f t="shared" si="0"/>
        <v>0</v>
      </c>
    </row>
    <row r="22" spans="1:7" x14ac:dyDescent="0.25">
      <c r="E22" s="1">
        <f t="shared" si="0"/>
        <v>0</v>
      </c>
    </row>
    <row r="23" spans="1:7" x14ac:dyDescent="0.25">
      <c r="E23" s="1">
        <f t="shared" si="0"/>
        <v>0</v>
      </c>
    </row>
    <row r="24" spans="1:7" x14ac:dyDescent="0.25">
      <c r="E24" s="1">
        <f t="shared" si="0"/>
        <v>0</v>
      </c>
    </row>
    <row r="25" spans="1:7" x14ac:dyDescent="0.25">
      <c r="E25" s="1">
        <f t="shared" si="0"/>
        <v>0</v>
      </c>
    </row>
    <row r="26" spans="1:7" x14ac:dyDescent="0.25">
      <c r="E26" s="1">
        <f t="shared" si="0"/>
        <v>0</v>
      </c>
    </row>
    <row r="27" spans="1:7" x14ac:dyDescent="0.25">
      <c r="E27" s="1">
        <f t="shared" si="0"/>
        <v>0</v>
      </c>
    </row>
    <row r="28" spans="1:7" x14ac:dyDescent="0.25">
      <c r="E28" s="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迎擊</vt:lpstr>
      <vt:lpstr>真龍試煉</vt:lpstr>
      <vt:lpstr>龍之試煉</vt:lpstr>
      <vt:lpstr>虛空</vt:lpstr>
      <vt:lpstr>Raid</vt:lpstr>
      <vt:lpstr>資料-龍試煉</vt:lpstr>
      <vt:lpstr>資料-迎擊</vt:lpstr>
      <vt:lpstr>資料-虛空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2019-04-09T14:53:51Z</dcterms:modified>
</cp:coreProperties>
</file>