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098" documentId="6_{5DF816FB-95FF-4719-89F5-2A648B856C5B}" xr6:coauthVersionLast="44" xr6:coauthVersionMax="45" xr10:uidLastSave="{BECBBE88-E34F-42EE-96DB-DD0DA7CED399}"/>
  <bookViews>
    <workbookView xWindow="2685" yWindow="1365" windowWidth="21570" windowHeight="11985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state="hidden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(迎擊!$I$4,迎擊!$I$6,迎擊!$I$8,迎擊!$I$10,迎擊!$I$12)</definedName>
    <definedName name="DATA_IO_EXTRA_EXCHANGED_SMALL">(迎擊!$I$3,迎擊!$I$5,迎擊!$I$7,迎擊!$I$9,迎擊!$I$11)</definedName>
    <definedName name="DATA_IO_OWNED_BIG">(迎擊!$D$4,迎擊!$D$6,迎擊!$D$8,迎擊!$D$10,迎擊!$D$12)</definedName>
    <definedName name="DATA_IO_OWNED_SMALL">(迎擊!$D$3,迎擊!$D$5,迎擊!$D$7,迎擊!$D$9,迎擊!$D$11)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真龍!$F$10</definedName>
    <definedName name="HDRAG_HBRUN_BLDLV">真龍!$C$2</definedName>
    <definedName name="HDRAG_HBRUN_DRG">真龍!$D$2</definedName>
    <definedName name="HDRAG_HBRUN_ITEMS">真龍!$B$2</definedName>
    <definedName name="HDRAG_HJUP_AVG">真龍!$F$16</definedName>
    <definedName name="HDRAG_HJUP_BLDLV">真龍!$C$5</definedName>
    <definedName name="HDRAG_HJUP_DRG">真龍!$D$5</definedName>
    <definedName name="HDRAG_HJUP_ITEMS">真龍!$B$5</definedName>
    <definedName name="HDRAG_HMERC_AVG">真龍!$F$12</definedName>
    <definedName name="HDRAG_HMERC_BLDLV">真龍!$C$3</definedName>
    <definedName name="HDRAG_HMERC_DRG">真龍!$D$3</definedName>
    <definedName name="HDRAG_HMERC_ITEMS">真龍!$B$3</definedName>
    <definedName name="HDRAG_HMID_AVG">真龍!$F$14</definedName>
    <definedName name="HDRAG_HMID_BLDLV">真龍!$C$4</definedName>
    <definedName name="HDRAG_HMID_DRG">真龍!$D$4</definedName>
    <definedName name="HDRAG_HMID_ITEMS">真龍!$B$4</definedName>
    <definedName name="HDRAG_HZOD_AVG">真龍!$F$18</definedName>
    <definedName name="HDRAG_HZOD_BLDLV">真龍!$C$6</definedName>
    <definedName name="HDRAG_HZOD_DRG">真龍!$D$6</definedName>
    <definedName name="HDRAG_HZOD_ITEMS">真龍!$B$6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DRAG_DROP">'龍煉-護符'!$Q$3:$V$4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真龍!$B$2:$D$6</definedName>
    <definedName name="INPUT_IO_CALCULATOR">迎擊!$T$3:$Z$4</definedName>
    <definedName name="INPUT_IO_LEVEL">迎擊!$T$10:$T$17,迎擊!$Z$10:$Z$17</definedName>
    <definedName name="INPUT_IO_OWNED">迎擊!$D$3:$D$17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EQ_L">MAX(迎擊!$I$4,迎擊!$I$6,迎擊!$I$8,迎擊!$I$10,迎擊!$I$12)</definedName>
    <definedName name="IO_MAX_EQ_S">MAX(迎擊!$I$3,迎擊!$I$5,迎擊!$I$7,迎擊!$I$9,迎擊!$I$11)</definedName>
    <definedName name="IO_MAX_GOLD_COIN">D迎擊!$AP$3</definedName>
    <definedName name="IO_MAX_SILVER_COIN">D迎擊!$AO$3</definedName>
    <definedName name="IO_MAX_SMALL_EMBLEM">D迎擊!$AQ$3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0" i="33" l="1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H693" i="33"/>
  <c r="G693" i="33"/>
  <c r="F693" i="33"/>
  <c r="E693" i="33"/>
  <c r="D693" i="33"/>
  <c r="M692" i="33"/>
  <c r="N692" i="33" s="1"/>
  <c r="L692" i="33"/>
  <c r="K692" i="33"/>
  <c r="J692" i="33"/>
  <c r="I692" i="33"/>
  <c r="H692" i="33"/>
  <c r="G692" i="33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H680" i="33"/>
  <c r="G680" i="33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H669" i="33"/>
  <c r="G669" i="33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H663" i="33"/>
  <c r="G663" i="33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H657" i="33"/>
  <c r="G657" i="33"/>
  <c r="F657" i="33"/>
  <c r="E657" i="33"/>
  <c r="D657" i="33"/>
  <c r="M656" i="33"/>
  <c r="N656" i="33" s="1"/>
  <c r="L656" i="33"/>
  <c r="K656" i="33"/>
  <c r="J656" i="33"/>
  <c r="I656" i="33"/>
  <c r="H656" i="33"/>
  <c r="G656" i="33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H651" i="33"/>
  <c r="G651" i="33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H647" i="33"/>
  <c r="G647" i="33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H645" i="33"/>
  <c r="G645" i="33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H639" i="33"/>
  <c r="G639" i="33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H633" i="33"/>
  <c r="G633" i="33"/>
  <c r="F633" i="33"/>
  <c r="E633" i="33"/>
  <c r="D633" i="33"/>
  <c r="M632" i="33"/>
  <c r="N632" i="33" s="1"/>
  <c r="L632" i="33"/>
  <c r="K632" i="33"/>
  <c r="J632" i="33"/>
  <c r="I632" i="33"/>
  <c r="H632" i="33"/>
  <c r="G632" i="33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H627" i="33"/>
  <c r="G627" i="33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H623" i="33"/>
  <c r="G623" i="33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H621" i="33"/>
  <c r="G621" i="33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H615" i="33"/>
  <c r="G615" i="33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H609" i="33"/>
  <c r="G609" i="33"/>
  <c r="F609" i="33"/>
  <c r="E609" i="33"/>
  <c r="D609" i="33"/>
  <c r="M608" i="33"/>
  <c r="N608" i="33" s="1"/>
  <c r="L608" i="33"/>
  <c r="K608" i="33"/>
  <c r="J608" i="33"/>
  <c r="I608" i="33"/>
  <c r="H608" i="33"/>
  <c r="G608" i="33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H603" i="33"/>
  <c r="G603" i="33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H599" i="33"/>
  <c r="G599" i="33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H597" i="33"/>
  <c r="G597" i="33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H591" i="33"/>
  <c r="G591" i="33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H585" i="33"/>
  <c r="G585" i="33"/>
  <c r="F585" i="33"/>
  <c r="E585" i="33"/>
  <c r="D585" i="33"/>
  <c r="M584" i="33"/>
  <c r="N584" i="33" s="1"/>
  <c r="L584" i="33"/>
  <c r="K584" i="33"/>
  <c r="J584" i="33"/>
  <c r="I584" i="33"/>
  <c r="H584" i="33"/>
  <c r="G584" i="33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H579" i="33"/>
  <c r="G579" i="33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H575" i="33"/>
  <c r="G575" i="33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H573" i="33"/>
  <c r="G573" i="33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H567" i="33"/>
  <c r="G567" i="33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H561" i="33"/>
  <c r="G561" i="33"/>
  <c r="F561" i="33"/>
  <c r="E561" i="33"/>
  <c r="D561" i="33"/>
  <c r="M560" i="33"/>
  <c r="N560" i="33" s="1"/>
  <c r="L560" i="33"/>
  <c r="K560" i="33"/>
  <c r="J560" i="33"/>
  <c r="I560" i="33"/>
  <c r="H560" i="33"/>
  <c r="G560" i="33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H555" i="33"/>
  <c r="G555" i="33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H551" i="33"/>
  <c r="G551" i="33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H549" i="33"/>
  <c r="G549" i="33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H543" i="33"/>
  <c r="G543" i="33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H537" i="33"/>
  <c r="G537" i="33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H531" i="33"/>
  <c r="G531" i="33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H525" i="33"/>
  <c r="G525" i="33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H519" i="33"/>
  <c r="G519" i="33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H513" i="33"/>
  <c r="G513" i="33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H507" i="33"/>
  <c r="G507" i="33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H501" i="33"/>
  <c r="G501" i="33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H495" i="33"/>
  <c r="G495" i="33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H489" i="33"/>
  <c r="G489" i="33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H483" i="33"/>
  <c r="G483" i="33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H477" i="33"/>
  <c r="G477" i="33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H471" i="33"/>
  <c r="G471" i="33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H465" i="33"/>
  <c r="G465" i="33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H459" i="33"/>
  <c r="G459" i="33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H453" i="33"/>
  <c r="G453" i="33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H447" i="33"/>
  <c r="G447" i="33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H443" i="33"/>
  <c r="G443" i="33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H440" i="33"/>
  <c r="G440" i="33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H433" i="33"/>
  <c r="G433" i="33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H431" i="33"/>
  <c r="G431" i="33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H429" i="33"/>
  <c r="G429" i="33"/>
  <c r="F429" i="33"/>
  <c r="E429" i="33"/>
  <c r="D429" i="33"/>
  <c r="M428" i="33"/>
  <c r="N428" i="33" s="1"/>
  <c r="L428" i="33"/>
  <c r="K428" i="33"/>
  <c r="J428" i="33"/>
  <c r="I428" i="33"/>
  <c r="H428" i="33"/>
  <c r="G428" i="33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H421" i="33"/>
  <c r="G421" i="33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H411" i="33"/>
  <c r="G411" i="33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H407" i="33"/>
  <c r="G407" i="33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H404" i="33"/>
  <c r="G404" i="33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J5" i="22"/>
  <c r="J4" i="22"/>
  <c r="J3" i="22"/>
  <c r="G15" i="19"/>
  <c r="G12" i="19"/>
  <c r="G11" i="19"/>
  <c r="G10" i="19"/>
  <c r="G3" i="19"/>
  <c r="M5" i="7"/>
  <c r="P5" i="7"/>
  <c r="AE11" i="7"/>
  <c r="AG11" i="7"/>
  <c r="AI11" i="7"/>
  <c r="G15" i="18" l="1"/>
  <c r="E15" i="18"/>
  <c r="J15" i="18" s="1"/>
  <c r="G17" i="18"/>
  <c r="E17" i="18"/>
  <c r="J17" i="18" s="1"/>
  <c r="F15" i="18" l="1"/>
  <c r="H15" i="18"/>
  <c r="K15" i="18" s="1"/>
  <c r="F17" i="18"/>
  <c r="H17" i="18"/>
  <c r="I12" i="18"/>
  <c r="I11" i="18"/>
  <c r="I10" i="18"/>
  <c r="I9" i="18"/>
  <c r="I8" i="18"/>
  <c r="I7" i="18"/>
  <c r="I6" i="18"/>
  <c r="I5" i="18"/>
  <c r="I4" i="18"/>
  <c r="I3" i="18"/>
  <c r="E3" i="18"/>
  <c r="H3" i="18" s="1"/>
  <c r="G3" i="18"/>
  <c r="E4" i="18"/>
  <c r="H4" i="18" s="1"/>
  <c r="G4" i="18"/>
  <c r="E5" i="18"/>
  <c r="H5" i="18" s="1"/>
  <c r="G5" i="18"/>
  <c r="E6" i="18"/>
  <c r="H6" i="18" s="1"/>
  <c r="G6" i="18"/>
  <c r="E7" i="18"/>
  <c r="H7" i="18" s="1"/>
  <c r="G7" i="18"/>
  <c r="E8" i="18"/>
  <c r="H8" i="18" s="1"/>
  <c r="G8" i="18"/>
  <c r="E9" i="18"/>
  <c r="H9" i="18" s="1"/>
  <c r="G9" i="18"/>
  <c r="E10" i="18"/>
  <c r="H10" i="18" s="1"/>
  <c r="G10" i="18"/>
  <c r="E11" i="18"/>
  <c r="H11" i="18" s="1"/>
  <c r="G11" i="18"/>
  <c r="E12" i="18"/>
  <c r="H12" i="18" s="1"/>
  <c r="G12" i="18"/>
  <c r="E16" i="18"/>
  <c r="H16" i="18" s="1"/>
  <c r="G16" i="18"/>
  <c r="C20" i="19"/>
  <c r="C18" i="19"/>
  <c r="V3" i="19"/>
  <c r="V4" i="19"/>
  <c r="Q7" i="19"/>
  <c r="M3" i="19"/>
  <c r="N3" i="19"/>
  <c r="M4" i="19"/>
  <c r="N4" i="19"/>
  <c r="M5" i="19"/>
  <c r="N5" i="19"/>
  <c r="M6" i="19"/>
  <c r="N6" i="19"/>
  <c r="M7" i="19"/>
  <c r="N7" i="19"/>
  <c r="K17" i="18" l="1"/>
  <c r="H14" i="18"/>
  <c r="H13" i="18"/>
  <c r="G14" i="18"/>
  <c r="G13" i="18"/>
  <c r="E13" i="18"/>
  <c r="E14" i="18"/>
  <c r="Q6" i="19"/>
  <c r="C19" i="19"/>
  <c r="T6" i="19"/>
  <c r="G18" i="20"/>
  <c r="O11" i="20" l="1"/>
  <c r="O10" i="20"/>
  <c r="O9" i="20"/>
  <c r="O8" i="20"/>
  <c r="O7" i="20"/>
  <c r="O6" i="20"/>
  <c r="O5" i="20"/>
  <c r="O4" i="20"/>
  <c r="O3" i="20"/>
  <c r="O2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O24" i="20" s="1"/>
  <c r="K23" i="20"/>
  <c r="L23" i="20" s="1"/>
  <c r="K22" i="20"/>
  <c r="L22" i="20" s="1"/>
  <c r="K14" i="20"/>
  <c r="K13" i="20"/>
  <c r="L13" i="20" s="1"/>
  <c r="O13" i="20" s="1"/>
  <c r="C4" i="9"/>
  <c r="C5" i="9"/>
  <c r="K9" i="20"/>
  <c r="L9" i="20"/>
  <c r="K8" i="20"/>
  <c r="L8" i="20" s="1"/>
  <c r="K4" i="20"/>
  <c r="L4" i="20" s="1"/>
  <c r="K3" i="20"/>
  <c r="L3" i="20"/>
  <c r="K19" i="20"/>
  <c r="L19" i="20" s="1"/>
  <c r="O19" i="20" s="1"/>
  <c r="K18" i="20"/>
  <c r="L18" i="20" s="1"/>
  <c r="L14" i="20"/>
  <c r="O14" i="20" s="1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4" i="18" s="1"/>
  <c r="P4" i="18"/>
  <c r="A3" i="7"/>
  <c r="AE10" i="7"/>
  <c r="AG10" i="7"/>
  <c r="AI10" i="7"/>
  <c r="C6" i="19"/>
  <c r="C7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8" i="18" s="1"/>
  <c r="AE8" i="7"/>
  <c r="AG8" i="7"/>
  <c r="AI8" i="7"/>
  <c r="AI7" i="7"/>
  <c r="AG7" i="7"/>
  <c r="AE7" i="7"/>
  <c r="M3" i="7"/>
  <c r="O7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R33" i="7"/>
  <c r="AR34" i="7"/>
  <c r="AQ33" i="7"/>
  <c r="AQ34" i="7"/>
  <c r="AQ35" i="7"/>
  <c r="AR35" i="7"/>
  <c r="AC17" i="18"/>
  <c r="AD17" i="18" s="1"/>
  <c r="AC16" i="18"/>
  <c r="AD16" i="18" s="1"/>
  <c r="AC15" i="18"/>
  <c r="AD15" i="18" s="1"/>
  <c r="AC14" i="18"/>
  <c r="AD14" i="18" s="1"/>
  <c r="AV34" i="7"/>
  <c r="AV35" i="7"/>
  <c r="AC13" i="18"/>
  <c r="AD13" i="18" s="1"/>
  <c r="AV33" i="7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4" i="20"/>
  <c r="E14" i="20"/>
  <c r="G14" i="20"/>
  <c r="D15" i="20" s="1"/>
  <c r="B14" i="20"/>
  <c r="C14" i="20"/>
  <c r="D14" i="20"/>
  <c r="F12" i="20"/>
  <c r="B12" i="20"/>
  <c r="B13" i="20" s="1"/>
  <c r="G12" i="20"/>
  <c r="D12" i="20"/>
  <c r="C12" i="20"/>
  <c r="E12" i="20"/>
  <c r="F10" i="20"/>
  <c r="C10" i="20"/>
  <c r="G10" i="20"/>
  <c r="B10" i="20"/>
  <c r="E10" i="20"/>
  <c r="D10" i="20"/>
  <c r="F9" i="21"/>
  <c r="C9" i="21" s="1"/>
  <c r="F7" i="21"/>
  <c r="D7" i="21" s="1"/>
  <c r="F5" i="21"/>
  <c r="C5" i="21" s="1"/>
  <c r="F4" i="21"/>
  <c r="E4" i="21"/>
  <c r="D9" i="21"/>
  <c r="P10" i="18"/>
  <c r="O10" i="18" s="1"/>
  <c r="V3" i="7"/>
  <c r="AG3" i="7"/>
  <c r="P15" i="18"/>
  <c r="O15" i="18" s="1"/>
  <c r="L15" i="18" s="1"/>
  <c r="N15" i="18" s="1"/>
  <c r="P11" i="18"/>
  <c r="J8" i="18"/>
  <c r="F8" i="18" s="1"/>
  <c r="P6" i="18"/>
  <c r="O6" i="18"/>
  <c r="P8" i="18"/>
  <c r="P12" i="18"/>
  <c r="J7" i="18"/>
  <c r="F7" i="18" s="1"/>
  <c r="K7" i="18" s="1"/>
  <c r="O3" i="18"/>
  <c r="P3" i="18"/>
  <c r="O5" i="18"/>
  <c r="P5" i="18"/>
  <c r="P7" i="18"/>
  <c r="S3" i="7"/>
  <c r="P9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18" i="20"/>
  <c r="D18" i="20"/>
  <c r="C18" i="20"/>
  <c r="B18" i="20"/>
  <c r="E16" i="20"/>
  <c r="D16" i="20"/>
  <c r="C16" i="20"/>
  <c r="G16" i="20"/>
  <c r="B16" i="20"/>
  <c r="B17" i="20" s="1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6" i="20"/>
  <c r="N19" i="20" s="1"/>
  <c r="F18" i="20"/>
  <c r="D13" i="18"/>
  <c r="D14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2" i="18"/>
  <c r="O11" i="18"/>
  <c r="L11" i="18" s="1"/>
  <c r="O16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2" i="18"/>
  <c r="F12" i="18" s="1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N3" i="20"/>
  <c r="N4" i="20"/>
  <c r="B11" i="20"/>
  <c r="C11" i="20"/>
  <c r="D11" i="20"/>
  <c r="E11" i="20"/>
  <c r="L16" i="22"/>
  <c r="J11" i="18"/>
  <c r="J6" i="18"/>
  <c r="F6" i="18" s="1"/>
  <c r="K6" i="18" s="1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M16" i="33"/>
  <c r="N16" i="33" s="1"/>
  <c r="E64" i="33"/>
  <c r="E59" i="33"/>
  <c r="E25" i="33"/>
  <c r="E31" i="33"/>
  <c r="E79" i="33"/>
  <c r="E48" i="33"/>
  <c r="E133" i="33"/>
  <c r="E132" i="33"/>
  <c r="J4" i="18"/>
  <c r="F4" i="18" s="1"/>
  <c r="E141" i="33"/>
  <c r="D13" i="20"/>
  <c r="L18" i="22"/>
  <c r="J9" i="18"/>
  <c r="F9" i="18" s="1"/>
  <c r="K9" i="18" s="1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0" i="18"/>
  <c r="F10" i="18" s="1"/>
  <c r="E161" i="33"/>
  <c r="J3" i="18"/>
  <c r="F3" i="18" s="1"/>
  <c r="E210" i="33"/>
  <c r="E209" i="33"/>
  <c r="C14" i="21"/>
  <c r="J5" i="18"/>
  <c r="F5" i="18" s="1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C13" i="20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J16" i="18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3" i="20"/>
  <c r="C21" i="19"/>
  <c r="D17" i="20"/>
  <c r="C17" i="20"/>
  <c r="E17" i="20"/>
  <c r="N9" i="20"/>
  <c r="N8" i="20"/>
  <c r="C7" i="9"/>
  <c r="H9" i="16"/>
  <c r="F15" i="33"/>
  <c r="I167" i="33"/>
  <c r="I72" i="33"/>
  <c r="F175" i="33"/>
  <c r="I209" i="33"/>
  <c r="H7" i="16"/>
  <c r="I79" i="33"/>
  <c r="F154" i="33"/>
  <c r="I191" i="33"/>
  <c r="F69" i="33"/>
  <c r="I70" i="33"/>
  <c r="I139" i="33"/>
  <c r="F100" i="33"/>
  <c r="F51" i="33"/>
  <c r="F217" i="33"/>
  <c r="F70" i="33"/>
  <c r="I73" i="33"/>
  <c r="I57" i="33"/>
  <c r="I82" i="33"/>
  <c r="F198" i="33"/>
  <c r="F134" i="33"/>
  <c r="F101" i="33"/>
  <c r="F150" i="33"/>
  <c r="I24" i="33"/>
  <c r="I96" i="33"/>
  <c r="F170" i="33"/>
  <c r="F185" i="33"/>
  <c r="I205" i="33"/>
  <c r="F20" i="33"/>
  <c r="I194" i="33"/>
  <c r="I112" i="33"/>
  <c r="F122" i="33"/>
  <c r="I23" i="33"/>
  <c r="F87" i="33"/>
  <c r="I14" i="33"/>
  <c r="I9" i="16"/>
  <c r="F215" i="33"/>
  <c r="I129" i="33"/>
  <c r="F206" i="33"/>
  <c r="F219" i="33"/>
  <c r="I151" i="33"/>
  <c r="F47" i="33"/>
  <c r="I108" i="33"/>
  <c r="F53" i="33"/>
  <c r="F63" i="33"/>
  <c r="F71" i="33"/>
  <c r="F25" i="33"/>
  <c r="F5" i="33"/>
  <c r="I115" i="33"/>
  <c r="I190" i="33"/>
  <c r="F43" i="33"/>
  <c r="I78" i="33"/>
  <c r="F106" i="33"/>
  <c r="I89" i="33"/>
  <c r="F142" i="33"/>
  <c r="F92" i="33"/>
  <c r="F132" i="33"/>
  <c r="F49" i="33"/>
  <c r="I175" i="33"/>
  <c r="F74" i="33"/>
  <c r="I199" i="33"/>
  <c r="F214" i="33"/>
  <c r="I22" i="33"/>
  <c r="F190" i="33"/>
  <c r="I26" i="33"/>
  <c r="F133" i="33"/>
  <c r="F7" i="33"/>
  <c r="I120" i="33"/>
  <c r="F151" i="33"/>
  <c r="F158" i="33"/>
  <c r="F34" i="33"/>
  <c r="F52" i="33"/>
  <c r="F77" i="33"/>
  <c r="I40" i="33"/>
  <c r="F97" i="33"/>
  <c r="I144" i="33"/>
  <c r="F11" i="33"/>
  <c r="F65" i="33"/>
  <c r="F37" i="33"/>
  <c r="E9" i="16"/>
  <c r="F33" i="33"/>
  <c r="F12" i="33"/>
  <c r="I65" i="33"/>
  <c r="I11" i="33"/>
  <c r="F24" i="33"/>
  <c r="I21" i="33"/>
  <c r="F95" i="33"/>
  <c r="F171" i="33"/>
  <c r="F120" i="33"/>
  <c r="F56" i="33"/>
  <c r="F35" i="33"/>
  <c r="I98" i="33"/>
  <c r="I174" i="33"/>
  <c r="F13" i="33"/>
  <c r="F164" i="33"/>
  <c r="I123" i="33"/>
  <c r="I186" i="33"/>
  <c r="F60" i="33"/>
  <c r="I176" i="33"/>
  <c r="I90" i="33"/>
  <c r="I134" i="33"/>
  <c r="F18" i="33"/>
  <c r="I64" i="33"/>
  <c r="I221" i="33"/>
  <c r="F178" i="33"/>
  <c r="I152" i="33"/>
  <c r="I71" i="33"/>
  <c r="F196" i="33"/>
  <c r="I161" i="33"/>
  <c r="I34" i="33"/>
  <c r="F195" i="33"/>
  <c r="I58" i="33"/>
  <c r="F144" i="33"/>
  <c r="I203" i="33"/>
  <c r="F172" i="33"/>
  <c r="I118" i="33"/>
  <c r="F46" i="33"/>
  <c r="I18" i="33"/>
  <c r="I25" i="33"/>
  <c r="I46" i="33"/>
  <c r="I33" i="33"/>
  <c r="F148" i="33"/>
  <c r="F36" i="33"/>
  <c r="I130" i="33"/>
  <c r="F78" i="33"/>
  <c r="F209" i="33"/>
  <c r="I95" i="33"/>
  <c r="F88" i="33"/>
  <c r="I92" i="33"/>
  <c r="F119" i="33"/>
  <c r="F123" i="33"/>
  <c r="I94" i="33"/>
  <c r="I15" i="33"/>
  <c r="F149" i="33"/>
  <c r="F183" i="33"/>
  <c r="F89" i="33"/>
  <c r="I107" i="33"/>
  <c r="I50" i="33"/>
  <c r="F130" i="33"/>
  <c r="I180" i="33"/>
  <c r="F39" i="33"/>
  <c r="F80" i="33"/>
  <c r="F96" i="33"/>
  <c r="E7" i="16"/>
  <c r="F99" i="33"/>
  <c r="F146" i="33"/>
  <c r="F117" i="33"/>
  <c r="I171" i="33"/>
  <c r="F191" i="33"/>
  <c r="I114" i="33"/>
  <c r="I87" i="33"/>
  <c r="F173" i="33"/>
  <c r="F165" i="33"/>
  <c r="D7" i="16"/>
  <c r="F82" i="33"/>
  <c r="I4" i="33"/>
  <c r="F85" i="33"/>
  <c r="F54" i="33"/>
  <c r="I111" i="33"/>
  <c r="F168" i="33"/>
  <c r="I56" i="33"/>
  <c r="I198" i="33"/>
  <c r="I197" i="33"/>
  <c r="I76" i="33"/>
  <c r="I110" i="33"/>
  <c r="F31" i="33"/>
  <c r="F126" i="33"/>
  <c r="F76" i="33"/>
  <c r="F204" i="33"/>
  <c r="I99" i="33"/>
  <c r="I220" i="33"/>
  <c r="F188" i="33"/>
  <c r="F10" i="33"/>
  <c r="F75" i="33"/>
  <c r="F48" i="33"/>
  <c r="F159" i="33"/>
  <c r="I30" i="33"/>
  <c r="F221" i="33"/>
  <c r="I59" i="33"/>
  <c r="I53" i="33"/>
  <c r="I133" i="33"/>
  <c r="I156" i="33"/>
  <c r="I179" i="33"/>
  <c r="F161" i="33"/>
  <c r="I54" i="33"/>
  <c r="I183" i="33"/>
  <c r="F83" i="33"/>
  <c r="I61" i="33"/>
  <c r="I16" i="33"/>
  <c r="I217" i="33"/>
  <c r="I80" i="33"/>
  <c r="I67" i="33"/>
  <c r="F58" i="33"/>
  <c r="I42" i="33"/>
  <c r="I97" i="33"/>
  <c r="F157" i="33"/>
  <c r="I32" i="33"/>
  <c r="F30" i="33"/>
  <c r="I178" i="33"/>
  <c r="F155" i="33"/>
  <c r="I170" i="33"/>
  <c r="I51" i="33"/>
  <c r="I210" i="33"/>
  <c r="F129" i="33"/>
  <c r="I122" i="33"/>
  <c r="I135" i="33"/>
  <c r="F3" i="33"/>
  <c r="F128" i="33"/>
  <c r="F179" i="33"/>
  <c r="F211" i="33"/>
  <c r="I91" i="33"/>
  <c r="I212" i="33"/>
  <c r="F141" i="33"/>
  <c r="I43" i="33"/>
  <c r="I9" i="33"/>
  <c r="I189" i="33"/>
  <c r="I136" i="33"/>
  <c r="I119" i="33"/>
  <c r="F66" i="33"/>
  <c r="I127" i="33"/>
  <c r="I117" i="33"/>
  <c r="F57" i="33"/>
  <c r="I216" i="33"/>
  <c r="F201" i="33"/>
  <c r="F181" i="33"/>
  <c r="F182" i="33"/>
  <c r="I192" i="33"/>
  <c r="I74" i="33"/>
  <c r="F27" i="33"/>
  <c r="F199" i="33"/>
  <c r="F67" i="33"/>
  <c r="F200" i="33"/>
  <c r="F202" i="33"/>
  <c r="I184" i="33"/>
  <c r="F62" i="33"/>
  <c r="I137" i="33"/>
  <c r="F136" i="33"/>
  <c r="I60" i="33"/>
  <c r="I145" i="33"/>
  <c r="I131" i="33"/>
  <c r="I52" i="33"/>
  <c r="I207" i="33"/>
  <c r="I35" i="33"/>
  <c r="I195" i="33"/>
  <c r="I162" i="33"/>
  <c r="I17" i="33"/>
  <c r="I77" i="33"/>
  <c r="I121" i="33"/>
  <c r="F162" i="33"/>
  <c r="I6" i="33"/>
  <c r="F216" i="33"/>
  <c r="I31" i="33"/>
  <c r="I201" i="33"/>
  <c r="I219" i="33"/>
  <c r="F105" i="33"/>
  <c r="F169" i="33"/>
  <c r="I202" i="33"/>
  <c r="I29" i="33"/>
  <c r="I39" i="33"/>
  <c r="F104" i="33"/>
  <c r="F177" i="33"/>
  <c r="I83" i="33"/>
  <c r="I63" i="33"/>
  <c r="F68" i="33"/>
  <c r="I5" i="33"/>
  <c r="I10" i="33"/>
  <c r="F17" i="33"/>
  <c r="I141" i="33"/>
  <c r="F108" i="33"/>
  <c r="F109" i="33"/>
  <c r="F93" i="33"/>
  <c r="I8" i="16"/>
  <c r="F139" i="33"/>
  <c r="F21" i="33"/>
  <c r="F137" i="33"/>
  <c r="D8" i="16"/>
  <c r="F192" i="33"/>
  <c r="I206" i="33"/>
  <c r="F153" i="33"/>
  <c r="I101" i="33"/>
  <c r="I187" i="33"/>
  <c r="F156" i="33"/>
  <c r="I106" i="33"/>
  <c r="F145" i="33"/>
  <c r="F59" i="33"/>
  <c r="F147" i="33"/>
  <c r="I116" i="33"/>
  <c r="F40" i="33"/>
  <c r="F79" i="33"/>
  <c r="I146" i="33"/>
  <c r="F38" i="33"/>
  <c r="F124" i="33"/>
  <c r="I188" i="33"/>
  <c r="F42" i="33"/>
  <c r="F189" i="33"/>
  <c r="I84" i="33"/>
  <c r="I69" i="33"/>
  <c r="F213" i="33"/>
  <c r="F138" i="33"/>
  <c r="I168" i="33"/>
  <c r="I3" i="33"/>
  <c r="F16" i="33"/>
  <c r="F180" i="33"/>
  <c r="F19" i="33"/>
  <c r="I19" i="33"/>
  <c r="F64" i="33"/>
  <c r="I160" i="33"/>
  <c r="I55" i="33"/>
  <c r="I47" i="33"/>
  <c r="F131" i="33"/>
  <c r="F84" i="33"/>
  <c r="I103" i="33"/>
  <c r="I88" i="33"/>
  <c r="F86" i="33"/>
  <c r="I132" i="33"/>
  <c r="I159" i="33"/>
  <c r="I193" i="33"/>
  <c r="I169" i="33"/>
  <c r="I62" i="33"/>
  <c r="I172" i="33"/>
  <c r="I149" i="33"/>
  <c r="E8" i="16"/>
  <c r="I143" i="33"/>
  <c r="F112" i="33"/>
  <c r="I177" i="33"/>
  <c r="F50" i="33"/>
  <c r="I218" i="33"/>
  <c r="F203" i="33"/>
  <c r="I158" i="33"/>
  <c r="F91" i="33"/>
  <c r="F107" i="33"/>
  <c r="I105" i="33"/>
  <c r="F197" i="33"/>
  <c r="I142" i="33"/>
  <c r="F98" i="33"/>
  <c r="F143" i="33"/>
  <c r="F110" i="33"/>
  <c r="F29" i="33"/>
  <c r="I126" i="33"/>
  <c r="F218" i="33"/>
  <c r="F174" i="33"/>
  <c r="I85" i="33"/>
  <c r="F163" i="33"/>
  <c r="I140" i="33"/>
  <c r="I124" i="33"/>
  <c r="I155" i="33"/>
  <c r="I165" i="33"/>
  <c r="F220" i="33"/>
  <c r="F167" i="33"/>
  <c r="F4" i="33"/>
  <c r="F127" i="33"/>
  <c r="I182" i="33"/>
  <c r="I153" i="33"/>
  <c r="F73" i="33"/>
  <c r="I196" i="33"/>
  <c r="F81" i="33"/>
  <c r="F6" i="33"/>
  <c r="F8" i="33"/>
  <c r="I148" i="33"/>
  <c r="F44" i="33"/>
  <c r="I113" i="33"/>
  <c r="F140" i="33"/>
  <c r="F212" i="33"/>
  <c r="F103" i="33"/>
  <c r="F23" i="33"/>
  <c r="I164" i="33"/>
  <c r="I138" i="33"/>
  <c r="F115" i="33"/>
  <c r="I163" i="33"/>
  <c r="F176" i="33"/>
  <c r="F61" i="33"/>
  <c r="I166" i="33"/>
  <c r="I211" i="33"/>
  <c r="F22" i="33"/>
  <c r="I104" i="33"/>
  <c r="F205" i="33"/>
  <c r="I7" i="33"/>
  <c r="F102" i="33"/>
  <c r="I154" i="33"/>
  <c r="I66" i="33"/>
  <c r="I215" i="33"/>
  <c r="I109" i="33"/>
  <c r="F125" i="33"/>
  <c r="F9" i="33"/>
  <c r="F26" i="33"/>
  <c r="F118" i="33"/>
  <c r="F186" i="33"/>
  <c r="F193" i="33"/>
  <c r="I213" i="33"/>
  <c r="I8" i="33"/>
  <c r="I147" i="33"/>
  <c r="I86" i="33"/>
  <c r="I27" i="33"/>
  <c r="I45" i="33"/>
  <c r="F187" i="33"/>
  <c r="D9" i="16"/>
  <c r="F72" i="33"/>
  <c r="F207" i="33"/>
  <c r="F208" i="33"/>
  <c r="I37" i="33"/>
  <c r="I93" i="33"/>
  <c r="I181" i="33"/>
  <c r="I173" i="33"/>
  <c r="F114" i="33"/>
  <c r="I200" i="33"/>
  <c r="F113" i="33"/>
  <c r="F166" i="33"/>
  <c r="F90" i="33"/>
  <c r="I102" i="33"/>
  <c r="I48" i="33"/>
  <c r="I20" i="33"/>
  <c r="I44" i="33"/>
  <c r="I36" i="33"/>
  <c r="F222" i="33"/>
  <c r="F111" i="33"/>
  <c r="I12" i="33"/>
  <c r="I13" i="33"/>
  <c r="I100" i="33"/>
  <c r="H8" i="16"/>
  <c r="I204" i="33"/>
  <c r="I157" i="33"/>
  <c r="F194" i="33"/>
  <c r="I222" i="33"/>
  <c r="F135" i="33"/>
  <c r="I214" i="33"/>
  <c r="I7" i="16"/>
  <c r="I81" i="33"/>
  <c r="I41" i="33"/>
  <c r="F55" i="33"/>
  <c r="I125" i="33"/>
  <c r="F14" i="33"/>
  <c r="I49" i="33"/>
  <c r="F94" i="33"/>
  <c r="F41" i="33"/>
  <c r="F184" i="33"/>
  <c r="F160" i="33"/>
  <c r="F210" i="33"/>
  <c r="I150" i="33"/>
  <c r="I185" i="33"/>
  <c r="I208" i="33"/>
  <c r="I38" i="33"/>
  <c r="F116" i="33"/>
  <c r="I75" i="33"/>
  <c r="I28" i="33"/>
  <c r="F45" i="33"/>
  <c r="I128" i="33"/>
  <c r="I68" i="33"/>
  <c r="F152" i="33"/>
  <c r="F28" i="33"/>
  <c r="F32" i="33"/>
  <c r="F121" i="33"/>
  <c r="O9" i="16" l="1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7" i="18"/>
  <c r="L17" i="18" s="1"/>
  <c r="N17" i="18" s="1"/>
  <c r="Y7" i="18"/>
  <c r="W7" i="18"/>
  <c r="V7" i="18"/>
  <c r="L7" i="18"/>
  <c r="M7" i="21"/>
  <c r="Z7" i="18"/>
  <c r="F11" i="18"/>
  <c r="K11" i="18" s="1"/>
  <c r="F16" i="18"/>
  <c r="K16" i="18" s="1"/>
  <c r="F14" i="18"/>
  <c r="P13" i="18"/>
  <c r="P14" i="18"/>
  <c r="O14" i="18" s="1"/>
  <c r="L16" i="18"/>
  <c r="N16" i="18" s="1"/>
  <c r="L4" i="18"/>
  <c r="J14" i="18"/>
  <c r="C9" i="19"/>
  <c r="C10" i="19" s="1"/>
  <c r="G4" i="19" s="1"/>
  <c r="G5" i="19" s="1"/>
  <c r="C22" i="19"/>
  <c r="G16" i="19" s="1"/>
  <c r="G17" i="19" s="1"/>
  <c r="B15" i="20"/>
  <c r="N14" i="20"/>
  <c r="C15" i="20"/>
  <c r="E15" i="20"/>
  <c r="O18" i="20"/>
  <c r="N18" i="20"/>
  <c r="N23" i="20"/>
  <c r="O23" i="20"/>
  <c r="M11" i="33"/>
  <c r="N11" i="33" s="1"/>
  <c r="M72" i="33"/>
  <c r="N72" i="33" s="1"/>
  <c r="N22" i="20"/>
  <c r="O22" i="20"/>
  <c r="E19" i="20"/>
  <c r="N24" i="20"/>
  <c r="K21" i="22"/>
  <c r="K23" i="22" s="1"/>
  <c r="L3" i="22" s="1"/>
  <c r="D19" i="20"/>
  <c r="K25" i="20"/>
  <c r="L25" i="20" s="1"/>
  <c r="K26" i="20"/>
  <c r="L26" i="20" s="1"/>
  <c r="N26" i="20" s="1"/>
  <c r="B19" i="20"/>
  <c r="C19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15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L5" i="18"/>
  <c r="K5" i="18"/>
  <c r="K12" i="20"/>
  <c r="K17" i="20"/>
  <c r="K2" i="20"/>
  <c r="K7" i="20"/>
  <c r="J13" i="18"/>
  <c r="L3" i="18"/>
  <c r="L10" i="18"/>
  <c r="E14" i="21"/>
  <c r="D14" i="21"/>
  <c r="L6" i="18"/>
  <c r="B14" i="21"/>
  <c r="L12" i="18"/>
  <c r="M68" i="33"/>
  <c r="N68" i="33" s="1"/>
  <c r="E87" i="33"/>
  <c r="M87" i="33"/>
  <c r="N87" i="33" s="1"/>
  <c r="J13" i="33"/>
  <c r="K13" i="33" s="1"/>
  <c r="N13" i="20"/>
  <c r="N57" i="33"/>
  <c r="K8" i="18"/>
  <c r="K12" i="18"/>
  <c r="K10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8" i="18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9" i="18"/>
  <c r="L9" i="18" s="1"/>
  <c r="N54" i="33"/>
  <c r="E57" i="33"/>
  <c r="E91" i="33"/>
  <c r="N126" i="33"/>
  <c r="M195" i="33"/>
  <c r="N195" i="33" s="1"/>
  <c r="N40" i="33"/>
  <c r="H19" i="18" l="1"/>
  <c r="H21" i="18"/>
  <c r="H20" i="18"/>
  <c r="F13" i="18"/>
  <c r="M8" i="18"/>
  <c r="N8" i="18" s="1"/>
  <c r="M6" i="18"/>
  <c r="N6" i="18" s="1"/>
  <c r="M4" i="18"/>
  <c r="N4" i="18" s="1"/>
  <c r="M10" i="18"/>
  <c r="N10" i="18" s="1"/>
  <c r="M12" i="18"/>
  <c r="N12" i="18" s="1"/>
  <c r="L5" i="22"/>
  <c r="L4" i="22"/>
  <c r="O26" i="20"/>
  <c r="K3" i="22"/>
  <c r="K4" i="22"/>
  <c r="K5" i="22"/>
  <c r="N25" i="20"/>
  <c r="O25" i="20"/>
  <c r="L13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O21" i="20" s="1"/>
  <c r="K20" i="20"/>
  <c r="L20" i="20" s="1"/>
  <c r="O20" i="20" s="1"/>
  <c r="L17" i="20"/>
  <c r="O17" i="20" s="1"/>
  <c r="K15" i="20"/>
  <c r="L15" i="20" s="1"/>
  <c r="O15" i="20" s="1"/>
  <c r="K16" i="20"/>
  <c r="L16" i="20" s="1"/>
  <c r="O16" i="20" s="1"/>
  <c r="L12" i="20"/>
  <c r="O12" i="20" s="1"/>
  <c r="O13" i="18"/>
  <c r="L19" i="18" l="1"/>
  <c r="K13" i="18"/>
  <c r="K3" i="18"/>
  <c r="N21" i="20"/>
  <c r="N5" i="20"/>
  <c r="N2" i="20"/>
  <c r="N6" i="20"/>
  <c r="N16" i="20"/>
  <c r="N7" i="20"/>
  <c r="N11" i="20"/>
  <c r="N12" i="20"/>
  <c r="N10" i="20"/>
  <c r="N17" i="20"/>
  <c r="N15" i="20"/>
  <c r="M9" i="18"/>
  <c r="N9" i="18" s="1"/>
  <c r="M7" i="18"/>
  <c r="N7" i="18" s="1"/>
  <c r="M11" i="18"/>
  <c r="N11" i="18" s="1"/>
  <c r="M3" i="18"/>
  <c r="M5" i="18"/>
  <c r="N5" i="18" s="1"/>
  <c r="K14" i="18"/>
  <c r="K4" i="18"/>
  <c r="N20" i="20"/>
  <c r="M13" i="18" l="1"/>
  <c r="N3" i="18"/>
  <c r="N13" i="18" s="1"/>
</calcChain>
</file>

<file path=xl/sharedStrings.xml><?xml version="1.0" encoding="utf-8"?>
<sst xmlns="http://schemas.openxmlformats.org/spreadsheetml/2006/main" count="669" uniqueCount="238">
  <si>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</si>
  <si>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</si>
  <si>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</si>
  <si>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</si>
  <si>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</si>
  <si>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</si>
  <si>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</si>
  <si>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</si>
  <si>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</si>
  <si>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</si>
  <si>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</si>
  <si>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</si>
  <si>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</si>
  <si>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</si>
  <si>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</si>
  <si>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</si>
  <si>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</si>
  <si>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</si>
  <si>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</si>
  <si>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</si>
  <si>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</si>
  <si>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</si>
  <si>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</si>
  <si>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</si>
  <si>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</si>
  <si>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</si>
  <si>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</si>
  <si>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</si>
  <si>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</si>
  <si>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</si>
  <si>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</si>
  <si>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</si>
  <si>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</si>
  <si>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</si>
  <si>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</si>
  <si>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</si>
  <si>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</si>
  <si>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</si>
  <si>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</si>
  <si>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</si>
  <si>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</si>
  <si>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</si>
  <si>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</si>
  <si>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</si>
  <si>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</si>
  <si>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</si>
  <si>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</si>
  <si>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</si>
  <si>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</si>
  <si>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</si>
  <si>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</si>
  <si>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</si>
  <si>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</si>
  <si>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</si>
  <si>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</si>
  <si>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</si>
  <si>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</si>
  <si>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</si>
  <si>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</si>
  <si>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</si>
  <si>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</si>
  <si>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</si>
  <si>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</si>
  <si>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</si>
  <si>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</si>
  <si>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</si>
  <si>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</si>
  <si>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</si>
  <si>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</si>
  <si>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</si>
  <si>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</si>
  <si>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</si>
  <si>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</si>
  <si>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</si>
  <si>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</si>
  <si>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</si>
  <si>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</si>
  <si>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</si>
  <si>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</si>
  <si>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</si>
  <si>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</si>
  <si>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</si>
  <si>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</si>
  <si>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</si>
  <si>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</si>
  <si>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</si>
  <si>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</si>
  <si>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</si>
  <si>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</si>
  <si>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</si>
  <si>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</si>
  <si>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</si>
  <si>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</si>
  <si>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</si>
  <si>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</si>
  <si>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</si>
  <si>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</si>
  <si>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</si>
  <si>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</si>
  <si>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</si>
  <si>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</si>
  <si>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</si>
  <si>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</si>
  <si>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</si>
  <si>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</si>
  <si>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</si>
  <si>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</si>
  <si>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</si>
  <si>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</si>
  <si>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</si>
  <si>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</si>
  <si>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</si>
  <si>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</si>
  <si>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</si>
  <si>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</si>
  <si>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</si>
  <si>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</si>
  <si>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</si>
  <si>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</si>
  <si>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</si>
  <si>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</si>
  <si>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</si>
  <si>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</si>
  <si>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</si>
  <si>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</si>
  <si>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</si>
  <si>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</si>
  <si>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</si>
  <si>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</si>
  <si>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</si>
  <si>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</si>
  <si>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</si>
  <si>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</si>
  <si>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</si>
  <si>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</si>
  <si>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</si>
  <si>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</si>
  <si>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</si>
  <si>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</si>
  <si>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</si>
  <si>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</si>
  <si>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</si>
  <si>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</si>
  <si>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</si>
  <si>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</si>
  <si>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</si>
  <si>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</si>
  <si>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</si>
  <si>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</si>
  <si>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</si>
  <si>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</si>
  <si>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</si>
  <si>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</si>
  <si>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</si>
  <si>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</si>
  <si>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</si>
  <si>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</si>
  <si>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</si>
  <si>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</si>
  <si>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</si>
  <si>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</si>
  <si>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</si>
  <si>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</si>
  <si>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</si>
  <si>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</si>
  <si>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</si>
  <si>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</si>
  <si>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</si>
  <si>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</si>
  <si>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</si>
  <si>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</si>
  <si>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</si>
  <si>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</si>
  <si>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</si>
  <si>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</si>
  <si>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</si>
  <si>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</si>
  <si>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</si>
  <si>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</si>
  <si>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</si>
  <si>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</si>
  <si>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</si>
  <si>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</si>
  <si>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</si>
  <si>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</si>
  <si>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</si>
  <si>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</si>
  <si>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</si>
  <si>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</si>
  <si>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</si>
  <si>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</si>
  <si>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</si>
  <si>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</si>
  <si>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</si>
  <si>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</si>
  <si>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</si>
  <si>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</si>
  <si>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</si>
  <si>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</si>
  <si>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</si>
  <si>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t>全轉金</t>
  </si>
  <si>
    <t>全轉銀</t>
  </si>
  <si>
    <t>全轉銅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</si>
  <si>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</si>
  <si>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</si>
  <si>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</si>
  <si>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</si>
  <si>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</si>
  <si>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</si>
  <si>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</si>
  <si>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</si>
  <si>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</si>
  <si>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</si>
  <si>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</si>
  <si>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</si>
  <si>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</si>
  <si>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</si>
  <si>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</si>
  <si>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</si>
  <si>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</si>
  <si>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</si>
  <si>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</si>
  <si>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</si>
  <si>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</si>
  <si>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</si>
  <si>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</si>
  <si>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</si>
  <si>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</si>
  <si>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</si>
  <si>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</si>
  <si>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r>
      <rPr>
        <sz val="18"/>
        <color theme="1"/>
        <rFont val="Microsoft JhengHei"/>
        <family val="2"/>
      </rPr>
      <t xml:space="preserve">有公式的資料格就不要動。 </t>
    </r>
    <r>
      <rPr>
        <sz val="11"/>
        <color theme="1"/>
        <rFont val="Microsoft JhengHei"/>
        <family val="2"/>
      </rPr>
      <t>-我的某位朋友</t>
    </r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</si>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</sst>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34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8" fillId="24" borderId="0" xfId="0" applyFont="1" applyFill="1" applyAlignment="1">
      <alignment vertical="center"/>
    </xf>
    <xf numFmtId="0" fontId="39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3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8" fillId="25" borderId="0" xfId="0" applyFont="1" applyFill="1" applyAlignment="1">
      <alignment vertical="center"/>
    </xf>
    <xf numFmtId="0" fontId="44" fillId="24" borderId="8" xfId="0" applyFont="1" applyFill="1" applyBorder="1" applyAlignment="1">
      <alignment vertical="center"/>
    </xf>
    <xf numFmtId="0" fontId="38" fillId="24" borderId="8" xfId="0" applyFont="1" applyFill="1" applyBorder="1" applyAlignment="1">
      <alignment vertical="center"/>
    </xf>
    <xf numFmtId="0" fontId="44" fillId="24" borderId="0" xfId="0" applyFont="1" applyFill="1" applyBorder="1" applyAlignment="1">
      <alignment vertical="center"/>
    </xf>
    <xf numFmtId="0" fontId="38" fillId="24" borderId="0" xfId="0" applyFont="1" applyFill="1" applyBorder="1" applyAlignment="1">
      <alignment vertical="center"/>
    </xf>
    <xf numFmtId="0" fontId="38" fillId="24" borderId="6" xfId="0" applyFont="1" applyFill="1" applyBorder="1" applyAlignment="1">
      <alignment vertical="center"/>
    </xf>
    <xf numFmtId="0" fontId="39" fillId="24" borderId="7" xfId="0" applyFont="1" applyFill="1" applyBorder="1" applyAlignment="1">
      <alignment horizontal="left" vertical="center"/>
    </xf>
    <xf numFmtId="0" fontId="42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40" fillId="24" borderId="0" xfId="2" applyFill="1" applyBorder="1" applyAlignment="1">
      <alignment vertical="center"/>
    </xf>
    <xf numFmtId="0" fontId="38" fillId="24" borderId="8" xfId="0" applyFont="1" applyFill="1" applyBorder="1" applyAlignment="1">
      <alignment horizontal="center" vertical="center"/>
    </xf>
    <xf numFmtId="0" fontId="40" fillId="24" borderId="32" xfId="2" applyFill="1" applyBorder="1" applyAlignment="1">
      <alignment vertical="center"/>
    </xf>
    <xf numFmtId="0" fontId="38" fillId="24" borderId="32" xfId="0" applyFont="1" applyFill="1" applyBorder="1" applyAlignment="1">
      <alignment vertical="center"/>
    </xf>
    <xf numFmtId="0" fontId="42" fillId="24" borderId="35" xfId="0" applyFont="1" applyFill="1" applyBorder="1" applyAlignment="1">
      <alignment horizontal="center" vertical="center"/>
    </xf>
    <xf numFmtId="0" fontId="38" fillId="24" borderId="36" xfId="0" applyFont="1" applyFill="1" applyBorder="1" applyAlignment="1">
      <alignment vertical="center"/>
    </xf>
    <xf numFmtId="0" fontId="38" fillId="24" borderId="26" xfId="0" applyFont="1" applyFill="1" applyBorder="1" applyAlignment="1">
      <alignment vertical="center"/>
    </xf>
    <xf numFmtId="0" fontId="40" fillId="24" borderId="26" xfId="2" applyFill="1" applyBorder="1" applyAlignment="1">
      <alignment vertical="center"/>
    </xf>
    <xf numFmtId="0" fontId="41" fillId="24" borderId="8" xfId="0" applyFont="1" applyFill="1" applyBorder="1" applyAlignment="1">
      <alignment vertical="center"/>
    </xf>
    <xf numFmtId="0" fontId="41" fillId="24" borderId="6" xfId="0" applyFont="1" applyFill="1" applyBorder="1" applyAlignment="1">
      <alignment vertical="center"/>
    </xf>
    <xf numFmtId="0" fontId="42" fillId="24" borderId="34" xfId="0" applyFont="1" applyFill="1" applyBorder="1" applyAlignment="1">
      <alignment horizontal="center" vertical="center" textRotation="255"/>
    </xf>
    <xf numFmtId="0" fontId="42" fillId="24" borderId="13" xfId="0" applyFont="1" applyFill="1" applyBorder="1" applyAlignment="1">
      <alignment horizontal="center" vertical="center" textRotation="255"/>
    </xf>
    <xf numFmtId="0" fontId="42" fillId="24" borderId="37" xfId="0" applyFont="1" applyFill="1" applyBorder="1" applyAlignment="1">
      <alignment horizontal="center" vertical="center" textRotation="255"/>
    </xf>
    <xf numFmtId="0" fontId="39" fillId="24" borderId="7" xfId="0" applyFont="1" applyFill="1" applyBorder="1" applyAlignment="1">
      <alignment horizontal="center" vertical="center"/>
    </xf>
    <xf numFmtId="0" fontId="39" fillId="24" borderId="10" xfId="0" applyFont="1" applyFill="1" applyBorder="1" applyAlignment="1">
      <alignment horizontal="center" vertical="center"/>
    </xf>
    <xf numFmtId="0" fontId="38" fillId="24" borderId="31" xfId="0" applyFont="1" applyFill="1" applyBorder="1" applyAlignment="1">
      <alignment horizontal="center" vertical="center"/>
    </xf>
    <xf numFmtId="0" fontId="38" fillId="24" borderId="15" xfId="0" applyFont="1" applyFill="1" applyBorder="1" applyAlignment="1">
      <alignment horizontal="center" vertical="center"/>
    </xf>
    <xf numFmtId="0" fontId="38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7" fillId="0" borderId="32" xfId="0" applyNumberFormat="1" applyFont="1" applyBorder="1" applyAlignment="1">
      <alignment horizontal="center" vertical="center"/>
    </xf>
    <xf numFmtId="1" fontId="37" fillId="0" borderId="33" xfId="0" applyNumberFormat="1" applyFont="1" applyBorder="1" applyAlignment="1">
      <alignment horizontal="center" vertical="center"/>
    </xf>
    <xf numFmtId="1" fontId="37" fillId="0" borderId="0" xfId="0" applyNumberFormat="1" applyFont="1" applyBorder="1" applyAlignment="1">
      <alignment horizontal="center" vertical="center"/>
    </xf>
    <xf numFmtId="1" fontId="37" fillId="0" borderId="22" xfId="0" applyNumberFormat="1" applyFont="1" applyBorder="1" applyAlignment="1">
      <alignment horizontal="center" vertical="center"/>
    </xf>
    <xf numFmtId="1" fontId="37" fillId="0" borderId="26" xfId="0" applyNumberFormat="1" applyFont="1" applyBorder="1" applyAlignment="1">
      <alignment horizontal="center" vertical="center"/>
    </xf>
    <xf numFmtId="1" fontId="37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27"/>
  <sheetViews>
    <sheetView tabSelected="1" workbookViewId="0">
      <selection activeCell="H5" sqref="H5"/>
    </sheetView>
  </sheetViews>
  <sheetFormatPr defaultRowHeight="60" customHeight="1" x14ac:dyDescent="0.25"/>
  <cols>
    <col min="1" max="1" width="11.28515625" style="471" customWidth="1"/>
    <col min="2" max="2" width="13.28515625" style="471" customWidth="1"/>
    <col min="3" max="16384" width="9.140625" style="471"/>
  </cols>
  <sheetData>
    <row r="1" spans="1:3" ht="32.25" customHeight="1" x14ac:dyDescent="0.25">
      <c r="A1" s="471" t="s">
        <v>237</v>
      </c>
    </row>
    <row r="2" spans="1:3" s="479" customFormat="1" ht="12" customHeight="1" x14ac:dyDescent="0.25"/>
    <row r="3" spans="1:3" ht="32.25" customHeight="1" x14ac:dyDescent="0.25">
      <c r="A3" s="472" t="s">
        <v>204</v>
      </c>
    </row>
    <row r="4" spans="1:3" ht="32.25" customHeight="1" x14ac:dyDescent="0.25">
      <c r="A4" s="472" t="s">
        <v>207</v>
      </c>
    </row>
    <row r="5" spans="1:3" ht="32.25" customHeight="1" x14ac:dyDescent="0.25">
      <c r="A5" s="472" t="s">
        <v>205</v>
      </c>
    </row>
    <row r="6" spans="1:3" s="479" customFormat="1" ht="12" customHeight="1" x14ac:dyDescent="0.25"/>
    <row r="7" spans="1:3" ht="44.25" customHeight="1" x14ac:dyDescent="0.25">
      <c r="A7" s="474" t="s">
        <v>208</v>
      </c>
    </row>
    <row r="8" spans="1:3" s="481" customFormat="1" ht="38.25" customHeight="1" x14ac:dyDescent="0.25">
      <c r="A8" s="485" t="s">
        <v>209</v>
      </c>
      <c r="B8" s="480"/>
    </row>
    <row r="9" spans="1:3" s="483" customFormat="1" ht="23.25" x14ac:dyDescent="0.25">
      <c r="A9" s="486" t="s">
        <v>213</v>
      </c>
      <c r="B9" s="482"/>
    </row>
    <row r="10" spans="1:3" s="481" customFormat="1" ht="35.25" customHeight="1" x14ac:dyDescent="0.25">
      <c r="A10" s="505" t="s">
        <v>210</v>
      </c>
      <c r="B10" s="500" t="s">
        <v>211</v>
      </c>
    </row>
    <row r="11" spans="1:3" s="484" customFormat="1" ht="35.25" customHeight="1" x14ac:dyDescent="0.25">
      <c r="A11" s="506"/>
      <c r="B11" s="501" t="s">
        <v>212</v>
      </c>
    </row>
    <row r="12" spans="1:3" s="479" customFormat="1" ht="12" customHeight="1" x14ac:dyDescent="0.25"/>
    <row r="13" spans="1:3" s="474" customFormat="1" ht="60.75" customHeight="1" x14ac:dyDescent="0.25">
      <c r="A13" s="474" t="s">
        <v>236</v>
      </c>
    </row>
    <row r="14" spans="1:3" ht="18.75" customHeight="1" x14ac:dyDescent="0.25">
      <c r="A14" s="471" t="s">
        <v>229</v>
      </c>
    </row>
    <row r="15" spans="1:3" ht="36" customHeight="1" x14ac:dyDescent="0.25">
      <c r="A15" s="471" t="s">
        <v>230</v>
      </c>
    </row>
    <row r="16" spans="1:3" s="493" customFormat="1" ht="21" customHeight="1" thickBot="1" x14ac:dyDescent="0.3">
      <c r="A16" s="493" t="s">
        <v>218</v>
      </c>
      <c r="B16" s="493" t="s">
        <v>219</v>
      </c>
      <c r="C16" s="493" t="s">
        <v>220</v>
      </c>
    </row>
    <row r="17" spans="1:3" s="495" customFormat="1" ht="22.5" customHeight="1" x14ac:dyDescent="0.25">
      <c r="A17" s="507" t="s">
        <v>206</v>
      </c>
      <c r="B17" s="502" t="s">
        <v>206</v>
      </c>
      <c r="C17" s="494" t="s">
        <v>215</v>
      </c>
    </row>
    <row r="18" spans="1:3" s="483" customFormat="1" ht="22.5" customHeight="1" x14ac:dyDescent="0.25">
      <c r="A18" s="508"/>
      <c r="B18" s="503"/>
      <c r="C18" s="492" t="s">
        <v>216</v>
      </c>
    </row>
    <row r="19" spans="1:3" s="498" customFormat="1" ht="22.5" customHeight="1" thickBot="1" x14ac:dyDescent="0.3">
      <c r="A19" s="509"/>
      <c r="B19" s="504"/>
      <c r="C19" s="499" t="s">
        <v>217</v>
      </c>
    </row>
    <row r="20" spans="1:3" s="495" customFormat="1" ht="22.5" customHeight="1" x14ac:dyDescent="0.25">
      <c r="A20" s="507" t="s">
        <v>222</v>
      </c>
      <c r="B20" s="502" t="s">
        <v>223</v>
      </c>
      <c r="C20" s="494" t="s">
        <v>224</v>
      </c>
    </row>
    <row r="21" spans="1:3" s="483" customFormat="1" ht="22.5" customHeight="1" x14ac:dyDescent="0.25">
      <c r="A21" s="508"/>
      <c r="B21" s="503"/>
      <c r="C21" s="492" t="s">
        <v>225</v>
      </c>
    </row>
    <row r="22" spans="1:3" s="483" customFormat="1" ht="22.5" customHeight="1" x14ac:dyDescent="0.25">
      <c r="A22" s="508"/>
      <c r="B22" s="503"/>
      <c r="C22" s="483" t="s">
        <v>228</v>
      </c>
    </row>
    <row r="23" spans="1:3" s="483" customFormat="1" ht="22.5" customHeight="1" x14ac:dyDescent="0.25">
      <c r="A23" s="508"/>
      <c r="B23" s="503"/>
      <c r="C23" s="492" t="s">
        <v>226</v>
      </c>
    </row>
    <row r="24" spans="1:3" s="498" customFormat="1" ht="22.5" customHeight="1" thickBot="1" x14ac:dyDescent="0.3">
      <c r="A24" s="509"/>
      <c r="B24" s="504"/>
      <c r="C24" s="498" t="s">
        <v>227</v>
      </c>
    </row>
    <row r="25" spans="1:3" s="495" customFormat="1" ht="22.5" customHeight="1" x14ac:dyDescent="0.25">
      <c r="A25" s="507" t="s">
        <v>231</v>
      </c>
      <c r="B25" s="502" t="s">
        <v>231</v>
      </c>
      <c r="C25" s="494" t="s">
        <v>232</v>
      </c>
    </row>
    <row r="26" spans="1:3" s="483" customFormat="1" ht="22.5" customHeight="1" x14ac:dyDescent="0.25">
      <c r="A26" s="508"/>
      <c r="B26" s="503"/>
      <c r="C26" s="483" t="s">
        <v>233</v>
      </c>
    </row>
    <row r="27" spans="1:3" s="497" customFormat="1" ht="22.5" customHeight="1" thickBot="1" x14ac:dyDescent="0.3">
      <c r="A27" s="509"/>
      <c r="B27" s="496" t="s">
        <v>234</v>
      </c>
      <c r="C27" s="497" t="s">
        <v>235</v>
      </c>
    </row>
  </sheetData>
  <mergeCells count="7">
    <mergeCell ref="B17:B19"/>
    <mergeCell ref="A10:A11"/>
    <mergeCell ref="A17:A19"/>
    <mergeCell ref="B20:B24"/>
    <mergeCell ref="B25:B26"/>
    <mergeCell ref="A25:A27"/>
    <mergeCell ref="A20:A24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19" location="INPUT_IO_CALCULATOR" display="右上角 為共鬥掉落計算工具。輸入打前和打完的資料比對後，可以到 D迎擊 (可能需要解除隱藏) 資料表內輸入掉落資料。" xr:uid="{405E26D8-7BBA-43D8-91AE-325526E95B3F}"/>
    <hyperlink ref="C20" location="INPUT_DRAG_FRUIT" display="於 左半邊 輸入擁有的龍果數" xr:uid="{DE60F590-1CBB-4B8D-838C-F889E1BEF770}"/>
    <hyperlink ref="C21" location="INPUT_DRAG_TARE" display="於 左側偏右 輸入要預留的龍果數" xr:uid="{0D79BB74-A9A4-4B5C-917A-7C0008D12E86}"/>
    <hyperlink ref="C23" location="INPUT_DRAG_WINGS" display="於 中間 輸入龍麟的數量，可以查看目前龍麟存貨的平衡" xr:uid="{12F33689-0B22-4E89-AFB5-1A8B617C9E76}"/>
    <hyperlink ref="C25" location="INPUT_HDRAG" display="於 左上角 輸入對應真龍的進度" xr:uid="{48892005-C043-47F1-95E9-A671F201FD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92" t="s">
        <v>83</v>
      </c>
      <c r="B1" s="593"/>
      <c r="C1" s="593"/>
      <c r="D1" s="593"/>
      <c r="E1" s="594"/>
      <c r="F1" s="592" t="s">
        <v>105</v>
      </c>
      <c r="G1" s="593"/>
      <c r="H1" s="593"/>
      <c r="I1" s="593"/>
      <c r="J1" s="594"/>
      <c r="K1" s="592" t="s">
        <v>107</v>
      </c>
      <c r="L1" s="593"/>
      <c r="M1" s="593"/>
      <c r="N1" s="593"/>
      <c r="O1" s="594"/>
      <c r="P1" s="601" t="s">
        <v>106</v>
      </c>
      <c r="Q1" s="602"/>
      <c r="R1" s="602"/>
      <c r="S1" s="602"/>
      <c r="T1" s="603"/>
      <c r="U1" s="601" t="s">
        <v>155</v>
      </c>
      <c r="V1" s="602"/>
      <c r="W1" s="602"/>
      <c r="X1" s="602"/>
      <c r="Y1" s="603"/>
      <c r="Z1" s="598" t="s">
        <v>85</v>
      </c>
      <c r="AA1" s="599"/>
      <c r="AB1" s="599"/>
      <c r="AC1" s="599"/>
      <c r="AD1" s="600"/>
      <c r="AE1" s="595" t="s">
        <v>84</v>
      </c>
      <c r="AF1" s="596"/>
      <c r="AG1" s="596"/>
      <c r="AH1" s="596"/>
      <c r="AI1" s="597"/>
      <c r="AJ1" s="595" t="s">
        <v>174</v>
      </c>
      <c r="AK1" s="596"/>
      <c r="AL1" s="596"/>
      <c r="AM1" s="596"/>
      <c r="AN1" s="597"/>
      <c r="AO1" s="589" t="s">
        <v>86</v>
      </c>
      <c r="AP1" s="590"/>
      <c r="AQ1" s="590"/>
      <c r="AR1" s="590"/>
      <c r="AS1" s="591"/>
      <c r="AT1" s="589" t="s">
        <v>87</v>
      </c>
      <c r="AU1" s="590"/>
      <c r="AV1" s="590"/>
      <c r="AW1" s="590"/>
      <c r="AX1" s="591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L8" sqref="L8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65" t="s">
        <v>118</v>
      </c>
      <c r="B1" s="565"/>
      <c r="C1" s="565"/>
      <c r="D1" s="235"/>
      <c r="E1" s="605" t="s">
        <v>119</v>
      </c>
      <c r="F1" s="605"/>
      <c r="G1" s="605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228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229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22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04">
        <v>587</v>
      </c>
      <c r="C7" s="604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IF(真龍!C2&lt;&gt;0,真龍!C2,"")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IF(真龍!C3&lt;&gt;0,真龍!C3,"")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IF(真龍!C4&lt;&gt;0,真龍!C4,"")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IF(真龍!C5&lt;&gt;0,真龍!C5,"")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IF(真龍!C6&lt;&gt;0,真龍!C6,"")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x14ac:dyDescent="0.25">
      <c r="J23" s="217" t="s">
        <v>41</v>
      </c>
      <c r="K23" s="221">
        <f>K13+K21</f>
        <v>730</v>
      </c>
    </row>
    <row r="24" spans="9:12" x14ac:dyDescent="0.25">
      <c r="J24" s="217"/>
    </row>
  </sheetData>
  <mergeCells count="3">
    <mergeCell ref="B7:C7"/>
    <mergeCell ref="A1:C1"/>
    <mergeCell ref="E1:G1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12" t="s">
        <v>118</v>
      </c>
      <c r="B1" s="512"/>
      <c r="C1" s="512"/>
      <c r="D1" s="512"/>
      <c r="E1" s="512"/>
      <c r="F1" s="512"/>
      <c r="G1" s="512" t="s">
        <v>119</v>
      </c>
      <c r="H1" s="512"/>
      <c r="I1" s="512"/>
      <c r="J1" s="512"/>
      <c r="K1" s="512"/>
      <c r="L1" s="512"/>
      <c r="N1" s="512" t="s">
        <v>126</v>
      </c>
      <c r="O1" s="512"/>
    </row>
    <row r="2" spans="1:15" x14ac:dyDescent="0.25">
      <c r="A2" s="606" t="s">
        <v>124</v>
      </c>
      <c r="B2" s="606"/>
      <c r="C2" s="608" t="s">
        <v>117</v>
      </c>
      <c r="D2" s="608"/>
      <c r="E2" s="607" t="s">
        <v>125</v>
      </c>
      <c r="F2" s="607"/>
      <c r="G2" s="610" t="s">
        <v>121</v>
      </c>
      <c r="H2" s="610"/>
      <c r="I2" s="607" t="s">
        <v>122</v>
      </c>
      <c r="J2" s="607"/>
      <c r="K2" s="609" t="s">
        <v>123</v>
      </c>
      <c r="L2" s="609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2"/>
  <sheetViews>
    <sheetView workbookViewId="0">
      <selection activeCell="B2" sqref="B2:D6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348"/>
      <c r="B1" s="344" t="s">
        <v>40</v>
      </c>
      <c r="C1" s="350" t="s">
        <v>38</v>
      </c>
      <c r="D1" s="350" t="s">
        <v>178</v>
      </c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A2" s="346" t="s">
        <v>30</v>
      </c>
      <c r="B2" s="349">
        <v>39</v>
      </c>
      <c r="C2" s="349">
        <v>30</v>
      </c>
      <c r="D2" s="349">
        <v>4</v>
      </c>
      <c r="I2" s="563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88" t="s">
        <v>35</v>
      </c>
      <c r="B3" s="349">
        <v>2</v>
      </c>
      <c r="C3" s="349">
        <v>30</v>
      </c>
      <c r="D3" s="349">
        <v>4</v>
      </c>
      <c r="I3" s="563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89" t="s">
        <v>31</v>
      </c>
      <c r="B4" s="349">
        <v>164</v>
      </c>
      <c r="C4" s="349">
        <v>30</v>
      </c>
      <c r="D4" s="349">
        <v>4</v>
      </c>
      <c r="I4" s="563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90" t="s">
        <v>36</v>
      </c>
      <c r="B5" s="349">
        <v>2</v>
      </c>
      <c r="C5" s="349">
        <v>30</v>
      </c>
      <c r="D5" s="349">
        <v>4</v>
      </c>
      <c r="I5" s="563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347" t="s">
        <v>37</v>
      </c>
      <c r="B6" s="349">
        <v>164</v>
      </c>
      <c r="C6" s="349">
        <v>11</v>
      </c>
      <c r="D6" s="349"/>
      <c r="I6" s="563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I7" s="622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B8" s="627" t="s">
        <v>176</v>
      </c>
      <c r="C8" s="627"/>
      <c r="D8" s="627"/>
      <c r="E8" s="627"/>
      <c r="F8" s="588" t="s">
        <v>28</v>
      </c>
      <c r="G8" s="627" t="s">
        <v>179</v>
      </c>
      <c r="I8" s="622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A9" s="348"/>
      <c r="B9" s="353">
        <v>2</v>
      </c>
      <c r="C9" s="353">
        <v>3</v>
      </c>
      <c r="D9" s="353">
        <v>4</v>
      </c>
      <c r="E9" s="353">
        <v>5</v>
      </c>
      <c r="F9" s="588"/>
      <c r="G9" s="627"/>
      <c r="I9" s="622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A10" s="618" t="s">
        <v>30</v>
      </c>
      <c r="B10" s="368">
        <f>IF(HDRAG_HAS_REC_HBRUN,COUNTIF(DATA_HDRAG_HBRUN,"=2"),"")</f>
        <v>203</v>
      </c>
      <c r="C10" s="368">
        <f>IF(HDRAG_HAS_REC_HBRUN,COUNTIF(DATA_HDRAG_HBRUN,"=3"),"")</f>
        <v>69</v>
      </c>
      <c r="D10" s="368">
        <f>IF(HDRAG_HAS_REC_HBRUN,COUNTIF(DATA_HDRAG_HBRUN,"=4"),"")</f>
        <v>13</v>
      </c>
      <c r="E10" s="368">
        <f>IF(HDRAG_HAS_REC_HBRUN,COUNTIF(DATA_HDRAG_HBRUN,"=5"),"")</f>
        <v>11</v>
      </c>
      <c r="F10" s="613">
        <f>IF(HDRAG_HAS_REC_HBRUN,AVERAGE(DATA_HDRAG_HBRUN),"")</f>
        <v>2.4324324324324325</v>
      </c>
      <c r="G10" s="619">
        <f>IF(HDRAG_HAS_REC_HBRUN,COUNTA(DATA_HDRAG_HBRUN),"")</f>
        <v>296</v>
      </c>
      <c r="I10" s="622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618"/>
      <c r="B11" s="378">
        <f>IF(HDRAG_HAS_REC_HBRUN,B10/$G10,"")</f>
        <v>0.68581081081081086</v>
      </c>
      <c r="C11" s="378">
        <f>IF(HDRAG_HAS_REC_HBRUN,C10/$G10,"")</f>
        <v>0.23310810810810811</v>
      </c>
      <c r="D11" s="378">
        <f>IF(HDRAG_HAS_REC_HBRUN,D10/$G10,"")</f>
        <v>4.3918918918918921E-2</v>
      </c>
      <c r="E11" s="378">
        <f>IF(HDRAG_HAS_REC_HBRUN,E10/$G10,"")</f>
        <v>3.7162162162162164E-2</v>
      </c>
      <c r="F11" s="613"/>
      <c r="G11" s="619"/>
      <c r="I11" s="622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16" t="s">
        <v>35</v>
      </c>
      <c r="B12" s="369">
        <f>IF(HDRAG_HAS_REC_HMERC,COUNTIF(DATA_HDRAG_HMERC,"=2"),"")</f>
        <v>176</v>
      </c>
      <c r="C12" s="369">
        <f>IF(HDRAG_HAS_REC_HMERC,COUNTIF(DATA_HDRAG_HMERC,"=3"),"")</f>
        <v>47</v>
      </c>
      <c r="D12" s="369">
        <f>IF(HDRAG_HAS_REC_HMERC,COUNTIF(DATA_HDRAG_HMERC,"=4"),"")</f>
        <v>12</v>
      </c>
      <c r="E12" s="369">
        <f>IF(HDRAG_HAS_REC_HMERC,COUNTIF(DATA_HDRAG_HMERC,"=5"),"")</f>
        <v>8</v>
      </c>
      <c r="F12" s="612">
        <f>IF(HDRAG_HAS_REC_HMERC,AVERAGE(DATA_HDRAG_HMERC),"")</f>
        <v>2.3909465020576133</v>
      </c>
      <c r="G12" s="617">
        <f>IF(HDRAG_HAS_REC_HMERC,COUNTA(DATA_HDRAG_HMERC),"")</f>
        <v>243</v>
      </c>
      <c r="I12" s="621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16"/>
      <c r="B13" s="379">
        <f>IF(HDRAG_HAS_REC_HMERC,B12/$G12,"")</f>
        <v>0.72427983539094654</v>
      </c>
      <c r="C13" s="379">
        <f>IF(HDRAG_HAS_REC_HMERC,C12/$G12,"")</f>
        <v>0.19341563786008231</v>
      </c>
      <c r="D13" s="379">
        <f>IF(HDRAG_HAS_REC_HMERC,D12/$G12,"")</f>
        <v>4.9382716049382713E-2</v>
      </c>
      <c r="E13" s="379">
        <f>IF(HDRAG_HAS_REC_HMERC,E12/$G12,"")</f>
        <v>3.292181069958848E-2</v>
      </c>
      <c r="F13" s="612"/>
      <c r="G13" s="617"/>
      <c r="I13" s="621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14" t="s">
        <v>31</v>
      </c>
      <c r="B14" s="370">
        <f>IF(HDRAG_HAS_REC_HMID,COUNTIF(DATA_HDRAG_HMID,"=2"),"")</f>
        <v>520</v>
      </c>
      <c r="C14" s="370">
        <f>IF(HDRAG_HAS_REC_HMID,COUNTIF(DATA_HDRAG_HMID,"=3"),"")</f>
        <v>172</v>
      </c>
      <c r="D14" s="370">
        <f>IF(HDRAG_HAS_REC_HMID,COUNTIF(DATA_HDRAG_HMID,"=4"),"")</f>
        <v>62</v>
      </c>
      <c r="E14" s="370">
        <f>IF(HDRAG_HAS_REC_HMID,COUNTIF(DATA_HDRAG_HMID,"=5"),"")</f>
        <v>49</v>
      </c>
      <c r="F14" s="611">
        <f>IF(HDRAG_HAS_REC_HMID,AVERAGE(DATA_HDRAG_HMID),"")</f>
        <v>2.5516811955168119</v>
      </c>
      <c r="G14" s="615">
        <f>IF(HDRAG_HAS_REC_HMID,COUNTA(DATA_HDRAG_HMID),"")</f>
        <v>804</v>
      </c>
      <c r="I14" s="621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14"/>
      <c r="B15" s="380">
        <f>IF(HDRAG_HAS_REC_HMID,B14/$G14,"")</f>
        <v>0.64676616915422891</v>
      </c>
      <c r="C15" s="380">
        <f>IF(HDRAG_HAS_REC_HMID,C14/$G14,"")</f>
        <v>0.21393034825870647</v>
      </c>
      <c r="D15" s="380">
        <f>IF(HDRAG_HAS_REC_HMID,D14/$G14,"")</f>
        <v>7.7114427860696513E-2</v>
      </c>
      <c r="E15" s="380">
        <f>IF(HDRAG_HAS_REC_HMID,E14/$G14,"")</f>
        <v>6.0945273631840796E-2</v>
      </c>
      <c r="F15" s="611"/>
      <c r="G15" s="615"/>
      <c r="I15" s="621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25" t="s">
        <v>36</v>
      </c>
      <c r="B16" s="371">
        <f>IF(HDRAG_HAS_REC_HJUP,COUNTIF(DATA_HDRAG_HJUP,"=2"),"")</f>
        <v>304</v>
      </c>
      <c r="C16" s="371">
        <f>IF(HDRAG_HAS_REC_HJUP,COUNTIF(DATA_HDRAG_HJUP,"=3"),"")</f>
        <v>87</v>
      </c>
      <c r="D16" s="371">
        <f>IF(HDRAG_HAS_REC_HJUP,COUNTIF(DATA_HDRAG_HJUP,"=4"),"")</f>
        <v>30</v>
      </c>
      <c r="E16" s="371">
        <f>IF(HDRAG_HAS_REC_HJUP,COUNTIF(DATA_HDRAG_HJUP,"=5"),"")</f>
        <v>18</v>
      </c>
      <c r="F16" s="629">
        <f>IF(HDRAG_HAS_REC_HJUP,AVERAGE(DATA_HDRAG_HJUP),"")</f>
        <v>2.4578587699316627</v>
      </c>
      <c r="G16" s="626">
        <f>IF(HDRAG_HAS_REC_HJUP,COUNTA(DATA_HDRAG_HJUP),"")</f>
        <v>439</v>
      </c>
      <c r="I16" s="621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25"/>
      <c r="B17" s="381">
        <f>IF(HDRAG_HAS_REC_HJUP,B16/$G16,"")</f>
        <v>0.69248291571753984</v>
      </c>
      <c r="C17" s="381">
        <f>IF(HDRAG_HAS_REC_HJUP,C16/$G16,"")</f>
        <v>0.19817767653758542</v>
      </c>
      <c r="D17" s="381">
        <f>IF(HDRAG_HAS_REC_HJUP,D16/$G16,"")</f>
        <v>6.8337129840546698E-2</v>
      </c>
      <c r="E17" s="381">
        <f>IF(HDRAG_HAS_REC_HJUP,E16/$G16,"")</f>
        <v>4.1002277904328019E-2</v>
      </c>
      <c r="F17" s="629"/>
      <c r="G17" s="626"/>
      <c r="I17" s="620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23" t="s">
        <v>37</v>
      </c>
      <c r="B18" s="372">
        <f>IF(HDRAG_HAS_REC_HZOD,COUNTIF(DATA_HDRAG_HZOD,"=2"),"")</f>
        <v>58</v>
      </c>
      <c r="C18" s="372">
        <f>IF(HDRAG_HAS_REC_HZOD,COUNTIF(DATA_HDRAG_HZOD,"=3"),"")</f>
        <v>17</v>
      </c>
      <c r="D18" s="372">
        <f>IF(HDRAG_HAS_REC_HZOD,COUNTIF(DATA_HDRAG_HZOD,"=4"),"")</f>
        <v>1</v>
      </c>
      <c r="E18" s="372">
        <f>IF(HDRAG_HAS_REC_HZOD,COUNTIF(DATA_HDRAG_HZOD,"=5"),"")</f>
        <v>1</v>
      </c>
      <c r="F18" s="628">
        <f>IF(HDRAG_HAS_REC_HZOD,AVERAGE(DATA_HDRAG_HZOD),"")</f>
        <v>2.2857142857142856</v>
      </c>
      <c r="G18" s="624">
        <f>IF(HDRAG_HAS_REC_HZOD,COUNTA(DATA_HDRAG_HZOD),"")</f>
        <v>77</v>
      </c>
      <c r="I18" s="620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23"/>
      <c r="B19" s="382">
        <f>IF(HDRAG_HAS_REC_HZOD,B18/$G18,"")</f>
        <v>0.75324675324675328</v>
      </c>
      <c r="C19" s="382">
        <f>IF(HDRAG_HAS_REC_HZOD,C18/$G18,"")</f>
        <v>0.22077922077922077</v>
      </c>
      <c r="D19" s="382">
        <f>IF(HDRAG_HAS_REC_HZOD,D18/$G18,"")</f>
        <v>1.2987012987012988E-2</v>
      </c>
      <c r="E19" s="382">
        <f>IF(HDRAG_HAS_REC_HZOD,E18/$G18,"")</f>
        <v>1.2987012987012988E-2</v>
      </c>
      <c r="F19" s="628"/>
      <c r="G19" s="624"/>
      <c r="I19" s="620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I20" s="620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I21" s="620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67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67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67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242</v>
      </c>
      <c r="N24" s="364">
        <f>IF(HDRAG_HAS_REC_HZOD,M24*WINGS_CONSUME_HDRAGS/WINGS_RECOVER_NUM*WINGS_RECOVER_DIAMS,"")</f>
        <v>3025</v>
      </c>
      <c r="O24" s="356">
        <f>IFERROR(IF(L24=0,100%,(HDRAG_MAX_BUILDING - L24)/HDRAG_MAX_BUILDING),"")</f>
        <v>0.32230392156862747</v>
      </c>
    </row>
    <row r="25" spans="1:15" x14ac:dyDescent="0.25">
      <c r="I25" s="567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67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455</v>
      </c>
      <c r="N26" s="364">
        <f>IF(HDRAG_HAS_REC_HZOD,M26*WINGS_CONSUME_HDRAGS/WINGS_RECOVER_NUM*WINGS_RECOVER_DIAMS,"")</f>
        <v>5687.5</v>
      </c>
      <c r="O26" s="356">
        <f t="shared" si="0"/>
        <v>0.20215219062259801</v>
      </c>
    </row>
    <row r="50" spans="1:2" x14ac:dyDescent="0.25">
      <c r="A50" s="345"/>
      <c r="B50" s="345"/>
    </row>
    <row r="51" spans="1:2" x14ac:dyDescent="0.25">
      <c r="A51" s="345"/>
      <c r="B51" s="345"/>
    </row>
    <row r="52" spans="1:2" x14ac:dyDescent="0.25">
      <c r="A52" s="345"/>
    </row>
  </sheetData>
  <mergeCells count="23">
    <mergeCell ref="I2:I6"/>
    <mergeCell ref="A10:A11"/>
    <mergeCell ref="G10:G11"/>
    <mergeCell ref="I22:I26"/>
    <mergeCell ref="I17:I21"/>
    <mergeCell ref="I12:I16"/>
    <mergeCell ref="I7:I11"/>
    <mergeCell ref="A18:A19"/>
    <mergeCell ref="G18:G19"/>
    <mergeCell ref="A16:A17"/>
    <mergeCell ref="G16:G17"/>
    <mergeCell ref="G8:G9"/>
    <mergeCell ref="B8:E8"/>
    <mergeCell ref="F8:F9"/>
    <mergeCell ref="F18:F19"/>
    <mergeCell ref="F16:F17"/>
    <mergeCell ref="F14:F15"/>
    <mergeCell ref="F12:F13"/>
    <mergeCell ref="F10:F11"/>
    <mergeCell ref="A14:A15"/>
    <mergeCell ref="G14:G15"/>
    <mergeCell ref="A12:A13"/>
    <mergeCell ref="G12:G13"/>
  </mergeCells>
  <conditionalFormatting sqref="C1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1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33" t="s">
        <v>191</v>
      </c>
      <c r="D1" s="632">
        <f>INDEX(DATA_EVTBLD,B1,2)-B2</f>
        <v>967</v>
      </c>
      <c r="E1" s="631" t="s">
        <v>24</v>
      </c>
      <c r="F1" s="630">
        <f>1-(INDEX(DATA_EVTBLD,B1,2)-B2)/DATA_EVTBLD_MAX</f>
        <v>0.87627942681678606</v>
      </c>
      <c r="G1" s="630"/>
      <c r="H1" s="630"/>
      <c r="I1" s="630"/>
    </row>
    <row r="2" spans="1:9" ht="14.65" customHeight="1" x14ac:dyDescent="0.25">
      <c r="A2" s="383" t="s">
        <v>190</v>
      </c>
      <c r="B2" s="389">
        <v>933</v>
      </c>
      <c r="C2" s="633"/>
      <c r="D2" s="632"/>
      <c r="E2" s="631"/>
      <c r="F2" s="630"/>
      <c r="G2" s="630"/>
      <c r="H2" s="630"/>
      <c r="I2" s="630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214</v>
      </c>
      <c r="B1" s="341">
        <v>1</v>
      </c>
      <c r="C1" s="341">
        <v>7</v>
      </c>
      <c r="F1" s="510" t="str">
        <f>B1&amp; "日"</f>
        <v>1日</v>
      </c>
      <c r="G1" s="511"/>
      <c r="H1" s="511"/>
      <c r="I1" s="510" t="str">
        <f>C1 &amp; "日"</f>
        <v>7日</v>
      </c>
      <c r="J1" s="511"/>
      <c r="K1" s="511"/>
      <c r="L1" s="510" t="s">
        <v>175</v>
      </c>
      <c r="M1" s="511"/>
      <c r="N1" s="511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012 D 14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009 D 23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001 D 05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-004 D 06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009 D 03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214 D 18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116 D 18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064 D 01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047 D 18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028 D 05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016 D 05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-008 D 08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012 D 13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006 D 20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002 D 12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-004 D 07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-006 D 05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000 D 23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024 D 18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035 D 18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019 D 13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020 D 11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009 D 14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017 D 21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013 D 22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013 D 13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018 D 03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016 D 20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005 D 05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017 D 13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016 D 06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005 D 21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015 D 08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016 D 02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006 D 07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015 D 05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015 D 19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025 D 20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014 D 23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015 D 05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027 D 00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014 D 04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017 D 22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020 D 03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013 D 20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015 D 09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012 D 23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013 D 13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014 D 13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006 D 09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013 D 06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014 D 04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001 D 10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012 D 18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013 D 03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010 D 13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013 D 20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016 D 01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009 D 21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014 D 23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015 D 07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024 D 02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015 D 04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014 D 01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025 D 00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015 D 22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016 D 19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027 D 22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016 D 22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016 D 14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039 D 11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017 D 00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016 D 08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036 D 02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017 D 10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016 D 03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030 D 04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017 D 06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015 D 13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024 D 00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017 D 03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015 D 01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031 D 15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015 D 18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016 D 21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015 D 03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015 D 17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016 D 00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015 D 01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015 D 14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015 D 15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030 D 09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016 D 05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016 D 22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021 D 22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015 D 17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015 D 18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004 D 11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014 D 12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013 D 15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005 D 01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014 D 07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014 D 12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23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013 D 12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013 D 16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-004 D 01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012 D 20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012 D 04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-006 D 17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011 D 11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011 D 05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-008 D 00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010 D 12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011 D 01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-015 D 05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009 D 00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010 D 12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-015 D 09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008 D 00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010 D 00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-015 D 14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007 D 00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009 D 17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-016 D 10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006 D 04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009 D 04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-016 D 19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005 D 04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008 D 21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-015 D 09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004 D 15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008 D 20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-015 D 12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003 D 16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008 D 12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-015 D 17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003 D 04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008 D 07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-010 D 16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003 D 01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009 D 00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-008 D 07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002 D 18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008 D 18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-007 D 14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002 D 11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008 D 11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-002 D 01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001 D 13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007 D 21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-004 D 21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001 D 03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007 D 08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-006 D 22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11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006 D 18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-009 D 22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000 D 08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006 D 07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-016 D 01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-002 D 00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005 D 18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-019 D 14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-003 D 16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004 D 11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-019 D 05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-004 D 18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004 D 01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-017 D 21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-005 D 06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003 D 19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-017 D 17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-005 D 18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003 D 12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-017 D 15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-006 D 18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003 D 10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-017 D 15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-007 D 02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003 D 06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-014 D 08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-007 D 07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003 D 03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-007 D 23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-009 D 08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002 D 17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-007 D 18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-010 D 01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002 D 12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-007 D 07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-010 D 04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002 D 11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-007 D 17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-010 D 23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002 D 07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-005 D 13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-012 D 10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002 D 06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-005 D 15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-012 D 09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001 D 16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-007 D 03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-012 D 06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001 D 09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-008 D 06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-012 D 15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001 D 00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-012 D 23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-012 D 17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000 D 08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-013 D 03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-012 D 15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000 D 06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-003 D 11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-012 D 03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001 D 03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-001 D 10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-011 D 21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22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04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-011 D 20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000 D 06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-011 D 18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-011 D 18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000 D 19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-014 D 05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-011 D 18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000 D 22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-017 D 14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-011 D 15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-001 D 12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-017 D 00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-011 D 16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-001 D 16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-016 D 18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-011 D 18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-001 D 19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-016 D 23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-011 D 20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-002 D 01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-017 D 01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-011 D 22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-002 D 03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-003 D 15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-011 D 00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-001 D 00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019 D 15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-010 D 06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-001 D 02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016 D 02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-010 D 01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-001 D 09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011 D 04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-009 D 23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-001 D 12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002 D 02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-009 D 17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-001 D 16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-011 D 22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-009 D 14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-001 D 22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-012 D 11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-009 D 14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-002 D 01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-012 D 20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-009 D 13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-002 D 03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-014 D 06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-009 D 16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-002 D 11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-014 D 19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-009 D 21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-002 D 16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-010 D 21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-009 D 13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-002 D 03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-004 D 09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-009 D 11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-002 D 05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-001 D 03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-009 D 08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-002 D 04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-001 D 05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-009 D 06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-002 D 06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035 D 09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-007 D 23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000 D 21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013 D 20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-007 D 19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-001 D 18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-018 D 05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-007 D 19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-003 D 09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049 D 21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-003 D 01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-001 D 09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041 D 03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-001 D 04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000 D 22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035 D 16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000 D 11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000 D 23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002 D 22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000 D 00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-001 D 00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-006 D 20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13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-001 D 13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-002 D 07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001 D 15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-001 D 04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000 D 11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21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-001 D 13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-002 D 23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000 D 05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-001 D 16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-005 D 14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000 D 04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-001 D 12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-005 D 03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-001 D 07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-001 D 21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-005 D 15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000 D 17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-001 D 17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-006 D 10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-001 D 09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-002 D 00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-002 D 13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-001 D 16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-001 D 21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-005 D 07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-002 D 05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-002 D 02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-006 D 10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-005 D 05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-002 D 15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-006 D 00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-005 D 06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-002 D 15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-005 D 03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-005 D 03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-002 D 13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-003 D 18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-004 D 20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-002 D 17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-002 D 22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-004 D 05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-002 D 14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-003 D 01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-004 D 04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-002 D 16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-003 D 19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-004 D 02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-002 D 20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-004 D 13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-004 D 02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-002 D 20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001 D 23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-003 D 14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-002 D 11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002 D 02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-003 D 03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-002 D 12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001 D 23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-002 D 21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-002 D 11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12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-002 D 20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-002 D 12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-003 D 04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-002 D 20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-002 D 14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-003 D 16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-002 D 22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-002 D 16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-004 D 09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-002 D 23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-002 D 17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-002 D 00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-002 D 16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-002 D 09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-007 D 00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-002 D 16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-002 D 19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-006 D 11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-002 D 18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-002 D 18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-004 D 12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-002 D 16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-002 D 15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-004 D 06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-002 D 18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-002 D 17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-002 D 20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-003 D 01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-002 D 22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-006 D 01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-003 D 08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-003 D 02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-006 D 19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-003 D 11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-003 D 02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-005 D 17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-003 D 10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-002 D 23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-006 D 09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-003 D 12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-003 D 00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-005 D 03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-003 D 14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-003 D 01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-004 D 05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-003 D 18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-003 D 04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-004 D 19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-004 D 00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-003 D 07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-006 D 12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-004 D 04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-003 D 07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-003 D 12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-004 D 04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-003 D 05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-003 D 16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-004 D 06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-003 D 06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-004 D 10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-004 D 14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-003 D 12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-004 D 17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-004 D 17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-003 D 10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-005 D 22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-004 D 19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-003 D 12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-005 D 07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-004 D 23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-003 D 12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-004 D 14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-005 D 01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-003 D 14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-003 D 05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-005 D 02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-003 D 13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-003 D 15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-005 D 02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-003 D 15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-003 D 20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-005 D 05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-003 D 15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-003 D 21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-005 D 03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-003 D 15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-004 D 05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-005 D 05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-003 D 17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-004 D 09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-005 D 05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-003 D 17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-004 D 10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-005 D 04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-003 D 17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-003 D 06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-005 D 00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-003 D 15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-004 D 11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-005 D 02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-003 D 20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-006 D 01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-005 D 06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-004 D 00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-005 D 19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-005 D 04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-003 D 22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-005 D 21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-005 D 05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-004 D 00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-006 D 22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-005 D 06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-004 D 03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-007 D 02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-005 D 07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-004 D 04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-007 D 04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-005 D 11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-004 D 08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-007 D 15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-005 D 14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-004 D 10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-004 D 13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-005 D 06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-004 D 01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-001 D 08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-005 D 06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-004 D 02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-001 D 05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-005 D 06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-004 D 04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-001 D 23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-005 D 07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-004 D 05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-002 D 15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-005 D 07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-004 D 05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-001 D 19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-005 D 01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-003 D 23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-003 D 05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-005 D 01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-004 D 01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000 D 14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-004 D 20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-003 D 22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-001 D 08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-004 D 20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-003 D 23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-002 D 02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-004 D 19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-004 D 01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-002 D 18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-004 D 20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-004 D 02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-003 D 04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-004 D 19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-004 D 02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-003 D 22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-004 D 21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-004 D 04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-005 D 18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-004 D 21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-004 D 05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-004 D 11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-004 D 14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-003 D 23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-004 D 04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-004 D 15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-004 D 00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-005 D 00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-004 D 21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-004 D 08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-005 D 11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-004 D 19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-004 D 07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-005 D 16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-004 D 21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-004 D 09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-006 D 13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-004 D 23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-004 D 11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-006 D 14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-005 D 01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-004 D 12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-006 D 18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-005 D 03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-004 D 14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-007 D 00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-005 D 06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-004 D 17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-007 D 05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-005 D 09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-004 D 20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-007 D 16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-005 D 14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-005 D 01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-007 D 18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-005 D 16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-005 D 02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-007 D 19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-005 D 18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-005 D 03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-008 D 05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-006 D 01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-005 D 11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-008 D 03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-006 D 03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-005 D 11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-008 D 19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-006 D 21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-006 D 07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-008 D 23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-007 D 02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-006 D 12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-009 D 00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-007 D 06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-006 D 14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-009 D 00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-007 D 10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-006 D 17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-009 D 01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-007 D 15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-006 D 23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-009 D 01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-007 D 17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-007 D 00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-008 D 13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-007 D 23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-007 D 08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7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7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7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7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7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7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7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73" t="e">
        <f t="shared" ca="1" si="34"/>
        <v>#N/A</v>
      </c>
    </row>
    <row r="403" spans="4:14" ht="14.65" customHeight="1" x14ac:dyDescent="0.25">
      <c r="D403" s="47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7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7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73" t="e">
        <f t="shared" ca="1" si="34"/>
        <v>#N/A</v>
      </c>
    </row>
    <row r="404" spans="4:14" ht="14.65" customHeight="1" x14ac:dyDescent="0.25">
      <c r="D404" s="47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7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7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73" t="e">
        <f t="shared" ca="1" si="34"/>
        <v>#N/A</v>
      </c>
    </row>
    <row r="405" spans="4:14" ht="14.65" customHeight="1" x14ac:dyDescent="0.25">
      <c r="D405" s="47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7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7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73" t="e">
        <f t="shared" ca="1" si="34"/>
        <v>#N/A</v>
      </c>
    </row>
    <row r="406" spans="4:14" ht="14.65" customHeight="1" x14ac:dyDescent="0.25">
      <c r="D406" s="47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7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7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73" t="e">
        <f t="shared" ca="1" si="34"/>
        <v>#N/A</v>
      </c>
    </row>
    <row r="407" spans="4:14" ht="14.65" customHeight="1" x14ac:dyDescent="0.25">
      <c r="D407" s="47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7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7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73" t="e">
        <f t="shared" ca="1" si="34"/>
        <v>#N/A</v>
      </c>
    </row>
    <row r="408" spans="4:14" ht="14.65" customHeight="1" x14ac:dyDescent="0.25">
      <c r="D408" s="47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7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7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73" t="e">
        <f t="shared" ca="1" si="34"/>
        <v>#N/A</v>
      </c>
    </row>
    <row r="409" spans="4:14" ht="14.65" customHeight="1" x14ac:dyDescent="0.25">
      <c r="D409" s="47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7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7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73" t="e">
        <f t="shared" ca="1" si="34"/>
        <v>#N/A</v>
      </c>
    </row>
    <row r="410" spans="4:14" ht="14.65" customHeight="1" x14ac:dyDescent="0.25">
      <c r="D410" s="47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7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7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73" t="e">
        <f t="shared" ca="1" si="34"/>
        <v>#N/A</v>
      </c>
    </row>
    <row r="411" spans="4:14" ht="14.65" customHeight="1" x14ac:dyDescent="0.25">
      <c r="D411" s="47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7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7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73" t="e">
        <f t="shared" ca="1" si="34"/>
        <v>#N/A</v>
      </c>
    </row>
    <row r="412" spans="4:14" ht="14.65" customHeight="1" x14ac:dyDescent="0.25">
      <c r="D412" s="47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7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7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73" t="e">
        <f t="shared" ca="1" si="34"/>
        <v>#N/A</v>
      </c>
    </row>
    <row r="413" spans="4:14" ht="14.65" customHeight="1" x14ac:dyDescent="0.25">
      <c r="D413" s="47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7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7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73" t="e">
        <f t="shared" ca="1" si="34"/>
        <v>#N/A</v>
      </c>
    </row>
    <row r="414" spans="4:14" ht="14.65" customHeight="1" x14ac:dyDescent="0.25">
      <c r="D414" s="47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7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7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73" t="e">
        <f t="shared" ca="1" si="34"/>
        <v>#N/A</v>
      </c>
    </row>
    <row r="415" spans="4:14" ht="14.65" customHeight="1" x14ac:dyDescent="0.25">
      <c r="D415" s="47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7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7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73" t="e">
        <f t="shared" ca="1" si="34"/>
        <v>#N/A</v>
      </c>
    </row>
    <row r="416" spans="4:14" ht="14.65" customHeight="1" x14ac:dyDescent="0.25">
      <c r="D416" s="47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7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7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73" t="e">
        <f t="shared" ca="1" si="34"/>
        <v>#N/A</v>
      </c>
    </row>
    <row r="417" spans="4:14" ht="14.65" customHeight="1" x14ac:dyDescent="0.25">
      <c r="D417" s="47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7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7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73" t="e">
        <f t="shared" ca="1" si="34"/>
        <v>#N/A</v>
      </c>
    </row>
    <row r="418" spans="4:14" ht="14.65" customHeight="1" x14ac:dyDescent="0.25">
      <c r="D418" s="47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7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7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73" t="e">
        <f t="shared" ca="1" si="34"/>
        <v>#N/A</v>
      </c>
    </row>
    <row r="419" spans="4:14" ht="14.65" customHeight="1" x14ac:dyDescent="0.25">
      <c r="D419" s="47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7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7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73" t="e">
        <f t="shared" ca="1" si="34"/>
        <v>#N/A</v>
      </c>
    </row>
    <row r="420" spans="4:14" ht="14.65" customHeight="1" x14ac:dyDescent="0.25">
      <c r="D420" s="47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7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7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73" t="e">
        <f t="shared" ca="1" si="34"/>
        <v>#N/A</v>
      </c>
    </row>
    <row r="421" spans="4:14" ht="14.65" customHeight="1" x14ac:dyDescent="0.25">
      <c r="D421" s="47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7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7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73" t="e">
        <f t="shared" ca="1" si="34"/>
        <v>#N/A</v>
      </c>
    </row>
    <row r="422" spans="4:14" ht="14.65" customHeight="1" x14ac:dyDescent="0.25">
      <c r="D422" s="47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7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7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73" t="e">
        <f t="shared" ca="1" si="34"/>
        <v>#N/A</v>
      </c>
    </row>
    <row r="423" spans="4:14" ht="14.65" customHeight="1" x14ac:dyDescent="0.25">
      <c r="D423" s="47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7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7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73" t="e">
        <f t="shared" ca="1" si="34"/>
        <v>#N/A</v>
      </c>
    </row>
    <row r="424" spans="4:14" ht="14.65" customHeight="1" x14ac:dyDescent="0.25">
      <c r="D424" s="47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7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7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73" t="e">
        <f t="shared" ca="1" si="34"/>
        <v>#N/A</v>
      </c>
    </row>
    <row r="425" spans="4:14" ht="14.65" customHeight="1" x14ac:dyDescent="0.25">
      <c r="D425" s="47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7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7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73" t="e">
        <f t="shared" ca="1" si="34"/>
        <v>#N/A</v>
      </c>
    </row>
    <row r="426" spans="4:14" ht="14.65" customHeight="1" x14ac:dyDescent="0.25">
      <c r="D426" s="47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7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7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73" t="e">
        <f t="shared" ca="1" si="34"/>
        <v>#N/A</v>
      </c>
    </row>
    <row r="427" spans="4:14" ht="14.65" customHeight="1" x14ac:dyDescent="0.25">
      <c r="D427" s="47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7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7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73" t="e">
        <f t="shared" ca="1" si="34"/>
        <v>#N/A</v>
      </c>
    </row>
    <row r="428" spans="4:14" ht="14.65" customHeight="1" x14ac:dyDescent="0.25">
      <c r="D428" s="47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7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7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73" t="e">
        <f t="shared" ca="1" si="34"/>
        <v>#N/A</v>
      </c>
    </row>
    <row r="429" spans="4:14" ht="14.65" customHeight="1" x14ac:dyDescent="0.25">
      <c r="D429" s="47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7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7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73" t="e">
        <f t="shared" ca="1" si="34"/>
        <v>#N/A</v>
      </c>
    </row>
    <row r="430" spans="4:14" ht="14.65" customHeight="1" x14ac:dyDescent="0.25">
      <c r="D430" s="47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7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7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73" t="e">
        <f t="shared" ca="1" si="34"/>
        <v>#N/A</v>
      </c>
    </row>
    <row r="431" spans="4:14" ht="14.65" customHeight="1" x14ac:dyDescent="0.25">
      <c r="D431" s="47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7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7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73" t="e">
        <f t="shared" ca="1" si="34"/>
        <v>#N/A</v>
      </c>
    </row>
    <row r="432" spans="4:14" ht="14.65" customHeight="1" x14ac:dyDescent="0.25">
      <c r="D432" s="47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7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7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73" t="e">
        <f t="shared" ca="1" si="34"/>
        <v>#N/A</v>
      </c>
    </row>
    <row r="433" spans="4:14" ht="14.65" customHeight="1" x14ac:dyDescent="0.25">
      <c r="D433" s="47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7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7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73" t="e">
        <f t="shared" ca="1" si="34"/>
        <v>#N/A</v>
      </c>
    </row>
    <row r="434" spans="4:14" ht="14.65" customHeight="1" x14ac:dyDescent="0.25">
      <c r="D434" s="47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7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7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73" t="e">
        <f t="shared" ca="1" si="34"/>
        <v>#N/A</v>
      </c>
    </row>
    <row r="435" spans="4:14" ht="14.65" customHeight="1" x14ac:dyDescent="0.25">
      <c r="D435" s="47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7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7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73" t="e">
        <f t="shared" ca="1" si="34"/>
        <v>#N/A</v>
      </c>
    </row>
    <row r="436" spans="4:14" ht="14.65" customHeight="1" x14ac:dyDescent="0.25">
      <c r="D436" s="47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7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7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73" t="e">
        <f t="shared" ca="1" si="34"/>
        <v>#N/A</v>
      </c>
    </row>
    <row r="437" spans="4:14" ht="14.65" customHeight="1" x14ac:dyDescent="0.25">
      <c r="D437" s="47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7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7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73" t="e">
        <f t="shared" ca="1" si="34"/>
        <v>#N/A</v>
      </c>
    </row>
    <row r="438" spans="4:14" ht="14.65" customHeight="1" x14ac:dyDescent="0.25">
      <c r="D438" s="47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7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7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73" t="e">
        <f t="shared" ca="1" si="34"/>
        <v>#N/A</v>
      </c>
    </row>
    <row r="439" spans="4:14" ht="14.65" customHeight="1" x14ac:dyDescent="0.25">
      <c r="D439" s="47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7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7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73" t="e">
        <f t="shared" ca="1" si="34"/>
        <v>#N/A</v>
      </c>
    </row>
    <row r="440" spans="4:14" ht="14.65" customHeight="1" x14ac:dyDescent="0.25">
      <c r="D440" s="47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7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7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73" t="e">
        <f t="shared" ca="1" si="34"/>
        <v>#N/A</v>
      </c>
    </row>
    <row r="441" spans="4:14" ht="14.65" customHeight="1" x14ac:dyDescent="0.25">
      <c r="D441" s="47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7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7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73" t="e">
        <f t="shared" ca="1" si="34"/>
        <v>#N/A</v>
      </c>
    </row>
    <row r="442" spans="4:14" ht="14.65" customHeight="1" x14ac:dyDescent="0.25">
      <c r="D442" s="47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7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7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73" t="e">
        <f t="shared" ca="1" si="34"/>
        <v>#N/A</v>
      </c>
    </row>
    <row r="443" spans="4:14" ht="14.65" customHeight="1" x14ac:dyDescent="0.25">
      <c r="D443" s="47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7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7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73" t="e">
        <f t="shared" ca="1" si="34"/>
        <v>#N/A</v>
      </c>
    </row>
    <row r="444" spans="4:14" ht="14.65" customHeight="1" x14ac:dyDescent="0.25">
      <c r="D444" s="47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7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7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73" t="e">
        <f t="shared" ca="1" si="34"/>
        <v>#N/A</v>
      </c>
    </row>
    <row r="445" spans="4:14" ht="14.65" customHeight="1" x14ac:dyDescent="0.25">
      <c r="D445" s="47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7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7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73" t="e">
        <f t="shared" ca="1" si="34"/>
        <v>#N/A</v>
      </c>
    </row>
    <row r="446" spans="4:14" ht="14.65" customHeight="1" x14ac:dyDescent="0.25">
      <c r="D446" s="47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7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7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73" t="e">
        <f t="shared" ca="1" si="34"/>
        <v>#N/A</v>
      </c>
    </row>
    <row r="447" spans="4:14" ht="14.65" customHeight="1" x14ac:dyDescent="0.25">
      <c r="D447" s="47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7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7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73" t="e">
        <f t="shared" ca="1" si="34"/>
        <v>#N/A</v>
      </c>
    </row>
    <row r="448" spans="4:14" ht="14.65" customHeight="1" x14ac:dyDescent="0.25">
      <c r="D448" s="47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7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7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73" t="e">
        <f t="shared" ca="1" si="34"/>
        <v>#N/A</v>
      </c>
    </row>
    <row r="449" spans="4:14" ht="14.65" customHeight="1" x14ac:dyDescent="0.25">
      <c r="D449" s="47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7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7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73" t="e">
        <f t="shared" ca="1" si="34"/>
        <v>#N/A</v>
      </c>
    </row>
    <row r="450" spans="4:14" ht="14.65" customHeight="1" x14ac:dyDescent="0.25">
      <c r="D450" s="47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7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7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73" t="e">
        <f t="shared" ca="1" si="34"/>
        <v>#N/A</v>
      </c>
    </row>
    <row r="451" spans="4:14" ht="14.65" customHeight="1" x14ac:dyDescent="0.25">
      <c r="D451" s="47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7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7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73" t="e">
        <f t="shared" ca="1" si="34"/>
        <v>#N/A</v>
      </c>
    </row>
    <row r="452" spans="4:14" ht="14.65" customHeight="1" x14ac:dyDescent="0.25">
      <c r="D452" s="47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7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7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73" t="e">
        <f t="shared" ca="1" si="34"/>
        <v>#N/A</v>
      </c>
    </row>
    <row r="453" spans="4:14" ht="14.65" customHeight="1" x14ac:dyDescent="0.25">
      <c r="D453" s="47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7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7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73" t="e">
        <f t="shared" ca="1" si="34"/>
        <v>#N/A</v>
      </c>
    </row>
    <row r="454" spans="4:14" ht="14.65" customHeight="1" x14ac:dyDescent="0.25">
      <c r="D454" s="47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7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7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73" t="e">
        <f t="shared" ca="1" si="34"/>
        <v>#N/A</v>
      </c>
    </row>
    <row r="455" spans="4:14" ht="14.65" customHeight="1" x14ac:dyDescent="0.25">
      <c r="D455" s="47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7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7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73" t="e">
        <f t="shared" ca="1" si="34"/>
        <v>#N/A</v>
      </c>
    </row>
    <row r="456" spans="4:14" ht="14.65" customHeight="1" x14ac:dyDescent="0.25">
      <c r="D456" s="47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7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7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73" t="e">
        <f t="shared" ca="1" si="34"/>
        <v>#N/A</v>
      </c>
    </row>
    <row r="457" spans="4:14" ht="14.65" customHeight="1" x14ac:dyDescent="0.25">
      <c r="D457" s="47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7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7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73" t="e">
        <f t="shared" ca="1" si="34"/>
        <v>#N/A</v>
      </c>
    </row>
    <row r="458" spans="4:14" ht="14.65" customHeight="1" x14ac:dyDescent="0.25">
      <c r="D458" s="47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7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7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73" t="e">
        <f t="shared" ca="1" si="34"/>
        <v>#N/A</v>
      </c>
    </row>
    <row r="459" spans="4:14" ht="14.65" customHeight="1" x14ac:dyDescent="0.25">
      <c r="D459" s="47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7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7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73" t="e">
        <f t="shared" ca="1" si="34"/>
        <v>#N/A</v>
      </c>
    </row>
    <row r="460" spans="4:14" ht="14.65" customHeight="1" x14ac:dyDescent="0.25">
      <c r="D460" s="47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7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7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73" t="e">
        <f t="shared" ca="1" si="34"/>
        <v>#N/A</v>
      </c>
    </row>
    <row r="461" spans="4:14" ht="14.65" customHeight="1" x14ac:dyDescent="0.25">
      <c r="D461" s="47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7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7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73" t="e">
        <f t="shared" ca="1" si="34"/>
        <v>#N/A</v>
      </c>
    </row>
    <row r="462" spans="4:14" ht="14.65" customHeight="1" x14ac:dyDescent="0.25">
      <c r="D462" s="47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7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7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73" t="e">
        <f t="shared" ca="1" si="34"/>
        <v>#N/A</v>
      </c>
    </row>
    <row r="463" spans="4:14" ht="14.65" customHeight="1" x14ac:dyDescent="0.25">
      <c r="D463" s="47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7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7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73" t="e">
        <f t="shared" ca="1" si="34"/>
        <v>#N/A</v>
      </c>
    </row>
    <row r="464" spans="4:14" ht="14.65" customHeight="1" x14ac:dyDescent="0.25">
      <c r="D464" s="47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7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7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73" t="e">
        <f t="shared" ca="1" si="34"/>
        <v>#N/A</v>
      </c>
    </row>
    <row r="465" spans="4:14" ht="14.65" customHeight="1" x14ac:dyDescent="0.25">
      <c r="D465" s="47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7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7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7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7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7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7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73" t="e">
        <f t="shared" ca="1" si="38"/>
        <v>#N/A</v>
      </c>
    </row>
    <row r="467" spans="4:14" ht="14.65" customHeight="1" x14ac:dyDescent="0.25">
      <c r="D467" s="47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7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7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73" t="e">
        <f t="shared" ca="1" si="38"/>
        <v>#N/A</v>
      </c>
    </row>
    <row r="468" spans="4:14" ht="14.65" customHeight="1" x14ac:dyDescent="0.25">
      <c r="D468" s="47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7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7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73" t="e">
        <f t="shared" ca="1" si="38"/>
        <v>#N/A</v>
      </c>
    </row>
    <row r="469" spans="4:14" ht="14.65" customHeight="1" x14ac:dyDescent="0.25">
      <c r="D469" s="47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7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7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73" t="e">
        <f t="shared" ca="1" si="38"/>
        <v>#N/A</v>
      </c>
    </row>
    <row r="470" spans="4:14" ht="14.65" customHeight="1" x14ac:dyDescent="0.25">
      <c r="D470" s="47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7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7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73" t="e">
        <f t="shared" ca="1" si="38"/>
        <v>#N/A</v>
      </c>
    </row>
    <row r="471" spans="4:14" ht="14.65" customHeight="1" x14ac:dyDescent="0.25">
      <c r="D471" s="47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7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7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73" t="e">
        <f t="shared" ca="1" si="38"/>
        <v>#N/A</v>
      </c>
    </row>
    <row r="472" spans="4:14" ht="14.65" customHeight="1" x14ac:dyDescent="0.25">
      <c r="D472" s="47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7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7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73" t="e">
        <f t="shared" ca="1" si="38"/>
        <v>#N/A</v>
      </c>
    </row>
    <row r="473" spans="4:14" ht="14.65" customHeight="1" x14ac:dyDescent="0.25">
      <c r="D473" s="47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7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7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73" t="e">
        <f t="shared" ca="1" si="38"/>
        <v>#N/A</v>
      </c>
    </row>
    <row r="474" spans="4:14" ht="14.65" customHeight="1" x14ac:dyDescent="0.25">
      <c r="D474" s="47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7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7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73" t="e">
        <f t="shared" ca="1" si="38"/>
        <v>#N/A</v>
      </c>
    </row>
    <row r="475" spans="4:14" ht="14.65" customHeight="1" x14ac:dyDescent="0.25">
      <c r="D475" s="47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7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7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73" t="e">
        <f t="shared" ca="1" si="38"/>
        <v>#N/A</v>
      </c>
    </row>
    <row r="476" spans="4:14" ht="14.65" customHeight="1" x14ac:dyDescent="0.25">
      <c r="D476" s="47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7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7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73" t="e">
        <f t="shared" ca="1" si="38"/>
        <v>#N/A</v>
      </c>
    </row>
    <row r="477" spans="4:14" ht="14.65" customHeight="1" x14ac:dyDescent="0.25">
      <c r="D477" s="47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7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7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73" t="e">
        <f t="shared" ca="1" si="38"/>
        <v>#N/A</v>
      </c>
    </row>
    <row r="478" spans="4:14" ht="14.65" customHeight="1" x14ac:dyDescent="0.25">
      <c r="D478" s="47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7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7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73" t="e">
        <f t="shared" ca="1" si="38"/>
        <v>#N/A</v>
      </c>
    </row>
    <row r="479" spans="4:14" ht="14.65" customHeight="1" x14ac:dyDescent="0.25">
      <c r="D479" s="47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7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7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73" t="e">
        <f t="shared" ca="1" si="38"/>
        <v>#N/A</v>
      </c>
    </row>
    <row r="480" spans="4:14" ht="14.65" customHeight="1" x14ac:dyDescent="0.25">
      <c r="D480" s="47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7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7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73" t="e">
        <f t="shared" ca="1" si="38"/>
        <v>#N/A</v>
      </c>
    </row>
    <row r="481" spans="4:14" ht="14.65" customHeight="1" x14ac:dyDescent="0.25">
      <c r="D481" s="47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7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7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73" t="e">
        <f t="shared" ca="1" si="38"/>
        <v>#N/A</v>
      </c>
    </row>
    <row r="482" spans="4:14" ht="14.65" customHeight="1" x14ac:dyDescent="0.25">
      <c r="D482" s="47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7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7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73" t="e">
        <f t="shared" ca="1" si="38"/>
        <v>#N/A</v>
      </c>
    </row>
    <row r="483" spans="4:14" ht="14.65" customHeight="1" x14ac:dyDescent="0.25">
      <c r="D483" s="47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7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7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73" t="e">
        <f t="shared" ca="1" si="38"/>
        <v>#N/A</v>
      </c>
    </row>
    <row r="484" spans="4:14" ht="14.65" customHeight="1" x14ac:dyDescent="0.25">
      <c r="D484" s="47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7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7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73" t="e">
        <f t="shared" ca="1" si="38"/>
        <v>#N/A</v>
      </c>
    </row>
    <row r="485" spans="4:14" ht="14.65" customHeight="1" x14ac:dyDescent="0.25">
      <c r="D485" s="47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7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7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73" t="e">
        <f t="shared" ca="1" si="38"/>
        <v>#N/A</v>
      </c>
    </row>
    <row r="486" spans="4:14" ht="14.65" customHeight="1" x14ac:dyDescent="0.25">
      <c r="D486" s="47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7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7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73" t="e">
        <f t="shared" ca="1" si="38"/>
        <v>#N/A</v>
      </c>
    </row>
    <row r="487" spans="4:14" ht="14.65" customHeight="1" x14ac:dyDescent="0.25">
      <c r="D487" s="47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7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7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73" t="e">
        <f t="shared" ca="1" si="38"/>
        <v>#N/A</v>
      </c>
    </row>
    <row r="488" spans="4:14" ht="14.65" customHeight="1" x14ac:dyDescent="0.25">
      <c r="D488" s="47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7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7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73" t="e">
        <f t="shared" ca="1" si="38"/>
        <v>#N/A</v>
      </c>
    </row>
    <row r="489" spans="4:14" ht="14.65" customHeight="1" x14ac:dyDescent="0.25">
      <c r="D489" s="47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7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7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73" t="e">
        <f t="shared" ca="1" si="38"/>
        <v>#N/A</v>
      </c>
    </row>
    <row r="490" spans="4:14" ht="14.65" customHeight="1" x14ac:dyDescent="0.25">
      <c r="D490" s="47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7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7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73" t="e">
        <f t="shared" ca="1" si="38"/>
        <v>#N/A</v>
      </c>
    </row>
    <row r="491" spans="4:14" ht="14.65" customHeight="1" x14ac:dyDescent="0.25">
      <c r="D491" s="47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7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7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73" t="e">
        <f t="shared" ca="1" si="38"/>
        <v>#N/A</v>
      </c>
    </row>
    <row r="492" spans="4:14" ht="14.65" customHeight="1" x14ac:dyDescent="0.25">
      <c r="D492" s="47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7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7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73" t="e">
        <f t="shared" ca="1" si="38"/>
        <v>#N/A</v>
      </c>
    </row>
    <row r="493" spans="4:14" ht="14.65" customHeight="1" x14ac:dyDescent="0.25">
      <c r="D493" s="47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7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7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73" t="e">
        <f t="shared" ca="1" si="38"/>
        <v>#N/A</v>
      </c>
    </row>
    <row r="494" spans="4:14" ht="14.65" customHeight="1" x14ac:dyDescent="0.25">
      <c r="D494" s="47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7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7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73" t="e">
        <f t="shared" ca="1" si="38"/>
        <v>#N/A</v>
      </c>
    </row>
    <row r="495" spans="4:14" ht="14.65" customHeight="1" x14ac:dyDescent="0.25">
      <c r="D495" s="47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7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7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73" t="e">
        <f t="shared" ca="1" si="38"/>
        <v>#N/A</v>
      </c>
    </row>
    <row r="496" spans="4:14" ht="14.65" customHeight="1" x14ac:dyDescent="0.25">
      <c r="D496" s="47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7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7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73" t="e">
        <f t="shared" ca="1" si="38"/>
        <v>#N/A</v>
      </c>
    </row>
    <row r="497" spans="4:14" ht="14.65" customHeight="1" x14ac:dyDescent="0.25">
      <c r="D497" s="47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7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7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73" t="e">
        <f t="shared" ca="1" si="38"/>
        <v>#N/A</v>
      </c>
    </row>
    <row r="498" spans="4:14" ht="14.65" customHeight="1" x14ac:dyDescent="0.25">
      <c r="D498" s="47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7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7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73" t="e">
        <f t="shared" ca="1" si="38"/>
        <v>#N/A</v>
      </c>
    </row>
    <row r="499" spans="4:14" ht="14.65" customHeight="1" x14ac:dyDescent="0.25">
      <c r="D499" s="47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7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7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73" t="e">
        <f t="shared" ca="1" si="38"/>
        <v>#N/A</v>
      </c>
    </row>
    <row r="500" spans="4:14" ht="14.65" customHeight="1" x14ac:dyDescent="0.25">
      <c r="D500" s="47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7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7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73" t="e">
        <f t="shared" ca="1" si="38"/>
        <v>#N/A</v>
      </c>
    </row>
    <row r="501" spans="4:14" ht="14.65" customHeight="1" x14ac:dyDescent="0.25">
      <c r="D501" s="47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7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7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73" t="e">
        <f t="shared" ca="1" si="38"/>
        <v>#N/A</v>
      </c>
    </row>
    <row r="502" spans="4:14" ht="14.65" customHeight="1" x14ac:dyDescent="0.25">
      <c r="D502" s="47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7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7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73" t="e">
        <f t="shared" ca="1" si="38"/>
        <v>#N/A</v>
      </c>
    </row>
    <row r="503" spans="4:14" ht="14.65" customHeight="1" x14ac:dyDescent="0.25">
      <c r="D503" s="47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7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7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73" t="e">
        <f t="shared" ca="1" si="38"/>
        <v>#N/A</v>
      </c>
    </row>
    <row r="504" spans="4:14" ht="14.65" customHeight="1" x14ac:dyDescent="0.25">
      <c r="D504" s="47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7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7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73" t="e">
        <f t="shared" ca="1" si="38"/>
        <v>#N/A</v>
      </c>
    </row>
    <row r="505" spans="4:14" ht="14.65" customHeight="1" x14ac:dyDescent="0.25">
      <c r="D505" s="47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7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7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73" t="e">
        <f t="shared" ca="1" si="38"/>
        <v>#N/A</v>
      </c>
    </row>
    <row r="506" spans="4:14" ht="14.65" customHeight="1" x14ac:dyDescent="0.25">
      <c r="D506" s="47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7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7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73" t="e">
        <f t="shared" ca="1" si="38"/>
        <v>#N/A</v>
      </c>
    </row>
    <row r="507" spans="4:14" ht="14.65" customHeight="1" x14ac:dyDescent="0.25">
      <c r="D507" s="47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7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7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73" t="e">
        <f t="shared" ca="1" si="38"/>
        <v>#N/A</v>
      </c>
    </row>
    <row r="508" spans="4:14" ht="14.65" customHeight="1" x14ac:dyDescent="0.25">
      <c r="D508" s="47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7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7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73" t="e">
        <f t="shared" ca="1" si="38"/>
        <v>#N/A</v>
      </c>
    </row>
    <row r="509" spans="4:14" ht="14.65" customHeight="1" x14ac:dyDescent="0.25">
      <c r="D509" s="47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7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7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73" t="e">
        <f t="shared" ca="1" si="38"/>
        <v>#N/A</v>
      </c>
    </row>
    <row r="510" spans="4:14" ht="14.65" customHeight="1" x14ac:dyDescent="0.25">
      <c r="D510" s="47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7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7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73" t="e">
        <f t="shared" ca="1" si="38"/>
        <v>#N/A</v>
      </c>
    </row>
    <row r="511" spans="4:14" ht="14.65" customHeight="1" x14ac:dyDescent="0.25">
      <c r="D511" s="47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7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7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73" t="e">
        <f t="shared" ca="1" si="38"/>
        <v>#N/A</v>
      </c>
    </row>
    <row r="512" spans="4:14" ht="14.65" customHeight="1" x14ac:dyDescent="0.25">
      <c r="D512" s="47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7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7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73" t="e">
        <f t="shared" ca="1" si="38"/>
        <v>#N/A</v>
      </c>
    </row>
    <row r="513" spans="4:14" ht="14.65" customHeight="1" x14ac:dyDescent="0.25">
      <c r="D513" s="47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7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7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73" t="e">
        <f t="shared" ca="1" si="38"/>
        <v>#N/A</v>
      </c>
    </row>
    <row r="514" spans="4:14" ht="14.65" customHeight="1" x14ac:dyDescent="0.25">
      <c r="D514" s="47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7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7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73" t="e">
        <f t="shared" ca="1" si="38"/>
        <v>#N/A</v>
      </c>
    </row>
    <row r="515" spans="4:14" ht="14.65" customHeight="1" x14ac:dyDescent="0.25">
      <c r="D515" s="47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7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7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73" t="e">
        <f t="shared" ca="1" si="38"/>
        <v>#N/A</v>
      </c>
    </row>
    <row r="516" spans="4:14" ht="14.65" customHeight="1" x14ac:dyDescent="0.25">
      <c r="D516" s="47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7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7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73" t="e">
        <f t="shared" ca="1" si="38"/>
        <v>#N/A</v>
      </c>
    </row>
    <row r="517" spans="4:14" ht="14.65" customHeight="1" x14ac:dyDescent="0.25">
      <c r="D517" s="47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7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7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73" t="e">
        <f t="shared" ca="1" si="38"/>
        <v>#N/A</v>
      </c>
    </row>
    <row r="518" spans="4:14" ht="14.65" customHeight="1" x14ac:dyDescent="0.25">
      <c r="D518" s="47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7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7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73" t="e">
        <f t="shared" ca="1" si="38"/>
        <v>#N/A</v>
      </c>
    </row>
    <row r="519" spans="4:14" ht="14.65" customHeight="1" x14ac:dyDescent="0.25">
      <c r="D519" s="47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7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7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73" t="e">
        <f t="shared" ca="1" si="38"/>
        <v>#N/A</v>
      </c>
    </row>
    <row r="520" spans="4:14" ht="14.65" customHeight="1" x14ac:dyDescent="0.25">
      <c r="D520" s="47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7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7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73" t="e">
        <f t="shared" ca="1" si="38"/>
        <v>#N/A</v>
      </c>
    </row>
    <row r="521" spans="4:14" ht="14.65" customHeight="1" x14ac:dyDescent="0.25">
      <c r="D521" s="47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7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7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73" t="e">
        <f t="shared" ca="1" si="38"/>
        <v>#N/A</v>
      </c>
    </row>
    <row r="522" spans="4:14" ht="14.65" customHeight="1" x14ac:dyDescent="0.25">
      <c r="D522" s="47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7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7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73" t="e">
        <f t="shared" ca="1" si="38"/>
        <v>#N/A</v>
      </c>
    </row>
    <row r="523" spans="4:14" ht="14.65" customHeight="1" x14ac:dyDescent="0.25">
      <c r="D523" s="47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7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7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73" t="e">
        <f t="shared" ca="1" si="38"/>
        <v>#N/A</v>
      </c>
    </row>
    <row r="524" spans="4:14" ht="14.65" customHeight="1" x14ac:dyDescent="0.25">
      <c r="D524" s="47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7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7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73" t="e">
        <f t="shared" ca="1" si="38"/>
        <v>#N/A</v>
      </c>
    </row>
    <row r="525" spans="4:14" ht="14.65" customHeight="1" x14ac:dyDescent="0.25">
      <c r="D525" s="47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7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7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73" t="e">
        <f t="shared" ca="1" si="38"/>
        <v>#N/A</v>
      </c>
    </row>
    <row r="526" spans="4:14" ht="14.65" customHeight="1" x14ac:dyDescent="0.25">
      <c r="D526" s="47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7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7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73" t="e">
        <f t="shared" ca="1" si="38"/>
        <v>#N/A</v>
      </c>
    </row>
    <row r="527" spans="4:14" ht="14.65" customHeight="1" x14ac:dyDescent="0.25">
      <c r="D527" s="47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7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7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73" t="e">
        <f t="shared" ca="1" si="38"/>
        <v>#N/A</v>
      </c>
    </row>
    <row r="528" spans="4:14" ht="14.65" customHeight="1" x14ac:dyDescent="0.25">
      <c r="D528" s="47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7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7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73" t="e">
        <f t="shared" ca="1" si="38"/>
        <v>#N/A</v>
      </c>
    </row>
    <row r="529" spans="4:14" ht="14.65" customHeight="1" x14ac:dyDescent="0.25">
      <c r="D529" s="47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7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7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7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7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7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7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73" t="e">
        <f t="shared" ca="1" si="42"/>
        <v>#N/A</v>
      </c>
    </row>
    <row r="531" spans="4:14" ht="14.65" customHeight="1" x14ac:dyDescent="0.25">
      <c r="D531" s="47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7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7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73" t="e">
        <f t="shared" ca="1" si="42"/>
        <v>#N/A</v>
      </c>
    </row>
    <row r="532" spans="4:14" ht="14.65" customHeight="1" x14ac:dyDescent="0.25">
      <c r="D532" s="47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7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7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73" t="e">
        <f t="shared" ca="1" si="42"/>
        <v>#N/A</v>
      </c>
    </row>
    <row r="533" spans="4:14" ht="14.65" customHeight="1" x14ac:dyDescent="0.25">
      <c r="D533" s="47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7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7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73" t="e">
        <f t="shared" ca="1" si="42"/>
        <v>#N/A</v>
      </c>
    </row>
    <row r="534" spans="4:14" ht="14.65" customHeight="1" x14ac:dyDescent="0.25">
      <c r="D534" s="47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7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7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73" t="e">
        <f t="shared" ca="1" si="42"/>
        <v>#N/A</v>
      </c>
    </row>
    <row r="535" spans="4:14" ht="14.65" customHeight="1" x14ac:dyDescent="0.25">
      <c r="D535" s="47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7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7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73" t="e">
        <f t="shared" ca="1" si="42"/>
        <v>#N/A</v>
      </c>
    </row>
    <row r="536" spans="4:14" ht="14.65" customHeight="1" x14ac:dyDescent="0.25">
      <c r="D536" s="47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7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7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73" t="e">
        <f t="shared" ca="1" si="42"/>
        <v>#N/A</v>
      </c>
    </row>
    <row r="537" spans="4:14" ht="14.65" customHeight="1" x14ac:dyDescent="0.25">
      <c r="D537" s="47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7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7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73" t="e">
        <f t="shared" ca="1" si="42"/>
        <v>#N/A</v>
      </c>
    </row>
    <row r="538" spans="4:14" ht="14.65" customHeight="1" x14ac:dyDescent="0.25">
      <c r="D538" s="47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7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7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73" t="e">
        <f t="shared" ca="1" si="42"/>
        <v>#N/A</v>
      </c>
    </row>
    <row r="539" spans="4:14" ht="14.65" customHeight="1" x14ac:dyDescent="0.25">
      <c r="D539" s="47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7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7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73" t="e">
        <f t="shared" ca="1" si="42"/>
        <v>#N/A</v>
      </c>
    </row>
    <row r="540" spans="4:14" ht="14.65" customHeight="1" x14ac:dyDescent="0.25">
      <c r="D540" s="47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7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7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73" t="e">
        <f t="shared" ca="1" si="42"/>
        <v>#N/A</v>
      </c>
    </row>
    <row r="541" spans="4:14" ht="14.65" customHeight="1" x14ac:dyDescent="0.25">
      <c r="D541" s="47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7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7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73" t="e">
        <f t="shared" ca="1" si="42"/>
        <v>#N/A</v>
      </c>
    </row>
    <row r="542" spans="4:14" ht="14.65" customHeight="1" x14ac:dyDescent="0.25">
      <c r="D542" s="47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7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7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73" t="e">
        <f t="shared" ca="1" si="42"/>
        <v>#N/A</v>
      </c>
    </row>
    <row r="543" spans="4:14" ht="14.65" customHeight="1" x14ac:dyDescent="0.25">
      <c r="D543" s="47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7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7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73" t="e">
        <f t="shared" ca="1" si="42"/>
        <v>#N/A</v>
      </c>
    </row>
    <row r="544" spans="4:14" ht="14.65" customHeight="1" x14ac:dyDescent="0.25">
      <c r="D544" s="47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7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7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73" t="e">
        <f t="shared" ca="1" si="42"/>
        <v>#N/A</v>
      </c>
    </row>
    <row r="545" spans="4:14" ht="14.65" customHeight="1" x14ac:dyDescent="0.25">
      <c r="D545" s="47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7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7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73" t="e">
        <f t="shared" ca="1" si="42"/>
        <v>#N/A</v>
      </c>
    </row>
    <row r="546" spans="4:14" ht="14.65" customHeight="1" x14ac:dyDescent="0.25">
      <c r="D546" s="47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7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7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73" t="e">
        <f t="shared" ca="1" si="42"/>
        <v>#N/A</v>
      </c>
    </row>
    <row r="547" spans="4:14" ht="14.65" customHeight="1" x14ac:dyDescent="0.25">
      <c r="D547" s="47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7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7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73" t="e">
        <f t="shared" ca="1" si="42"/>
        <v>#N/A</v>
      </c>
    </row>
    <row r="548" spans="4:14" ht="14.65" customHeight="1" x14ac:dyDescent="0.25">
      <c r="D548" s="47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7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7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73" t="e">
        <f t="shared" ca="1" si="42"/>
        <v>#N/A</v>
      </c>
    </row>
    <row r="549" spans="4:14" ht="14.65" customHeight="1" x14ac:dyDescent="0.25">
      <c r="D549" s="47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7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7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73" t="e">
        <f t="shared" ca="1" si="42"/>
        <v>#N/A</v>
      </c>
    </row>
    <row r="550" spans="4:14" ht="14.65" customHeight="1" x14ac:dyDescent="0.25">
      <c r="D550" s="47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7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7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73" t="e">
        <f t="shared" ca="1" si="42"/>
        <v>#N/A</v>
      </c>
    </row>
    <row r="551" spans="4:14" ht="14.65" customHeight="1" x14ac:dyDescent="0.25">
      <c r="D551" s="47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7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7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73" t="e">
        <f t="shared" ca="1" si="42"/>
        <v>#N/A</v>
      </c>
    </row>
    <row r="552" spans="4:14" ht="14.65" customHeight="1" x14ac:dyDescent="0.25">
      <c r="D552" s="47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7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7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73" t="e">
        <f t="shared" ca="1" si="42"/>
        <v>#N/A</v>
      </c>
    </row>
    <row r="553" spans="4:14" ht="14.65" customHeight="1" x14ac:dyDescent="0.25">
      <c r="D553" s="47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7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7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73" t="e">
        <f t="shared" ca="1" si="42"/>
        <v>#N/A</v>
      </c>
    </row>
    <row r="554" spans="4:14" ht="14.65" customHeight="1" x14ac:dyDescent="0.25">
      <c r="D554" s="47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7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7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73" t="e">
        <f t="shared" ca="1" si="42"/>
        <v>#N/A</v>
      </c>
    </row>
    <row r="555" spans="4:14" ht="14.65" customHeight="1" x14ac:dyDescent="0.25">
      <c r="D555" s="47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7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7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73" t="e">
        <f t="shared" ca="1" si="42"/>
        <v>#N/A</v>
      </c>
    </row>
    <row r="556" spans="4:14" ht="14.65" customHeight="1" x14ac:dyDescent="0.25">
      <c r="D556" s="47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7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7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73" t="e">
        <f t="shared" ca="1" si="42"/>
        <v>#N/A</v>
      </c>
    </row>
    <row r="557" spans="4:14" ht="14.65" customHeight="1" x14ac:dyDescent="0.25">
      <c r="D557" s="47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7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7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73" t="e">
        <f t="shared" ca="1" si="42"/>
        <v>#N/A</v>
      </c>
    </row>
    <row r="558" spans="4:14" ht="14.65" customHeight="1" x14ac:dyDescent="0.25">
      <c r="D558" s="47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7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7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73" t="e">
        <f t="shared" ca="1" si="42"/>
        <v>#N/A</v>
      </c>
    </row>
    <row r="559" spans="4:14" ht="14.65" customHeight="1" x14ac:dyDescent="0.25">
      <c r="D559" s="47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7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7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73" t="e">
        <f t="shared" ca="1" si="42"/>
        <v>#N/A</v>
      </c>
    </row>
    <row r="560" spans="4:14" ht="14.65" customHeight="1" x14ac:dyDescent="0.25">
      <c r="D560" s="47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7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7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73" t="e">
        <f t="shared" ca="1" si="42"/>
        <v>#N/A</v>
      </c>
    </row>
    <row r="561" spans="4:14" ht="14.65" customHeight="1" x14ac:dyDescent="0.25">
      <c r="D561" s="47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7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7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73" t="e">
        <f t="shared" ca="1" si="42"/>
        <v>#N/A</v>
      </c>
    </row>
    <row r="562" spans="4:14" ht="14.65" customHeight="1" x14ac:dyDescent="0.25">
      <c r="D562" s="47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7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7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73" t="e">
        <f t="shared" ca="1" si="42"/>
        <v>#N/A</v>
      </c>
    </row>
    <row r="563" spans="4:14" ht="14.65" customHeight="1" x14ac:dyDescent="0.25">
      <c r="D563" s="47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7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7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73" t="e">
        <f t="shared" ca="1" si="42"/>
        <v>#N/A</v>
      </c>
    </row>
    <row r="564" spans="4:14" ht="14.65" customHeight="1" x14ac:dyDescent="0.25">
      <c r="D564" s="47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7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7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73" t="e">
        <f t="shared" ca="1" si="42"/>
        <v>#N/A</v>
      </c>
    </row>
    <row r="565" spans="4:14" ht="14.65" customHeight="1" x14ac:dyDescent="0.25">
      <c r="D565" s="47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7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7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73" t="e">
        <f t="shared" ca="1" si="42"/>
        <v>#N/A</v>
      </c>
    </row>
    <row r="566" spans="4:14" ht="14.65" customHeight="1" x14ac:dyDescent="0.25">
      <c r="D566" s="47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7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7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73" t="e">
        <f t="shared" ca="1" si="42"/>
        <v>#N/A</v>
      </c>
    </row>
    <row r="567" spans="4:14" ht="14.65" customHeight="1" x14ac:dyDescent="0.25">
      <c r="D567" s="47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7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7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73" t="e">
        <f t="shared" ca="1" si="42"/>
        <v>#N/A</v>
      </c>
    </row>
    <row r="568" spans="4:14" ht="14.65" customHeight="1" x14ac:dyDescent="0.25">
      <c r="D568" s="47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7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7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73" t="e">
        <f t="shared" ca="1" si="42"/>
        <v>#N/A</v>
      </c>
    </row>
    <row r="569" spans="4:14" ht="14.65" customHeight="1" x14ac:dyDescent="0.25">
      <c r="D569" s="47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7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7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73" t="e">
        <f t="shared" ca="1" si="42"/>
        <v>#N/A</v>
      </c>
    </row>
    <row r="570" spans="4:14" ht="14.65" customHeight="1" x14ac:dyDescent="0.25">
      <c r="D570" s="47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7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7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73" t="e">
        <f t="shared" ca="1" si="42"/>
        <v>#N/A</v>
      </c>
    </row>
    <row r="571" spans="4:14" ht="14.65" customHeight="1" x14ac:dyDescent="0.25">
      <c r="D571" s="47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7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7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73" t="e">
        <f t="shared" ca="1" si="42"/>
        <v>#N/A</v>
      </c>
    </row>
    <row r="572" spans="4:14" ht="14.65" customHeight="1" x14ac:dyDescent="0.25">
      <c r="D572" s="47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7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7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73" t="e">
        <f t="shared" ca="1" si="42"/>
        <v>#N/A</v>
      </c>
    </row>
    <row r="573" spans="4:14" ht="14.65" customHeight="1" x14ac:dyDescent="0.25">
      <c r="D573" s="47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7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7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73" t="e">
        <f t="shared" ca="1" si="42"/>
        <v>#N/A</v>
      </c>
    </row>
    <row r="574" spans="4:14" ht="14.65" customHeight="1" x14ac:dyDescent="0.25">
      <c r="D574" s="47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7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7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73" t="e">
        <f t="shared" ca="1" si="42"/>
        <v>#N/A</v>
      </c>
    </row>
    <row r="575" spans="4:14" ht="14.65" customHeight="1" x14ac:dyDescent="0.25">
      <c r="D575" s="47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7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7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73" t="e">
        <f t="shared" ca="1" si="42"/>
        <v>#N/A</v>
      </c>
    </row>
    <row r="576" spans="4:14" ht="14.65" customHeight="1" x14ac:dyDescent="0.25">
      <c r="D576" s="47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7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7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73" t="e">
        <f t="shared" ca="1" si="42"/>
        <v>#N/A</v>
      </c>
    </row>
    <row r="577" spans="4:14" ht="14.65" customHeight="1" x14ac:dyDescent="0.25">
      <c r="D577" s="47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7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7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73" t="e">
        <f t="shared" ca="1" si="42"/>
        <v>#N/A</v>
      </c>
    </row>
    <row r="578" spans="4:14" ht="14.65" customHeight="1" x14ac:dyDescent="0.25">
      <c r="D578" s="47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7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7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73" t="e">
        <f t="shared" ca="1" si="42"/>
        <v>#N/A</v>
      </c>
    </row>
    <row r="579" spans="4:14" ht="14.65" customHeight="1" x14ac:dyDescent="0.25">
      <c r="D579" s="47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7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7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73" t="e">
        <f t="shared" ca="1" si="42"/>
        <v>#N/A</v>
      </c>
    </row>
    <row r="580" spans="4:14" ht="14.65" customHeight="1" x14ac:dyDescent="0.25">
      <c r="D580" s="47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7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7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73" t="e">
        <f t="shared" ca="1" si="42"/>
        <v>#N/A</v>
      </c>
    </row>
    <row r="581" spans="4:14" ht="14.65" customHeight="1" x14ac:dyDescent="0.25">
      <c r="D581" s="47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7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7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73" t="e">
        <f t="shared" ca="1" si="42"/>
        <v>#N/A</v>
      </c>
    </row>
    <row r="582" spans="4:14" ht="14.65" customHeight="1" x14ac:dyDescent="0.25">
      <c r="D582" s="47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7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7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73" t="e">
        <f t="shared" ca="1" si="42"/>
        <v>#N/A</v>
      </c>
    </row>
    <row r="583" spans="4:14" ht="14.65" customHeight="1" x14ac:dyDescent="0.25">
      <c r="D583" s="47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7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7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73" t="e">
        <f t="shared" ca="1" si="42"/>
        <v>#N/A</v>
      </c>
    </row>
    <row r="584" spans="4:14" ht="14.65" customHeight="1" x14ac:dyDescent="0.25">
      <c r="D584" s="47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7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7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73" t="e">
        <f t="shared" ca="1" si="42"/>
        <v>#N/A</v>
      </c>
    </row>
    <row r="585" spans="4:14" ht="14.65" customHeight="1" x14ac:dyDescent="0.25">
      <c r="D585" s="47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7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7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73" t="e">
        <f t="shared" ca="1" si="42"/>
        <v>#N/A</v>
      </c>
    </row>
    <row r="586" spans="4:14" ht="14.65" customHeight="1" x14ac:dyDescent="0.25">
      <c r="D586" s="47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7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7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73" t="e">
        <f t="shared" ca="1" si="42"/>
        <v>#N/A</v>
      </c>
    </row>
    <row r="587" spans="4:14" ht="14.65" customHeight="1" x14ac:dyDescent="0.25">
      <c r="D587" s="47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7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7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73" t="e">
        <f t="shared" ca="1" si="42"/>
        <v>#N/A</v>
      </c>
    </row>
    <row r="588" spans="4:14" ht="14.65" customHeight="1" x14ac:dyDescent="0.25">
      <c r="D588" s="47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7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7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73" t="e">
        <f t="shared" ca="1" si="42"/>
        <v>#N/A</v>
      </c>
    </row>
    <row r="589" spans="4:14" ht="14.65" customHeight="1" x14ac:dyDescent="0.25">
      <c r="D589" s="47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7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7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73" t="e">
        <f t="shared" ca="1" si="42"/>
        <v>#N/A</v>
      </c>
    </row>
    <row r="590" spans="4:14" ht="14.65" customHeight="1" x14ac:dyDescent="0.25">
      <c r="D590" s="47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7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7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73" t="e">
        <f t="shared" ca="1" si="42"/>
        <v>#N/A</v>
      </c>
    </row>
    <row r="591" spans="4:14" ht="14.65" customHeight="1" x14ac:dyDescent="0.25">
      <c r="D591" s="47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7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7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73" t="e">
        <f t="shared" ca="1" si="42"/>
        <v>#N/A</v>
      </c>
    </row>
    <row r="592" spans="4:14" ht="14.65" customHeight="1" x14ac:dyDescent="0.25">
      <c r="D592" s="47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7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7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73" t="e">
        <f t="shared" ca="1" si="42"/>
        <v>#N/A</v>
      </c>
    </row>
    <row r="593" spans="4:14" ht="14.65" customHeight="1" x14ac:dyDescent="0.25">
      <c r="D593" s="47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7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7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7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7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7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7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73" t="e">
        <f t="shared" ca="1" si="46"/>
        <v>#N/A</v>
      </c>
    </row>
    <row r="595" spans="4:14" ht="14.65" customHeight="1" x14ac:dyDescent="0.25">
      <c r="D595" s="47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7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7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73" t="e">
        <f t="shared" ca="1" si="46"/>
        <v>#N/A</v>
      </c>
    </row>
    <row r="596" spans="4:14" ht="14.65" customHeight="1" x14ac:dyDescent="0.25">
      <c r="D596" s="47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7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7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73" t="e">
        <f t="shared" ca="1" si="46"/>
        <v>#N/A</v>
      </c>
    </row>
    <row r="597" spans="4:14" ht="14.65" customHeight="1" x14ac:dyDescent="0.25">
      <c r="D597" s="47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7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7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73" t="e">
        <f t="shared" ca="1" si="46"/>
        <v>#N/A</v>
      </c>
    </row>
    <row r="598" spans="4:14" ht="14.65" customHeight="1" x14ac:dyDescent="0.25">
      <c r="D598" s="47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7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7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73" t="e">
        <f t="shared" ca="1" si="46"/>
        <v>#N/A</v>
      </c>
    </row>
    <row r="599" spans="4:14" ht="14.65" customHeight="1" x14ac:dyDescent="0.25">
      <c r="D599" s="47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7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7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73" t="e">
        <f t="shared" ca="1" si="46"/>
        <v>#N/A</v>
      </c>
    </row>
    <row r="600" spans="4:14" ht="14.65" customHeight="1" x14ac:dyDescent="0.25">
      <c r="D600" s="47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7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7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73" t="e">
        <f t="shared" ca="1" si="46"/>
        <v>#N/A</v>
      </c>
    </row>
    <row r="601" spans="4:14" ht="14.65" customHeight="1" x14ac:dyDescent="0.25">
      <c r="D601" s="47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7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7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73" t="e">
        <f t="shared" ca="1" si="46"/>
        <v>#N/A</v>
      </c>
    </row>
    <row r="602" spans="4:14" ht="14.65" customHeight="1" x14ac:dyDescent="0.25">
      <c r="D602" s="47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7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7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73" t="e">
        <f t="shared" ca="1" si="46"/>
        <v>#N/A</v>
      </c>
    </row>
    <row r="603" spans="4:14" ht="14.65" customHeight="1" x14ac:dyDescent="0.25">
      <c r="D603" s="47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7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7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73" t="e">
        <f t="shared" ca="1" si="46"/>
        <v>#N/A</v>
      </c>
    </row>
    <row r="604" spans="4:14" ht="14.65" customHeight="1" x14ac:dyDescent="0.25">
      <c r="D604" s="47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7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7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73" t="e">
        <f t="shared" ca="1" si="46"/>
        <v>#N/A</v>
      </c>
    </row>
    <row r="605" spans="4:14" ht="14.65" customHeight="1" x14ac:dyDescent="0.25">
      <c r="D605" s="47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7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7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73" t="e">
        <f t="shared" ca="1" si="46"/>
        <v>#N/A</v>
      </c>
    </row>
    <row r="606" spans="4:14" ht="14.65" customHeight="1" x14ac:dyDescent="0.25">
      <c r="D606" s="47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7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7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73" t="e">
        <f t="shared" ca="1" si="46"/>
        <v>#N/A</v>
      </c>
    </row>
    <row r="607" spans="4:14" ht="14.65" customHeight="1" x14ac:dyDescent="0.25">
      <c r="D607" s="47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7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7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73" t="e">
        <f t="shared" ca="1" si="46"/>
        <v>#N/A</v>
      </c>
    </row>
    <row r="608" spans="4:14" ht="14.65" customHeight="1" x14ac:dyDescent="0.25">
      <c r="D608" s="47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7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7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73" t="e">
        <f t="shared" ca="1" si="46"/>
        <v>#N/A</v>
      </c>
    </row>
    <row r="609" spans="4:14" ht="14.65" customHeight="1" x14ac:dyDescent="0.25">
      <c r="D609" s="47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7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7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73" t="e">
        <f t="shared" ca="1" si="46"/>
        <v>#N/A</v>
      </c>
    </row>
    <row r="610" spans="4:14" ht="14.65" customHeight="1" x14ac:dyDescent="0.25">
      <c r="D610" s="47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7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7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73" t="e">
        <f t="shared" ca="1" si="46"/>
        <v>#N/A</v>
      </c>
    </row>
    <row r="611" spans="4:14" ht="14.65" customHeight="1" x14ac:dyDescent="0.25">
      <c r="D611" s="47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7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7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73" t="e">
        <f t="shared" ca="1" si="46"/>
        <v>#N/A</v>
      </c>
    </row>
    <row r="612" spans="4:14" ht="14.65" customHeight="1" x14ac:dyDescent="0.25">
      <c r="D612" s="47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7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7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73" t="e">
        <f t="shared" ca="1" si="46"/>
        <v>#N/A</v>
      </c>
    </row>
    <row r="613" spans="4:14" ht="14.65" customHeight="1" x14ac:dyDescent="0.25">
      <c r="D613" s="47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7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7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73" t="e">
        <f t="shared" ca="1" si="46"/>
        <v>#N/A</v>
      </c>
    </row>
    <row r="614" spans="4:14" ht="14.65" customHeight="1" x14ac:dyDescent="0.25">
      <c r="D614" s="47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7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7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73" t="e">
        <f t="shared" ca="1" si="46"/>
        <v>#N/A</v>
      </c>
    </row>
    <row r="615" spans="4:14" ht="14.65" customHeight="1" x14ac:dyDescent="0.25">
      <c r="D615" s="47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7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7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73" t="e">
        <f t="shared" ca="1" si="46"/>
        <v>#N/A</v>
      </c>
    </row>
    <row r="616" spans="4:14" ht="14.65" customHeight="1" x14ac:dyDescent="0.25">
      <c r="D616" s="47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7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7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73" t="e">
        <f t="shared" ca="1" si="46"/>
        <v>#N/A</v>
      </c>
    </row>
    <row r="617" spans="4:14" ht="14.65" customHeight="1" x14ac:dyDescent="0.25">
      <c r="D617" s="47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7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7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73" t="e">
        <f t="shared" ca="1" si="46"/>
        <v>#N/A</v>
      </c>
    </row>
    <row r="618" spans="4:14" ht="14.65" customHeight="1" x14ac:dyDescent="0.25">
      <c r="D618" s="47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7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7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73" t="e">
        <f t="shared" ca="1" si="46"/>
        <v>#N/A</v>
      </c>
    </row>
    <row r="619" spans="4:14" ht="14.65" customHeight="1" x14ac:dyDescent="0.25">
      <c r="D619" s="47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7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7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73" t="e">
        <f t="shared" ca="1" si="46"/>
        <v>#N/A</v>
      </c>
    </row>
    <row r="620" spans="4:14" ht="14.65" customHeight="1" x14ac:dyDescent="0.25">
      <c r="D620" s="47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7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7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73" t="e">
        <f t="shared" ca="1" si="46"/>
        <v>#N/A</v>
      </c>
    </row>
    <row r="621" spans="4:14" ht="14.65" customHeight="1" x14ac:dyDescent="0.25">
      <c r="D621" s="47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7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7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73" t="e">
        <f t="shared" ca="1" si="46"/>
        <v>#N/A</v>
      </c>
    </row>
    <row r="622" spans="4:14" ht="14.65" customHeight="1" x14ac:dyDescent="0.25">
      <c r="D622" s="47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7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7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73" t="e">
        <f t="shared" ca="1" si="46"/>
        <v>#N/A</v>
      </c>
    </row>
    <row r="623" spans="4:14" ht="14.65" customHeight="1" x14ac:dyDescent="0.25">
      <c r="D623" s="47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7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7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73" t="e">
        <f t="shared" ca="1" si="46"/>
        <v>#N/A</v>
      </c>
    </row>
    <row r="624" spans="4:14" ht="14.65" customHeight="1" x14ac:dyDescent="0.25">
      <c r="D624" s="47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7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7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73" t="e">
        <f t="shared" ca="1" si="46"/>
        <v>#N/A</v>
      </c>
    </row>
    <row r="625" spans="4:14" ht="14.65" customHeight="1" x14ac:dyDescent="0.25">
      <c r="D625" s="47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7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7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73" t="e">
        <f t="shared" ca="1" si="46"/>
        <v>#N/A</v>
      </c>
    </row>
    <row r="626" spans="4:14" ht="14.65" customHeight="1" x14ac:dyDescent="0.25">
      <c r="D626" s="47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7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7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73" t="e">
        <f t="shared" ca="1" si="46"/>
        <v>#N/A</v>
      </c>
    </row>
    <row r="627" spans="4:14" ht="14.65" customHeight="1" x14ac:dyDescent="0.25">
      <c r="D627" s="47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7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7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73" t="e">
        <f t="shared" ca="1" si="46"/>
        <v>#N/A</v>
      </c>
    </row>
    <row r="628" spans="4:14" ht="14.65" customHeight="1" x14ac:dyDescent="0.25">
      <c r="D628" s="47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7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7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73" t="e">
        <f t="shared" ca="1" si="46"/>
        <v>#N/A</v>
      </c>
    </row>
    <row r="629" spans="4:14" ht="14.65" customHeight="1" x14ac:dyDescent="0.25">
      <c r="D629" s="47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7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7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73" t="e">
        <f t="shared" ca="1" si="46"/>
        <v>#N/A</v>
      </c>
    </row>
    <row r="630" spans="4:14" ht="14.65" customHeight="1" x14ac:dyDescent="0.25">
      <c r="D630" s="47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7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7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73" t="e">
        <f t="shared" ca="1" si="46"/>
        <v>#N/A</v>
      </c>
    </row>
    <row r="631" spans="4:14" ht="14.65" customHeight="1" x14ac:dyDescent="0.25">
      <c r="D631" s="47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7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7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73" t="e">
        <f t="shared" ca="1" si="46"/>
        <v>#N/A</v>
      </c>
    </row>
    <row r="632" spans="4:14" ht="14.65" customHeight="1" x14ac:dyDescent="0.25">
      <c r="D632" s="47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7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7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73" t="e">
        <f t="shared" ca="1" si="46"/>
        <v>#N/A</v>
      </c>
    </row>
    <row r="633" spans="4:14" ht="14.65" customHeight="1" x14ac:dyDescent="0.25">
      <c r="D633" s="47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7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7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73" t="e">
        <f t="shared" ca="1" si="46"/>
        <v>#N/A</v>
      </c>
    </row>
    <row r="634" spans="4:14" ht="14.65" customHeight="1" x14ac:dyDescent="0.25">
      <c r="D634" s="47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7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7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73" t="e">
        <f t="shared" ca="1" si="46"/>
        <v>#N/A</v>
      </c>
    </row>
    <row r="635" spans="4:14" ht="14.65" customHeight="1" x14ac:dyDescent="0.25">
      <c r="D635" s="47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7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7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73" t="e">
        <f t="shared" ca="1" si="46"/>
        <v>#N/A</v>
      </c>
    </row>
    <row r="636" spans="4:14" ht="14.65" customHeight="1" x14ac:dyDescent="0.25">
      <c r="D636" s="47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7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7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73" t="e">
        <f t="shared" ca="1" si="46"/>
        <v>#N/A</v>
      </c>
    </row>
    <row r="637" spans="4:14" ht="14.65" customHeight="1" x14ac:dyDescent="0.25">
      <c r="D637" s="47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7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7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73" t="e">
        <f t="shared" ca="1" si="46"/>
        <v>#N/A</v>
      </c>
    </row>
    <row r="638" spans="4:14" ht="14.65" customHeight="1" x14ac:dyDescent="0.25">
      <c r="D638" s="47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7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7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73" t="e">
        <f t="shared" ca="1" si="46"/>
        <v>#N/A</v>
      </c>
    </row>
    <row r="639" spans="4:14" ht="14.65" customHeight="1" x14ac:dyDescent="0.25">
      <c r="D639" s="47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7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7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73" t="e">
        <f t="shared" ca="1" si="46"/>
        <v>#N/A</v>
      </c>
    </row>
    <row r="640" spans="4:14" ht="14.65" customHeight="1" x14ac:dyDescent="0.25">
      <c r="D640" s="47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7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7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73" t="e">
        <f t="shared" ca="1" si="46"/>
        <v>#N/A</v>
      </c>
    </row>
    <row r="641" spans="4:14" ht="14.65" customHeight="1" x14ac:dyDescent="0.25">
      <c r="D641" s="47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7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7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73" t="e">
        <f t="shared" ca="1" si="46"/>
        <v>#N/A</v>
      </c>
    </row>
    <row r="642" spans="4:14" ht="14.65" customHeight="1" x14ac:dyDescent="0.25">
      <c r="D642" s="47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7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7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73" t="e">
        <f t="shared" ca="1" si="46"/>
        <v>#N/A</v>
      </c>
    </row>
    <row r="643" spans="4:14" ht="14.65" customHeight="1" x14ac:dyDescent="0.25">
      <c r="D643" s="47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7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7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73" t="e">
        <f t="shared" ca="1" si="46"/>
        <v>#N/A</v>
      </c>
    </row>
    <row r="644" spans="4:14" ht="14.65" customHeight="1" x14ac:dyDescent="0.25">
      <c r="D644" s="47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7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7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73" t="e">
        <f t="shared" ca="1" si="46"/>
        <v>#N/A</v>
      </c>
    </row>
    <row r="645" spans="4:14" ht="14.65" customHeight="1" x14ac:dyDescent="0.25">
      <c r="D645" s="47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7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7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73" t="e">
        <f t="shared" ca="1" si="46"/>
        <v>#N/A</v>
      </c>
    </row>
    <row r="646" spans="4:14" ht="14.65" customHeight="1" x14ac:dyDescent="0.25">
      <c r="D646" s="47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7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7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73" t="e">
        <f t="shared" ca="1" si="46"/>
        <v>#N/A</v>
      </c>
    </row>
    <row r="647" spans="4:14" ht="14.65" customHeight="1" x14ac:dyDescent="0.25">
      <c r="D647" s="47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7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7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73" t="e">
        <f t="shared" ca="1" si="46"/>
        <v>#N/A</v>
      </c>
    </row>
    <row r="648" spans="4:14" ht="14.65" customHeight="1" x14ac:dyDescent="0.25">
      <c r="D648" s="47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7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7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73" t="e">
        <f t="shared" ca="1" si="46"/>
        <v>#N/A</v>
      </c>
    </row>
    <row r="649" spans="4:14" ht="14.65" customHeight="1" x14ac:dyDescent="0.25">
      <c r="D649" s="47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7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7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73" t="e">
        <f t="shared" ca="1" si="46"/>
        <v>#N/A</v>
      </c>
    </row>
    <row r="650" spans="4:14" ht="14.65" customHeight="1" x14ac:dyDescent="0.25">
      <c r="D650" s="47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7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7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73" t="e">
        <f t="shared" ca="1" si="46"/>
        <v>#N/A</v>
      </c>
    </row>
    <row r="651" spans="4:14" ht="14.65" customHeight="1" x14ac:dyDescent="0.25">
      <c r="D651" s="47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7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7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73" t="e">
        <f t="shared" ca="1" si="46"/>
        <v>#N/A</v>
      </c>
    </row>
    <row r="652" spans="4:14" ht="14.65" customHeight="1" x14ac:dyDescent="0.25">
      <c r="D652" s="47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7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7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73" t="e">
        <f t="shared" ca="1" si="46"/>
        <v>#N/A</v>
      </c>
    </row>
    <row r="653" spans="4:14" ht="14.65" customHeight="1" x14ac:dyDescent="0.25">
      <c r="D653" s="47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7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7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73" t="e">
        <f t="shared" ca="1" si="46"/>
        <v>#N/A</v>
      </c>
    </row>
    <row r="654" spans="4:14" ht="14.65" customHeight="1" x14ac:dyDescent="0.25">
      <c r="D654" s="47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7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7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73" t="e">
        <f t="shared" ca="1" si="46"/>
        <v>#N/A</v>
      </c>
    </row>
    <row r="655" spans="4:14" ht="14.65" customHeight="1" x14ac:dyDescent="0.25">
      <c r="D655" s="47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7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7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73" t="e">
        <f t="shared" ca="1" si="46"/>
        <v>#N/A</v>
      </c>
    </row>
    <row r="656" spans="4:14" ht="14.65" customHeight="1" x14ac:dyDescent="0.25">
      <c r="D656" s="473" t="str">
        <f t="shared" ref="D656:D719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7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7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73" t="e">
        <f t="shared" ca="1" si="46"/>
        <v>#N/A</v>
      </c>
    </row>
    <row r="657" spans="4:14" ht="14.65" customHeight="1" x14ac:dyDescent="0.25">
      <c r="D657" s="47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7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7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7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7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7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7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73" t="e">
        <f t="shared" ca="1" si="50"/>
        <v>#N/A</v>
      </c>
    </row>
    <row r="659" spans="4:14" ht="14.65" customHeight="1" x14ac:dyDescent="0.25">
      <c r="D659" s="47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7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7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73" t="e">
        <f t="shared" ca="1" si="50"/>
        <v>#N/A</v>
      </c>
    </row>
    <row r="660" spans="4:14" ht="14.65" customHeight="1" x14ac:dyDescent="0.25">
      <c r="D660" s="47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7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7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73" t="e">
        <f t="shared" ca="1" si="50"/>
        <v>#N/A</v>
      </c>
    </row>
    <row r="661" spans="4:14" ht="14.65" customHeight="1" x14ac:dyDescent="0.25">
      <c r="D661" s="47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7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7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73" t="e">
        <f t="shared" ca="1" si="50"/>
        <v>#N/A</v>
      </c>
    </row>
    <row r="662" spans="4:14" ht="14.65" customHeight="1" x14ac:dyDescent="0.25">
      <c r="D662" s="47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7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7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73" t="e">
        <f t="shared" ca="1" si="50"/>
        <v>#N/A</v>
      </c>
    </row>
    <row r="663" spans="4:14" ht="14.65" customHeight="1" x14ac:dyDescent="0.25">
      <c r="D663" s="47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7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7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73" t="e">
        <f t="shared" ca="1" si="50"/>
        <v>#N/A</v>
      </c>
    </row>
    <row r="664" spans="4:14" ht="14.65" customHeight="1" x14ac:dyDescent="0.25">
      <c r="D664" s="47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7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7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73" t="e">
        <f t="shared" ca="1" si="50"/>
        <v>#N/A</v>
      </c>
    </row>
    <row r="665" spans="4:14" ht="14.65" customHeight="1" x14ac:dyDescent="0.25">
      <c r="D665" s="47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7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7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73" t="e">
        <f t="shared" ca="1" si="50"/>
        <v>#N/A</v>
      </c>
    </row>
    <row r="666" spans="4:14" ht="14.65" customHeight="1" x14ac:dyDescent="0.25">
      <c r="D666" s="47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7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7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73" t="e">
        <f t="shared" ca="1" si="50"/>
        <v>#N/A</v>
      </c>
    </row>
    <row r="667" spans="4:14" ht="14.65" customHeight="1" x14ac:dyDescent="0.25">
      <c r="D667" s="47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7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7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73" t="e">
        <f t="shared" ca="1" si="50"/>
        <v>#N/A</v>
      </c>
    </row>
    <row r="668" spans="4:14" ht="14.65" customHeight="1" x14ac:dyDescent="0.25">
      <c r="D668" s="47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7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7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73" t="e">
        <f t="shared" ca="1" si="50"/>
        <v>#N/A</v>
      </c>
    </row>
    <row r="669" spans="4:14" ht="14.65" customHeight="1" x14ac:dyDescent="0.25">
      <c r="D669" s="47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7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7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73" t="e">
        <f t="shared" ca="1" si="50"/>
        <v>#N/A</v>
      </c>
    </row>
    <row r="670" spans="4:14" ht="14.65" customHeight="1" x14ac:dyDescent="0.25">
      <c r="D670" s="47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7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7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73" t="e">
        <f t="shared" ca="1" si="50"/>
        <v>#N/A</v>
      </c>
    </row>
    <row r="671" spans="4:14" ht="14.65" customHeight="1" x14ac:dyDescent="0.25">
      <c r="D671" s="47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7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7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73" t="e">
        <f t="shared" ca="1" si="50"/>
        <v>#N/A</v>
      </c>
    </row>
    <row r="672" spans="4:14" ht="14.65" customHeight="1" x14ac:dyDescent="0.25">
      <c r="D672" s="47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7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7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73" t="e">
        <f t="shared" ca="1" si="50"/>
        <v>#N/A</v>
      </c>
    </row>
    <row r="673" spans="4:14" ht="14.65" customHeight="1" x14ac:dyDescent="0.25">
      <c r="D673" s="47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7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7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73" t="e">
        <f t="shared" ca="1" si="50"/>
        <v>#N/A</v>
      </c>
    </row>
    <row r="674" spans="4:14" ht="14.65" customHeight="1" x14ac:dyDescent="0.25">
      <c r="D674" s="47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7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7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73" t="e">
        <f t="shared" ca="1" si="50"/>
        <v>#N/A</v>
      </c>
    </row>
    <row r="675" spans="4:14" ht="14.65" customHeight="1" x14ac:dyDescent="0.25">
      <c r="D675" s="47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7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7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73" t="e">
        <f t="shared" ca="1" si="50"/>
        <v>#N/A</v>
      </c>
    </row>
    <row r="676" spans="4:14" ht="14.65" customHeight="1" x14ac:dyDescent="0.25">
      <c r="D676" s="47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7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7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73" t="e">
        <f t="shared" ca="1" si="50"/>
        <v>#N/A</v>
      </c>
    </row>
    <row r="677" spans="4:14" ht="14.65" customHeight="1" x14ac:dyDescent="0.25">
      <c r="D677" s="47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7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7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73" t="e">
        <f t="shared" ca="1" si="50"/>
        <v>#N/A</v>
      </c>
    </row>
    <row r="678" spans="4:14" ht="14.65" customHeight="1" x14ac:dyDescent="0.25">
      <c r="D678" s="47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7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7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73" t="e">
        <f t="shared" ca="1" si="50"/>
        <v>#N/A</v>
      </c>
    </row>
    <row r="679" spans="4:14" ht="14.65" customHeight="1" x14ac:dyDescent="0.25">
      <c r="D679" s="47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7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7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73" t="e">
        <f t="shared" ca="1" si="50"/>
        <v>#N/A</v>
      </c>
    </row>
    <row r="680" spans="4:14" ht="14.65" customHeight="1" x14ac:dyDescent="0.25">
      <c r="D680" s="47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7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7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73" t="e">
        <f t="shared" ca="1" si="50"/>
        <v>#N/A</v>
      </c>
    </row>
    <row r="681" spans="4:14" ht="14.65" customHeight="1" x14ac:dyDescent="0.25">
      <c r="D681" s="47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7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7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73" t="e">
        <f t="shared" ca="1" si="50"/>
        <v>#N/A</v>
      </c>
    </row>
    <row r="682" spans="4:14" ht="14.65" customHeight="1" x14ac:dyDescent="0.25">
      <c r="D682" s="47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7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7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73" t="e">
        <f t="shared" ca="1" si="50"/>
        <v>#N/A</v>
      </c>
    </row>
    <row r="683" spans="4:14" ht="14.65" customHeight="1" x14ac:dyDescent="0.25">
      <c r="D683" s="47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7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7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73" t="e">
        <f t="shared" ca="1" si="50"/>
        <v>#N/A</v>
      </c>
    </row>
    <row r="684" spans="4:14" ht="14.65" customHeight="1" x14ac:dyDescent="0.25">
      <c r="D684" s="47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7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7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73" t="e">
        <f t="shared" ca="1" si="50"/>
        <v>#N/A</v>
      </c>
    </row>
    <row r="685" spans="4:14" ht="14.65" customHeight="1" x14ac:dyDescent="0.25">
      <c r="D685" s="47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7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7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73" t="e">
        <f t="shared" ca="1" si="50"/>
        <v>#N/A</v>
      </c>
    </row>
    <row r="686" spans="4:14" ht="14.65" customHeight="1" x14ac:dyDescent="0.25">
      <c r="D686" s="47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7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7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73" t="e">
        <f t="shared" ca="1" si="50"/>
        <v>#N/A</v>
      </c>
    </row>
    <row r="687" spans="4:14" ht="14.65" customHeight="1" x14ac:dyDescent="0.25">
      <c r="D687" s="47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7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7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73" t="e">
        <f t="shared" ca="1" si="50"/>
        <v>#N/A</v>
      </c>
    </row>
    <row r="688" spans="4:14" ht="14.65" customHeight="1" x14ac:dyDescent="0.25">
      <c r="D688" s="47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7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7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73" t="e">
        <f t="shared" ca="1" si="50"/>
        <v>#N/A</v>
      </c>
    </row>
    <row r="689" spans="4:14" ht="14.65" customHeight="1" x14ac:dyDescent="0.25">
      <c r="D689" s="47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7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7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73" t="e">
        <f t="shared" ca="1" si="50"/>
        <v>#N/A</v>
      </c>
    </row>
    <row r="690" spans="4:14" ht="14.65" customHeight="1" x14ac:dyDescent="0.25">
      <c r="D690" s="47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7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7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73" t="e">
        <f t="shared" ca="1" si="50"/>
        <v>#N/A</v>
      </c>
    </row>
    <row r="691" spans="4:14" ht="14.65" customHeight="1" x14ac:dyDescent="0.25">
      <c r="D691" s="47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7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7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73" t="e">
        <f t="shared" ca="1" si="50"/>
        <v>#N/A</v>
      </c>
    </row>
    <row r="692" spans="4:14" ht="14.65" customHeight="1" x14ac:dyDescent="0.25">
      <c r="D692" s="47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7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7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73" t="e">
        <f t="shared" ca="1" si="50"/>
        <v>#N/A</v>
      </c>
    </row>
    <row r="693" spans="4:14" ht="14.65" customHeight="1" x14ac:dyDescent="0.25">
      <c r="D693" s="47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7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7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73" t="e">
        <f t="shared" ca="1" si="50"/>
        <v>#N/A</v>
      </c>
    </row>
    <row r="694" spans="4:14" ht="14.65" customHeight="1" x14ac:dyDescent="0.25">
      <c r="D694" s="47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7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7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73" t="e">
        <f t="shared" ca="1" si="50"/>
        <v>#N/A</v>
      </c>
    </row>
    <row r="695" spans="4:14" ht="14.65" customHeight="1" x14ac:dyDescent="0.25">
      <c r="D695" s="47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7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7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73" t="e">
        <f t="shared" ca="1" si="50"/>
        <v>#N/A</v>
      </c>
    </row>
    <row r="696" spans="4:14" ht="14.65" customHeight="1" x14ac:dyDescent="0.25">
      <c r="D696" s="47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7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7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73" t="e">
        <f t="shared" ca="1" si="50"/>
        <v>#N/A</v>
      </c>
    </row>
    <row r="697" spans="4:14" ht="14.65" customHeight="1" x14ac:dyDescent="0.25">
      <c r="D697" s="47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7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7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73" t="e">
        <f t="shared" ca="1" si="50"/>
        <v>#N/A</v>
      </c>
    </row>
    <row r="698" spans="4:14" ht="14.65" customHeight="1" x14ac:dyDescent="0.25">
      <c r="D698" s="47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7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7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73" t="e">
        <f t="shared" ca="1" si="50"/>
        <v>#N/A</v>
      </c>
    </row>
    <row r="699" spans="4:14" ht="14.65" customHeight="1" x14ac:dyDescent="0.25">
      <c r="D699" s="47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7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7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73" t="e">
        <f t="shared" ca="1" si="50"/>
        <v>#N/A</v>
      </c>
    </row>
    <row r="700" spans="4:14" ht="14.65" customHeight="1" x14ac:dyDescent="0.25">
      <c r="D700" s="47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7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7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7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3" sqref="F3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15">
        <v>43677.583333333336</v>
      </c>
      <c r="C1" s="515"/>
      <c r="D1" s="263" t="s">
        <v>150</v>
      </c>
      <c r="E1" s="261" t="s">
        <v>82</v>
      </c>
      <c r="F1" s="261" t="s">
        <v>74</v>
      </c>
      <c r="G1" s="513" t="s">
        <v>75</v>
      </c>
      <c r="H1" s="513"/>
      <c r="I1" s="513"/>
      <c r="J1" s="513"/>
      <c r="K1" s="28"/>
      <c r="L1" s="260" t="s">
        <v>77</v>
      </c>
      <c r="M1" s="260"/>
      <c r="N1" s="512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15">
        <v>43688.583333333336</v>
      </c>
      <c r="C2" s="515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14" t="str">
        <f ca="1">IF(NOW() &gt; $B$2,"",(NOW()-$B$1)/($B$2-$B$1))</f>
        <v/>
      </c>
      <c r="H2" s="514"/>
      <c r="I2" s="514"/>
      <c r="J2" s="514"/>
      <c r="K2" s="28" t="s">
        <v>79</v>
      </c>
      <c r="L2" s="127">
        <v>100000</v>
      </c>
      <c r="N2" s="512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221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12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12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16" t="s">
        <v>76</v>
      </c>
      <c r="C5" s="516"/>
      <c r="D5" s="517" t="s">
        <v>154</v>
      </c>
      <c r="E5" s="517"/>
      <c r="F5" s="517" t="s">
        <v>78</v>
      </c>
      <c r="G5" s="517"/>
      <c r="H5" s="517" t="s">
        <v>81</v>
      </c>
      <c r="I5" s="517"/>
      <c r="J5" s="513" t="s">
        <v>152</v>
      </c>
      <c r="K5" s="513"/>
      <c r="L5" s="518" t="s">
        <v>153</v>
      </c>
      <c r="M5" s="518"/>
      <c r="N5" s="513" t="s">
        <v>151</v>
      </c>
      <c r="O5" s="513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5:O5"/>
    <mergeCell ref="B5:C5"/>
    <mergeCell ref="F5:G5"/>
    <mergeCell ref="H5:I5"/>
    <mergeCell ref="J5:K5"/>
    <mergeCell ref="L5:M5"/>
    <mergeCell ref="D5:E5"/>
    <mergeCell ref="N1:N4"/>
    <mergeCell ref="G1:J1"/>
    <mergeCell ref="G2:J2"/>
    <mergeCell ref="B1:C1"/>
    <mergeCell ref="B2:C2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1"/>
  <sheetViews>
    <sheetView topLeftCell="I1" workbookViewId="0">
      <selection activeCell="Z10" activeCellId="1" sqref="T10:T17 Z10:Z17"/>
    </sheetView>
  </sheetViews>
  <sheetFormatPr defaultColWidth="8.28515625" defaultRowHeight="15" x14ac:dyDescent="0.25"/>
  <cols>
    <col min="1" max="1" width="1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7.140625" style="99" hidden="1" customWidth="1"/>
    <col min="6" max="6" width="11.42578125" style="32" hidden="1" customWidth="1"/>
    <col min="7" max="7" width="5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" style="32" customWidth="1"/>
    <col min="18" max="18" width="8.28515625" style="473"/>
    <col min="19" max="34" width="7.140625" style="32" customWidth="1"/>
    <col min="35" max="16384" width="8.28515625" style="32"/>
  </cols>
  <sheetData>
    <row r="1" spans="2:31" s="451" customFormat="1" ht="5.25" customHeight="1" thickBot="1" x14ac:dyDescent="0.3">
      <c r="D1" s="58"/>
      <c r="E1" s="99"/>
      <c r="I1" s="99"/>
      <c r="J1" s="56"/>
      <c r="R1" s="473"/>
    </row>
    <row r="2" spans="2:31" ht="15" customHeight="1" x14ac:dyDescent="0.25">
      <c r="B2" s="418"/>
      <c r="C2" s="419"/>
      <c r="D2" s="420" t="s">
        <v>22</v>
      </c>
      <c r="E2" s="426" t="s">
        <v>92</v>
      </c>
      <c r="F2" s="427" t="s">
        <v>93</v>
      </c>
      <c r="G2" s="427" t="s">
        <v>94</v>
      </c>
      <c r="H2" s="428" t="s">
        <v>61</v>
      </c>
      <c r="I2" s="429" t="s">
        <v>103</v>
      </c>
      <c r="J2" s="421" t="s">
        <v>23</v>
      </c>
      <c r="K2" s="422" t="s">
        <v>24</v>
      </c>
      <c r="L2" s="419" t="s">
        <v>25</v>
      </c>
      <c r="M2" s="430" t="s">
        <v>62</v>
      </c>
      <c r="N2" s="419" t="s">
        <v>27</v>
      </c>
      <c r="O2" s="419" t="s">
        <v>28</v>
      </c>
      <c r="P2" s="422" t="s">
        <v>29</v>
      </c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532" t="s">
        <v>14</v>
      </c>
      <c r="C3" s="455" t="s">
        <v>90</v>
      </c>
      <c r="D3" s="475">
        <v>61644</v>
      </c>
      <c r="E3" s="139">
        <f>VLOOKUP($T$10,DATA_IO,5,TRUE)+VLOOKUP($T$11,DATA_IO,5,TRUE)+VLOOKUP($Z$10,DATA_IO,5,TRUE)+VLOOKUP($Z$11,DATA_IO,5,TRUE)</f>
        <v>0</v>
      </c>
      <c r="F3" s="140">
        <f t="shared" ref="F3:F12" si="0">G3-J3</f>
        <v>10040</v>
      </c>
      <c r="G3" s="140">
        <f>IO_MAX_SMALL_EMBLEM*4</f>
        <v>10040</v>
      </c>
      <c r="H3" s="138">
        <f t="shared" ref="H3:H12" si="1">IF(E3-D3 &lt;= 0,ABS(E3-D3),0)</f>
        <v>61644</v>
      </c>
      <c r="I3" s="423">
        <f>D3+D4*IO_EXCHANGE_BIG_TO_SMALL</f>
        <v>147798</v>
      </c>
      <c r="J3" s="311">
        <f t="shared" ref="J3:J12" si="2">IF(E3-D3 &lt; 0,0,E3-D3)</f>
        <v>0</v>
      </c>
      <c r="K3" s="414">
        <f t="shared" ref="K3:K16" si="3">(F3+H3)/G3</f>
        <v>7.1398406374501988</v>
      </c>
      <c r="L3" s="141">
        <f t="shared" ref="L3:L10" si="4">IFERROR(ROUND(J3/O3,0),0)</f>
        <v>0</v>
      </c>
      <c r="M3" s="141">
        <f>IFERROR(ROUND(J3/$O$13,0),0)</f>
        <v>0</v>
      </c>
      <c r="N3" s="142">
        <f>M3/(WINGS_RECOVER_NUM/WINGS_CONSUME_IO)*WINGS_RECOVER_DIAMS</f>
        <v>0</v>
      </c>
      <c r="O3" s="143">
        <f>IFERROR(SUMPRODUCT(D迎擊!A:A,D迎擊!C:C)/SUM(D迎擊!C:C),0)</f>
        <v>10.379310344827585</v>
      </c>
      <c r="P3" s="431">
        <f>SUM(D迎擊!C:C)</f>
        <v>29</v>
      </c>
      <c r="S3" s="38" t="s">
        <v>44</v>
      </c>
      <c r="T3" s="73">
        <v>451274</v>
      </c>
      <c r="U3" s="73">
        <v>6</v>
      </c>
      <c r="V3" s="73">
        <v>26565</v>
      </c>
      <c r="W3" s="73">
        <v>12925</v>
      </c>
      <c r="X3" s="73">
        <v>69337</v>
      </c>
      <c r="Y3" s="73">
        <v>60302</v>
      </c>
      <c r="Z3" s="73">
        <v>89998</v>
      </c>
      <c r="AA3" s="313"/>
      <c r="AB3" s="314"/>
    </row>
    <row r="4" spans="2:31" ht="15" customHeight="1" x14ac:dyDescent="0.25">
      <c r="B4" s="533"/>
      <c r="C4" s="131" t="s">
        <v>89</v>
      </c>
      <c r="D4" s="476">
        <v>28718</v>
      </c>
      <c r="E4" s="133">
        <f>VLOOKUP($T$10,DATA_IO,6,TRUE)+VLOOKUP($T$11,DATA_IO,6,TRUE)+VLOOKUP($Z$10,DATA_IO,6,TRUE)+VLOOKUP($Z$11,DATA_IO,6,TRUE)</f>
        <v>0</v>
      </c>
      <c r="F4" s="134">
        <f t="shared" si="0"/>
        <v>2560</v>
      </c>
      <c r="G4" s="134">
        <f>IO_MAX_BIG_EMBLEM*4</f>
        <v>2560</v>
      </c>
      <c r="H4" s="132">
        <f t="shared" si="1"/>
        <v>28718</v>
      </c>
      <c r="I4" s="424">
        <f>D4+D3*IO_EXCHANGE_SMALL_TO_BIG</f>
        <v>38992</v>
      </c>
      <c r="J4" s="312">
        <f t="shared" si="2"/>
        <v>0</v>
      </c>
      <c r="K4" s="417">
        <f t="shared" si="3"/>
        <v>12.217968750000001</v>
      </c>
      <c r="L4" s="135">
        <f t="shared" si="4"/>
        <v>0</v>
      </c>
      <c r="M4" s="135">
        <f>IFERROR(ROUND(J4/$O$14,0),0)</f>
        <v>0</v>
      </c>
      <c r="N4" s="136">
        <f t="shared" ref="N4:N12" si="5">M4/(WINGS_RECOVER_NUM/WINGS_CONSUME_IO)*WINGS_RECOVER_DIAMS</f>
        <v>0</v>
      </c>
      <c r="O4" s="137">
        <f>IFERROR(SUMPRODUCT(D迎擊!D:D,D迎擊!F:F)/$P4,0)</f>
        <v>4.4827586206896548</v>
      </c>
      <c r="P4" s="432">
        <f>SUM(D迎擊!F:F)</f>
        <v>29</v>
      </c>
      <c r="S4" s="38" t="s">
        <v>45</v>
      </c>
      <c r="T4" s="73">
        <v>450794</v>
      </c>
      <c r="U4" s="73">
        <v>8</v>
      </c>
      <c r="V4" s="73">
        <v>28533</v>
      </c>
      <c r="W4" s="73">
        <v>13757</v>
      </c>
      <c r="X4" s="73">
        <v>70005</v>
      </c>
      <c r="Y4" s="73">
        <v>60640</v>
      </c>
      <c r="Z4" s="73">
        <v>92356</v>
      </c>
    </row>
    <row r="5" spans="2:31" x14ac:dyDescent="0.25">
      <c r="B5" s="538" t="s">
        <v>12</v>
      </c>
      <c r="C5" s="144" t="s">
        <v>90</v>
      </c>
      <c r="D5" s="475">
        <v>32478</v>
      </c>
      <c r="E5" s="139">
        <f>VLOOKUP($T$12,DATA_IO,5,TRUE)+VLOOKUP($T$13,DATA_IO,5,TRUE)+VLOOKUP($Z$12,DATA_IO,5,TRUE)+VLOOKUP($Z$13,DATA_IO,5,TRUE)</f>
        <v>0</v>
      </c>
      <c r="F5" s="140">
        <f t="shared" si="0"/>
        <v>10040</v>
      </c>
      <c r="G5" s="140">
        <f>IO_MAX_SMALL_EMBLEM*4</f>
        <v>10040</v>
      </c>
      <c r="H5" s="138">
        <f t="shared" si="1"/>
        <v>32478</v>
      </c>
      <c r="I5" s="423">
        <f>D5+D6*IO_EXCHANGE_BIG_TO_SMALL</f>
        <v>76464</v>
      </c>
      <c r="J5" s="311">
        <f t="shared" si="2"/>
        <v>0</v>
      </c>
      <c r="K5" s="406">
        <f t="shared" si="3"/>
        <v>4.2348605577689247</v>
      </c>
      <c r="L5" s="145">
        <f t="shared" si="4"/>
        <v>0</v>
      </c>
      <c r="M5" s="145">
        <f>IFERROR(ROUND(J5/$O$13,0),0)</f>
        <v>0</v>
      </c>
      <c r="N5" s="146">
        <f>M5/(WINGS_RECOVER_NUM/WINGS_CONSUME_IO)*WINGS_RECOVER_DIAMS</f>
        <v>0</v>
      </c>
      <c r="O5" s="147">
        <f>IFERROR(SUMPRODUCT(D迎擊!G:G,D迎擊!I:I)/SUM(D迎擊!I:I),0)</f>
        <v>10.555555555555555</v>
      </c>
      <c r="P5" s="433">
        <f>SUM(D迎擊!I:I)</f>
        <v>18</v>
      </c>
    </row>
    <row r="6" spans="2:31" x14ac:dyDescent="0.25">
      <c r="B6" s="539"/>
      <c r="C6" s="148" t="s">
        <v>89</v>
      </c>
      <c r="D6" s="476">
        <v>14662</v>
      </c>
      <c r="E6" s="133">
        <f>VLOOKUP($T$12,DATA_IO,6,TRUE)+VLOOKUP($T$13,DATA_IO,6,TRUE)+VLOOKUP($Z$12,DATA_IO,6,TRUE)+VLOOKUP($Z$13,DATA_IO,6,TRUE)</f>
        <v>0</v>
      </c>
      <c r="F6" s="134">
        <f t="shared" si="0"/>
        <v>2560</v>
      </c>
      <c r="G6" s="134">
        <f>IO_MAX_BIG_EMBLEM*4</f>
        <v>2560</v>
      </c>
      <c r="H6" s="132">
        <f t="shared" si="1"/>
        <v>14662</v>
      </c>
      <c r="I6" s="424">
        <f>D6+D5*IO_EXCHANGE_SMALL_TO_BIG</f>
        <v>20075</v>
      </c>
      <c r="J6" s="312">
        <f t="shared" si="2"/>
        <v>0</v>
      </c>
      <c r="K6" s="417">
        <f t="shared" si="3"/>
        <v>6.7273437500000002</v>
      </c>
      <c r="L6" s="149">
        <f t="shared" si="4"/>
        <v>0</v>
      </c>
      <c r="M6" s="149">
        <f>IFERROR(ROUND(J6/$O$14,0),0)</f>
        <v>0</v>
      </c>
      <c r="N6" s="150">
        <f t="shared" si="5"/>
        <v>0</v>
      </c>
      <c r="O6" s="151">
        <f>IFERROR(SUMPRODUCT(D迎擊!J:J,D迎擊!L:L)/$P6,0)</f>
        <v>4.5555555555555554</v>
      </c>
      <c r="P6" s="434">
        <f>SUM(D迎擊!L:L)</f>
        <v>18</v>
      </c>
      <c r="S6" s="38" t="s">
        <v>25</v>
      </c>
      <c r="U6" s="38" t="s">
        <v>51</v>
      </c>
      <c r="V6" s="16">
        <f>(V4-V3)/$AB$6</f>
        <v>984</v>
      </c>
      <c r="W6" s="16">
        <f t="shared" ref="W6:Z6" si="6">(W4-W3)/$AB$6</f>
        <v>416</v>
      </c>
      <c r="X6" s="16">
        <f t="shared" si="6"/>
        <v>334</v>
      </c>
      <c r="Y6" s="16">
        <f t="shared" si="6"/>
        <v>169</v>
      </c>
      <c r="Z6" s="16">
        <f t="shared" si="6"/>
        <v>1179</v>
      </c>
      <c r="AA6" s="245" t="s">
        <v>159</v>
      </c>
      <c r="AB6" s="32">
        <v>2</v>
      </c>
    </row>
    <row r="7" spans="2:31" ht="15.75" x14ac:dyDescent="0.25">
      <c r="B7" s="534" t="s">
        <v>11</v>
      </c>
      <c r="C7" s="152" t="s">
        <v>90</v>
      </c>
      <c r="D7" s="475">
        <v>27573</v>
      </c>
      <c r="E7" s="139">
        <f>VLOOKUP($T$14,DATA_IO,5,TRUE)+VLOOKUP($T$15,DATA_IO,5,TRUE)+VLOOKUP($Z$14,DATA_IO,5,TRUE)+VLOOKUP($Z$15,DATA_IO,5,TRUE)</f>
        <v>0</v>
      </c>
      <c r="F7" s="140">
        <f t="shared" si="0"/>
        <v>10040</v>
      </c>
      <c r="G7" s="140">
        <f>IO_MAX_SMALL_EMBLEM*4</f>
        <v>10040</v>
      </c>
      <c r="H7" s="138">
        <f t="shared" si="1"/>
        <v>27573</v>
      </c>
      <c r="I7" s="423">
        <f>D7+D8*IO_EXCHANGE_BIG_TO_SMALL</f>
        <v>67620</v>
      </c>
      <c r="J7" s="311">
        <f t="shared" si="2"/>
        <v>0</v>
      </c>
      <c r="K7" s="406">
        <f t="shared" si="3"/>
        <v>3.7463147410358566</v>
      </c>
      <c r="L7" s="153">
        <f t="shared" si="4"/>
        <v>0</v>
      </c>
      <c r="M7" s="153">
        <f>IFERROR(ROUND(J7/$O$13,0),0)</f>
        <v>0</v>
      </c>
      <c r="N7" s="154">
        <f>M7/(WINGS_RECOVER_NUM/WINGS_CONSUME_IO)*WINGS_RECOVER_DIAMS</f>
        <v>0</v>
      </c>
      <c r="O7" s="155">
        <f>IFERROR(SUMPRODUCT(D迎擊!M:M,D迎擊!O:O)/SUM(D迎擊!O:O),0)</f>
        <v>10.632786885245901</v>
      </c>
      <c r="P7" s="435">
        <f>SUM(D迎擊!O:O)</f>
        <v>610</v>
      </c>
      <c r="S7" s="65">
        <f>(T3-T4)/WINGS_RECOVER_DIAMS*6 + (U3-U4)/WINGS_CONSUME_VOID</f>
        <v>95</v>
      </c>
      <c r="U7" s="38" t="s">
        <v>28</v>
      </c>
      <c r="V7" s="16">
        <f>IFERROR(V6/$S$7,"")</f>
        <v>10.357894736842105</v>
      </c>
      <c r="W7" s="16">
        <f>IFERROR(W6/$S$7,"")</f>
        <v>4.3789473684210529</v>
      </c>
      <c r="X7" s="16">
        <f>IFERROR(X6/$S$7,"")</f>
        <v>3.5157894736842104</v>
      </c>
      <c r="Y7" s="16">
        <f>IFERROR(Y6/$S$7,"")</f>
        <v>1.7789473684210526</v>
      </c>
      <c r="Z7" s="16">
        <f>IFERROR(Z6/$S$7,"")</f>
        <v>12.410526315789474</v>
      </c>
    </row>
    <row r="8" spans="2:31" x14ac:dyDescent="0.25">
      <c r="B8" s="535"/>
      <c r="C8" s="156" t="s">
        <v>89</v>
      </c>
      <c r="D8" s="476">
        <v>13349</v>
      </c>
      <c r="E8" s="133">
        <f>VLOOKUP($T$14,DATA_IO,6,TRUE)+VLOOKUP($T$15,DATA_IO,6,TRUE)+VLOOKUP($Z$14,DATA_IO,6,TRUE)+VLOOKUP($Z$15,DATA_IO,6,TRUE)</f>
        <v>0</v>
      </c>
      <c r="F8" s="134">
        <f t="shared" si="0"/>
        <v>2560</v>
      </c>
      <c r="G8" s="134">
        <f>IO_MAX_BIG_EMBLEM*4</f>
        <v>2560</v>
      </c>
      <c r="H8" s="132">
        <f t="shared" si="1"/>
        <v>13349</v>
      </c>
      <c r="I8" s="424">
        <f>D8+D7*IO_EXCHANGE_SMALL_TO_BIG</f>
        <v>17944.5</v>
      </c>
      <c r="J8" s="312">
        <f t="shared" si="2"/>
        <v>0</v>
      </c>
      <c r="K8" s="417">
        <f t="shared" si="3"/>
        <v>6.2144531250000004</v>
      </c>
      <c r="L8" s="157">
        <f t="shared" si="4"/>
        <v>0</v>
      </c>
      <c r="M8" s="157">
        <f>IFERROR(ROUND(J8/$O$14,0),0)</f>
        <v>0</v>
      </c>
      <c r="N8" s="158">
        <f t="shared" si="5"/>
        <v>0</v>
      </c>
      <c r="O8" s="159">
        <f>IFERROR(SUMPRODUCT(D迎擊!P:P,D迎擊!R:R)/$P8,0)</f>
        <v>4.6213114754098363</v>
      </c>
      <c r="P8" s="436">
        <f>SUM(D迎擊!R:R)</f>
        <v>610</v>
      </c>
      <c r="AE8" s="53"/>
    </row>
    <row r="9" spans="2:31" x14ac:dyDescent="0.25">
      <c r="B9" s="540" t="s">
        <v>9</v>
      </c>
      <c r="C9" s="160" t="s">
        <v>90</v>
      </c>
      <c r="D9" s="475">
        <v>31917</v>
      </c>
      <c r="E9" s="139">
        <f>VLOOKUP($T$16,DATA_IO,5,TRUE)+VLOOKUP($T$17,DATA_IO,5,TRUE)</f>
        <v>0</v>
      </c>
      <c r="F9" s="140">
        <f t="shared" si="0"/>
        <v>5020</v>
      </c>
      <c r="G9" s="140">
        <f>IO_MAX_SMALL_EMBLEM*2</f>
        <v>5020</v>
      </c>
      <c r="H9" s="138">
        <f t="shared" si="1"/>
        <v>31917</v>
      </c>
      <c r="I9" s="423">
        <f>D9+D10*IO_EXCHANGE_BIG_TO_SMALL</f>
        <v>73392</v>
      </c>
      <c r="J9" s="311">
        <f t="shared" si="2"/>
        <v>0</v>
      </c>
      <c r="K9" s="406">
        <f t="shared" si="3"/>
        <v>7.3579681274900395</v>
      </c>
      <c r="L9" s="161">
        <f t="shared" si="4"/>
        <v>0</v>
      </c>
      <c r="M9" s="161">
        <f>IFERROR(ROUND(J9/$O$13,0),0)</f>
        <v>0</v>
      </c>
      <c r="N9" s="162">
        <f>M9/(WINGS_RECOVER_NUM/WINGS_CONSUME_IO)*WINGS_RECOVER_DIAMS</f>
        <v>0</v>
      </c>
      <c r="O9" s="163">
        <f>IFERROR(SUMPRODUCT(D迎擊!S:S,D迎擊!U:U)/P$9,0)</f>
        <v>10.529411764705882</v>
      </c>
      <c r="P9" s="437">
        <f>SUM(D迎擊!U:U)</f>
        <v>204</v>
      </c>
      <c r="S9" s="38" t="s">
        <v>18</v>
      </c>
      <c r="T9" s="67" t="s">
        <v>16</v>
      </c>
      <c r="U9" s="519" t="s">
        <v>17</v>
      </c>
      <c r="V9" s="519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41"/>
      <c r="C10" s="164" t="s">
        <v>89</v>
      </c>
      <c r="D10" s="476">
        <v>13825</v>
      </c>
      <c r="E10" s="133">
        <f>VLOOKUP($T$16,DATA_IO,6,TRUE)+VLOOKUP($T$17,DATA_IO,6,TRUE)</f>
        <v>0</v>
      </c>
      <c r="F10" s="134">
        <f t="shared" si="0"/>
        <v>1280</v>
      </c>
      <c r="G10" s="134">
        <f>IO_MAX_BIG_EMBLEM*2</f>
        <v>1280</v>
      </c>
      <c r="H10" s="132">
        <f t="shared" si="1"/>
        <v>13825</v>
      </c>
      <c r="I10" s="425">
        <f>D10+D9*IO_EXCHANGE_SMALL_TO_BIG</f>
        <v>19144.5</v>
      </c>
      <c r="J10" s="312">
        <f t="shared" si="2"/>
        <v>0</v>
      </c>
      <c r="K10" s="417">
        <f t="shared" si="3"/>
        <v>11.80078125</v>
      </c>
      <c r="L10" s="165">
        <f t="shared" si="4"/>
        <v>0</v>
      </c>
      <c r="M10" s="165">
        <f>IFERROR(ROUND(J10/$O$14,0),0)</f>
        <v>0</v>
      </c>
      <c r="N10" s="166">
        <f t="shared" si="5"/>
        <v>0</v>
      </c>
      <c r="O10" s="167">
        <f>IFERROR(SUMPRODUCT(D迎擊!V:V,D迎擊!X:X)/P$10,0)</f>
        <v>4.5147058823529411</v>
      </c>
      <c r="P10" s="438">
        <f>SUM(D迎擊!X:X)</f>
        <v>204</v>
      </c>
      <c r="S10" s="530" t="s">
        <v>169</v>
      </c>
      <c r="T10" s="68">
        <v>35</v>
      </c>
      <c r="U10" s="45" t="s">
        <v>1</v>
      </c>
      <c r="V10" s="6">
        <f>VLOOKUP(T10,DATA_IO,7)+VLOOKUP(T11,DATA_IO,7)</f>
        <v>30</v>
      </c>
      <c r="W10" s="74" t="str">
        <f t="shared" ref="W10:W17" si="7">IF(VLOOKUP(T10,DATA_IO,10)=0,"",VLOOKUP(T10,DATA_IO,10))</f>
        <v/>
      </c>
      <c r="X10" s="39" t="str">
        <f t="shared" ref="X10:X17" si="8">IFERROR(W10*BOOST_PRICE,"")</f>
        <v/>
      </c>
      <c r="Y10" s="531" t="s">
        <v>13</v>
      </c>
      <c r="Z10" s="68">
        <v>35</v>
      </c>
      <c r="AA10" s="45" t="s">
        <v>1</v>
      </c>
      <c r="AB10" s="6">
        <f>VLOOKUP(Z10,DATA_IO,7)+VLOOKUP(Z11,DATA_IO,7)</f>
        <v>30</v>
      </c>
      <c r="AC10" s="74" t="str">
        <f t="shared" ref="AC10:AC17" si="9">IF(VLOOKUP(Z10,DATA_IO,10)=0,"",VLOOKUP(Z10,DATA_IO,10))</f>
        <v/>
      </c>
      <c r="AD10" s="49" t="str">
        <f t="shared" ref="AD10:AD17" si="10">IFERROR(AC10*BOOST_PRICE,"")</f>
        <v/>
      </c>
      <c r="AE10" s="53"/>
    </row>
    <row r="11" spans="2:31" x14ac:dyDescent="0.25">
      <c r="B11" s="536" t="s">
        <v>8</v>
      </c>
      <c r="C11" s="454" t="s">
        <v>90</v>
      </c>
      <c r="D11" s="475">
        <v>31798</v>
      </c>
      <c r="E11" s="139">
        <f>VLOOKUP($Z$16,DATA_IO,5,TRUE)+VLOOKUP($Z$17,DATA_IO,5,TRUE)</f>
        <v>0</v>
      </c>
      <c r="F11" s="140">
        <f t="shared" si="0"/>
        <v>5020</v>
      </c>
      <c r="G11" s="140">
        <f>IO_MAX_SMALL_EMBLEM*2</f>
        <v>5020</v>
      </c>
      <c r="H11" s="138">
        <f t="shared" si="1"/>
        <v>31798</v>
      </c>
      <c r="I11" s="423">
        <f>D11+D12*IO_EXCHANGE_BIG_TO_SMALL</f>
        <v>74092</v>
      </c>
      <c r="J11" s="311">
        <f t="shared" si="2"/>
        <v>0</v>
      </c>
      <c r="K11" s="406">
        <f t="shared" si="3"/>
        <v>7.3342629482071713</v>
      </c>
      <c r="L11" s="168">
        <f>IFERROR(ROUND(J11/O11,0),0)</f>
        <v>0</v>
      </c>
      <c r="M11" s="168">
        <f>IFERROR(ROUND(J11/$O$13,0),0)</f>
        <v>0</v>
      </c>
      <c r="N11" s="169">
        <f>M11/(WINGS_RECOVER_NUM/WINGS_CONSUME_IO)*WINGS_RECOVER_DIAMS</f>
        <v>0</v>
      </c>
      <c r="O11" s="170">
        <f>IFERROR(SUMPRODUCT(D迎擊!Y:Y,D迎擊!AA:AA)/P$11,0)</f>
        <v>0</v>
      </c>
      <c r="P11" s="439">
        <f>SUM(D迎擊!AA:AA)</f>
        <v>0</v>
      </c>
      <c r="S11" s="530"/>
      <c r="T11" s="68">
        <v>35</v>
      </c>
      <c r="U11" s="45" t="s">
        <v>0</v>
      </c>
      <c r="V11" s="6">
        <f>VLOOKUP(T10,DATA_IO,8)+VLOOKUP(T11,DATA_IO,8)</f>
        <v>30</v>
      </c>
      <c r="W11" s="74" t="str">
        <f t="shared" si="7"/>
        <v/>
      </c>
      <c r="X11" s="39" t="str">
        <f t="shared" si="8"/>
        <v/>
      </c>
      <c r="Y11" s="531"/>
      <c r="Z11" s="68">
        <v>35</v>
      </c>
      <c r="AA11" s="45" t="s">
        <v>0</v>
      </c>
      <c r="AB11" s="6">
        <f>VLOOKUP(Z10,DATA_IO,8)+VLOOKUP(Z11,DATA_IO,8)</f>
        <v>30</v>
      </c>
      <c r="AC11" s="75" t="str">
        <f t="shared" si="9"/>
        <v/>
      </c>
      <c r="AD11" s="49" t="str">
        <f t="shared" si="10"/>
        <v/>
      </c>
      <c r="AE11" s="53"/>
    </row>
    <row r="12" spans="2:31" x14ac:dyDescent="0.25">
      <c r="B12" s="537"/>
      <c r="C12" s="171" t="s">
        <v>89</v>
      </c>
      <c r="D12" s="476">
        <v>14098</v>
      </c>
      <c r="E12" s="133">
        <f>VLOOKUP($Z$16,DATA_IO,6,TRUE)+VLOOKUP($Z$17,DATA_IO,6,TRUE)</f>
        <v>0</v>
      </c>
      <c r="F12" s="134">
        <f t="shared" si="0"/>
        <v>1280</v>
      </c>
      <c r="G12" s="134">
        <f>IO_MAX_BIG_EMBLEM*2</f>
        <v>1280</v>
      </c>
      <c r="H12" s="132">
        <f t="shared" si="1"/>
        <v>14098</v>
      </c>
      <c r="I12" s="424">
        <f>D12+D11*IO_EXCHANGE_SMALL_TO_BIG</f>
        <v>19397.666666666664</v>
      </c>
      <c r="J12" s="312">
        <f t="shared" si="2"/>
        <v>0</v>
      </c>
      <c r="K12" s="417">
        <f t="shared" si="3"/>
        <v>12.0140625</v>
      </c>
      <c r="L12" s="172">
        <f>IFERROR(ROUND(J12/O12,0),0)</f>
        <v>0</v>
      </c>
      <c r="M12" s="172">
        <f>IFERROR(ROUND(J12/$O$14,0),0)</f>
        <v>0</v>
      </c>
      <c r="N12" s="173">
        <f t="shared" si="5"/>
        <v>0</v>
      </c>
      <c r="O12" s="174">
        <f>IFERROR(SUMPRODUCT(D迎擊!AB:AB,D迎擊!AD:AD)/P$12,0)</f>
        <v>0</v>
      </c>
      <c r="P12" s="440">
        <f>SUM(D迎擊!AD:AD)</f>
        <v>0</v>
      </c>
      <c r="S12" s="529" t="s">
        <v>10</v>
      </c>
      <c r="T12" s="69">
        <v>35</v>
      </c>
      <c r="U12" s="44" t="s">
        <v>1</v>
      </c>
      <c r="V12" s="7">
        <f>VLOOKUP(T12,DATA_IO,7)+VLOOKUP(T13,DATA_IO,7)</f>
        <v>30</v>
      </c>
      <c r="W12" s="76" t="str">
        <f t="shared" si="7"/>
        <v/>
      </c>
      <c r="X12" s="37" t="str">
        <f t="shared" si="8"/>
        <v/>
      </c>
      <c r="Y12" s="520" t="s">
        <v>7</v>
      </c>
      <c r="Z12" s="69">
        <v>35</v>
      </c>
      <c r="AA12" s="44" t="s">
        <v>1</v>
      </c>
      <c r="AB12" s="7">
        <f>VLOOKUP(Z12,DATA_IO,7)+VLOOKUP(Z13,DATA_IO,7)</f>
        <v>30</v>
      </c>
      <c r="AC12" s="76" t="str">
        <f t="shared" si="9"/>
        <v/>
      </c>
      <c r="AD12" s="50" t="str">
        <f t="shared" si="10"/>
        <v/>
      </c>
      <c r="AE12" s="53"/>
    </row>
    <row r="13" spans="2:31" x14ac:dyDescent="0.25">
      <c r="B13" s="555" t="s">
        <v>6</v>
      </c>
      <c r="C13" s="400" t="s">
        <v>90</v>
      </c>
      <c r="D13" s="477">
        <f t="shared" ref="D13:J14" si="11">SUM(D3,D5,D7,D9,D11)</f>
        <v>185410</v>
      </c>
      <c r="E13" s="401">
        <f t="shared" si="11"/>
        <v>0</v>
      </c>
      <c r="F13" s="402">
        <f t="shared" si="11"/>
        <v>40160</v>
      </c>
      <c r="G13" s="402">
        <f t="shared" si="11"/>
        <v>40160</v>
      </c>
      <c r="H13" s="403">
        <f t="shared" si="11"/>
        <v>185410</v>
      </c>
      <c r="I13" s="404" t="s">
        <v>158</v>
      </c>
      <c r="J13" s="405">
        <f t="shared" si="11"/>
        <v>0</v>
      </c>
      <c r="K13" s="406">
        <f t="shared" si="3"/>
        <v>5.6167828685258963</v>
      </c>
      <c r="L13" s="524">
        <f>SUM(MAX(L3,L4),MAX(L5,L6),MAX(L7,L8),MAX(L9,L10),MAX(L11,L12))</f>
        <v>0</v>
      </c>
      <c r="M13" s="524">
        <f>SUM(MAX(M3,M4),MAX(M5,M6),MAX(M7,M8),MAX(M9,M10),MAX(M11,M12))</f>
        <v>0</v>
      </c>
      <c r="N13" s="522">
        <f>MAX(SUM(N3,N5,N7,N9,N11),SUM(N4,N6,N8,N10,N12),N15,N16,N17)</f>
        <v>0</v>
      </c>
      <c r="O13" s="407">
        <f>IF(P$13=0,0,(O3*P3+O5*P5+O7*P7+O9*P9+O11*P11) / P$13)</f>
        <v>10.598141695702671</v>
      </c>
      <c r="P13" s="441">
        <f>SUM(P3,P5,P7,P9,P11)</f>
        <v>861</v>
      </c>
      <c r="S13" s="529"/>
      <c r="T13" s="69">
        <v>35</v>
      </c>
      <c r="U13" s="44" t="s">
        <v>0</v>
      </c>
      <c r="V13" s="7">
        <f>VLOOKUP(T12,DATA_IO,8)+VLOOKUP(T13,DATA_IO,8)</f>
        <v>30</v>
      </c>
      <c r="W13" s="76" t="str">
        <f t="shared" si="7"/>
        <v/>
      </c>
      <c r="X13" s="37" t="str">
        <f t="shared" si="8"/>
        <v/>
      </c>
      <c r="Y13" s="520"/>
      <c r="Z13" s="69">
        <v>35</v>
      </c>
      <c r="AA13" s="44" t="s">
        <v>0</v>
      </c>
      <c r="AB13" s="7">
        <f>VLOOKUP(Z12,DATA_IO,8)+VLOOKUP(Z13,DATA_IO,8)</f>
        <v>30</v>
      </c>
      <c r="AC13" s="76" t="str">
        <f t="shared" si="9"/>
        <v/>
      </c>
      <c r="AD13" s="50" t="str">
        <f t="shared" si="10"/>
        <v/>
      </c>
      <c r="AE13" s="53"/>
    </row>
    <row r="14" spans="2:31" x14ac:dyDescent="0.25">
      <c r="B14" s="556"/>
      <c r="C14" s="444" t="s">
        <v>89</v>
      </c>
      <c r="D14" s="478">
        <f t="shared" si="11"/>
        <v>84652</v>
      </c>
      <c r="E14" s="445">
        <f t="shared" si="11"/>
        <v>0</v>
      </c>
      <c r="F14" s="446">
        <f t="shared" si="11"/>
        <v>10240</v>
      </c>
      <c r="G14" s="446">
        <f t="shared" si="11"/>
        <v>10240</v>
      </c>
      <c r="H14" s="447">
        <f t="shared" si="11"/>
        <v>84652</v>
      </c>
      <c r="I14" s="448" t="s">
        <v>158</v>
      </c>
      <c r="J14" s="449">
        <f t="shared" si="11"/>
        <v>0</v>
      </c>
      <c r="K14" s="450">
        <f t="shared" si="3"/>
        <v>9.2667968750000007</v>
      </c>
      <c r="L14" s="525"/>
      <c r="M14" s="525"/>
      <c r="N14" s="523"/>
      <c r="O14" s="442">
        <f>IF(P$14=0,0,(O4*P4+O6*P6+O8*P8+O10*P10+O12*P12) / P$14)</f>
        <v>4.5900116144018579</v>
      </c>
      <c r="P14" s="443">
        <f>SUM(P4,P6,P8,P10,P12)</f>
        <v>861</v>
      </c>
      <c r="S14" s="528" t="s">
        <v>5</v>
      </c>
      <c r="T14" s="70">
        <v>35</v>
      </c>
      <c r="U14" s="43" t="s">
        <v>1</v>
      </c>
      <c r="V14" s="8">
        <f>VLOOKUP(T14,DATA_IO,7)+VLOOKUP(T15,DATA_IO,7)</f>
        <v>30</v>
      </c>
      <c r="W14" s="77" t="str">
        <f t="shared" si="7"/>
        <v/>
      </c>
      <c r="X14" s="36" t="str">
        <f t="shared" si="8"/>
        <v/>
      </c>
      <c r="Y14" s="521" t="s">
        <v>4</v>
      </c>
      <c r="Z14" s="70">
        <v>35</v>
      </c>
      <c r="AA14" s="43" t="s">
        <v>1</v>
      </c>
      <c r="AB14" s="8">
        <f>VLOOKUP(Z14,DATA_IO,7)+VLOOKUP(Z15,DATA_IO,7)</f>
        <v>30</v>
      </c>
      <c r="AC14" s="77" t="str">
        <f t="shared" si="9"/>
        <v/>
      </c>
      <c r="AD14" s="51" t="str">
        <f t="shared" si="10"/>
        <v/>
      </c>
      <c r="AE14" s="53"/>
    </row>
    <row r="15" spans="2:31" x14ac:dyDescent="0.25">
      <c r="B15" s="556"/>
      <c r="C15" s="408" t="s">
        <v>100</v>
      </c>
      <c r="D15" s="416">
        <v>89650</v>
      </c>
      <c r="E15" s="409">
        <f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0</v>
      </c>
      <c r="F15" s="410">
        <f>G15-J15</f>
        <v>73280</v>
      </c>
      <c r="G15" s="410">
        <f>IO_MAX_BRONZE_COIN*16</f>
        <v>73280</v>
      </c>
      <c r="H15" s="411">
        <f>IF(E15-D15 &lt;= 0,ABS(E15-D15),0)</f>
        <v>89650</v>
      </c>
      <c r="I15" s="412" t="s">
        <v>158</v>
      </c>
      <c r="J15" s="413">
        <f>IF(E15-D15 &lt; 0,0,E15-D15)</f>
        <v>0</v>
      </c>
      <c r="K15" s="414">
        <f t="shared" ref="K15" si="12">(F15+H15)/G15</f>
        <v>2.2233897379912664</v>
      </c>
      <c r="L15" s="542">
        <f t="shared" ref="L15" si="13">IFERROR(ROUND(J15/O15,0),NA())</f>
        <v>0</v>
      </c>
      <c r="M15" s="542"/>
      <c r="N15" s="452">
        <f>IF(ISNA(L15),NA(),CEILING(L15/(WINGS_RECOVER_NUM/WINGS_CONSUME_IO)*WINGS_RECOVER_DIAMS,0))</f>
        <v>0</v>
      </c>
      <c r="O15" s="415">
        <f>IFERROR(SUMPRODUCT(D迎擊!AI:AI,D迎擊!AK:AK)/P$15,0)</f>
        <v>12.614401858304298</v>
      </c>
      <c r="P15" s="557">
        <f>SUM(D迎擊!AK:AK)</f>
        <v>861</v>
      </c>
      <c r="S15" s="528"/>
      <c r="T15" s="70">
        <v>35</v>
      </c>
      <c r="U15" s="43" t="s">
        <v>0</v>
      </c>
      <c r="V15" s="8">
        <f>VLOOKUP(T14,DATA_IO,8)+VLOOKUP(T15,DATA_IO,8)</f>
        <v>30</v>
      </c>
      <c r="W15" s="77" t="str">
        <f t="shared" si="7"/>
        <v/>
      </c>
      <c r="X15" s="36" t="str">
        <f t="shared" si="8"/>
        <v/>
      </c>
      <c r="Y15" s="521"/>
      <c r="Z15" s="70">
        <v>35</v>
      </c>
      <c r="AA15" s="43" t="s">
        <v>0</v>
      </c>
      <c r="AB15" s="8">
        <f>VLOOKUP(Z14,DATA_IO,8)+VLOOKUP(Z15,DATA_IO,8)</f>
        <v>30</v>
      </c>
      <c r="AC15" s="77" t="str">
        <f t="shared" si="9"/>
        <v/>
      </c>
      <c r="AD15" s="51" t="str">
        <f t="shared" si="10"/>
        <v/>
      </c>
      <c r="AE15" s="53"/>
    </row>
    <row r="16" spans="2:31" x14ac:dyDescent="0.25">
      <c r="B16" s="556"/>
      <c r="C16" s="408" t="s">
        <v>99</v>
      </c>
      <c r="D16" s="416">
        <v>60250</v>
      </c>
      <c r="E16" s="409">
        <f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0</v>
      </c>
      <c r="F16" s="410">
        <f>G16-J16</f>
        <v>20080</v>
      </c>
      <c r="G16" s="410">
        <f>IO_MAX_SILVER_COIN*16</f>
        <v>20080</v>
      </c>
      <c r="H16" s="411">
        <f>IF(E16-D16 &lt;= 0,ABS(E16-D16),0)</f>
        <v>60250</v>
      </c>
      <c r="I16" s="412" t="s">
        <v>158</v>
      </c>
      <c r="J16" s="413">
        <f>IF(E16-D16 &lt; 0,0,E16-D16)</f>
        <v>0</v>
      </c>
      <c r="K16" s="414">
        <f t="shared" si="3"/>
        <v>4.0004980079681278</v>
      </c>
      <c r="L16" s="542">
        <f t="shared" ref="L16" si="14">IFERROR(ROUND(J16/O16,0),NA())</f>
        <v>0</v>
      </c>
      <c r="M16" s="542"/>
      <c r="N16" s="452">
        <f>IF(ISNA(L16),NA(),CEILING(L16/(WINGS_RECOVER_NUM/WINGS_CONSUME_IO)*WINGS_RECOVER_DIAMS,0))</f>
        <v>0</v>
      </c>
      <c r="O16" s="415">
        <f>IFERROR(SUMPRODUCT(D迎擊!AG:AG,D迎擊!AK:AK)/P$15,0)</f>
        <v>1.8896631823461092</v>
      </c>
      <c r="P16" s="557"/>
      <c r="S16" s="527" t="s">
        <v>3</v>
      </c>
      <c r="T16" s="71">
        <v>35</v>
      </c>
      <c r="U16" s="14" t="s">
        <v>1</v>
      </c>
      <c r="V16" s="9">
        <f>VLOOKUP(T16,DATA_IO,7)+VLOOKUP(T17,DATA_IO,7)</f>
        <v>30</v>
      </c>
      <c r="W16" s="78" t="str">
        <f t="shared" si="7"/>
        <v/>
      </c>
      <c r="X16" s="35" t="str">
        <f t="shared" si="8"/>
        <v/>
      </c>
      <c r="Y16" s="526" t="s">
        <v>2</v>
      </c>
      <c r="Z16" s="72">
        <v>35</v>
      </c>
      <c r="AA16" s="42" t="s">
        <v>1</v>
      </c>
      <c r="AB16" s="10">
        <f>VLOOKUP(Z16,DATA_IO,7)+VLOOKUP(Z17,DATA_IO,7)</f>
        <v>30</v>
      </c>
      <c r="AC16" s="79" t="str">
        <f t="shared" si="9"/>
        <v/>
      </c>
      <c r="AD16" s="52" t="str">
        <f t="shared" si="10"/>
        <v/>
      </c>
      <c r="AE16" s="53"/>
    </row>
    <row r="17" spans="2:30" x14ac:dyDescent="0.25">
      <c r="B17" s="556"/>
      <c r="C17" s="408" t="s">
        <v>98</v>
      </c>
      <c r="D17" s="416">
        <v>69243</v>
      </c>
      <c r="E17" s="409">
        <f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0</v>
      </c>
      <c r="F17" s="410">
        <f>G17-J17</f>
        <v>21600</v>
      </c>
      <c r="G17" s="410">
        <f>IO_MAX_GOLD_COIN*16</f>
        <v>21600</v>
      </c>
      <c r="H17" s="411">
        <f>IF(E17-D17 &lt;= 0,ABS(E17-D17),0)</f>
        <v>69243</v>
      </c>
      <c r="I17" s="412" t="s">
        <v>158</v>
      </c>
      <c r="J17" s="413">
        <f>IF(E17-D17 &lt; 0,0,E17-D17)</f>
        <v>0</v>
      </c>
      <c r="K17" s="414">
        <f t="shared" ref="K17" si="15">(F17+H17)/G17</f>
        <v>4.2056944444444442</v>
      </c>
      <c r="L17" s="542">
        <f>IFERROR(ROUND(J17/O17,0),NA())</f>
        <v>0</v>
      </c>
      <c r="M17" s="542"/>
      <c r="N17" s="452">
        <f>IF(ISNA(L17),NA(),CEILING(L17/(WINGS_RECOVER_NUM/WINGS_CONSUME_IO)*WINGS_RECOVER_DIAMS,0))</f>
        <v>0</v>
      </c>
      <c r="O17" s="415">
        <f>IFERROR(SUMPRODUCT(D迎擊!AE:AE,D迎擊!AK:AK)/P$15,0)</f>
        <v>3.5888501742160277</v>
      </c>
      <c r="P17" s="557"/>
      <c r="S17" s="527"/>
      <c r="T17" s="71">
        <v>35</v>
      </c>
      <c r="U17" s="14" t="s">
        <v>0</v>
      </c>
      <c r="V17" s="9">
        <f>VLOOKUP(T16,DATA_IO,8)+VLOOKUP(T17,DATA_IO,8)</f>
        <v>30</v>
      </c>
      <c r="W17" s="78" t="str">
        <f t="shared" si="7"/>
        <v/>
      </c>
      <c r="X17" s="35" t="str">
        <f t="shared" si="8"/>
        <v/>
      </c>
      <c r="Y17" s="526"/>
      <c r="Z17" s="72">
        <v>35</v>
      </c>
      <c r="AA17" s="42" t="s">
        <v>0</v>
      </c>
      <c r="AB17" s="10">
        <f>VLOOKUP(Z16,DATA_IO,8)+VLOOKUP(Z17,DATA_IO,8)</f>
        <v>30</v>
      </c>
      <c r="AC17" s="79" t="str">
        <f t="shared" si="9"/>
        <v/>
      </c>
      <c r="AD17" s="52" t="str">
        <f t="shared" si="10"/>
        <v/>
      </c>
    </row>
    <row r="18" spans="2:30" ht="15.75" thickBot="1" x14ac:dyDescent="0.3">
      <c r="B18" s="466"/>
      <c r="C18" s="453"/>
      <c r="D18" s="467"/>
      <c r="E18" s="468"/>
      <c r="F18" s="453"/>
      <c r="G18" s="453"/>
      <c r="H18" s="453"/>
      <c r="I18" s="468"/>
      <c r="J18" s="469"/>
      <c r="K18" s="453"/>
      <c r="L18" s="453"/>
      <c r="M18" s="453"/>
      <c r="N18" s="453"/>
      <c r="O18" s="453"/>
      <c r="P18" s="470"/>
    </row>
    <row r="19" spans="2:30" ht="15" customHeight="1" x14ac:dyDescent="0.25">
      <c r="B19" s="456"/>
      <c r="C19" s="270"/>
      <c r="D19" s="458" t="s">
        <v>200</v>
      </c>
      <c r="E19" s="459"/>
      <c r="F19" s="94"/>
      <c r="G19" s="94"/>
      <c r="H19" s="94">
        <f>($J$17*IO_TRANS_COIN_BR_TO_GD+$J$16*IO_TRANS_COIN_SV_TO_GD+$J$15)/($O$17*IO_TRANS_COIN_BR_TO_GD+$O$16*IO_TRANS_COIN_SV_TO_GD+$O$15)</f>
        <v>0</v>
      </c>
      <c r="I19" s="457"/>
      <c r="J19" s="549" t="s">
        <v>203</v>
      </c>
      <c r="K19" s="550"/>
      <c r="L19" s="543">
        <f>MIN(H19:H21)</f>
        <v>0</v>
      </c>
      <c r="M19" s="543"/>
      <c r="N19" s="543"/>
      <c r="O19" s="543"/>
      <c r="P19" s="544"/>
    </row>
    <row r="20" spans="2:30" ht="15" customHeight="1" x14ac:dyDescent="0.25">
      <c r="B20" s="456"/>
      <c r="C20" s="270"/>
      <c r="D20" s="458" t="s">
        <v>201</v>
      </c>
      <c r="E20" s="459"/>
      <c r="F20" s="94"/>
      <c r="G20" s="94"/>
      <c r="H20" s="94">
        <f>($J$17*IO_TRANS_COIN_BR_TO_SV+$J$16+$J$15*IO_TRANS_COIN_GD_TO_SV)/($O$17*IO_TRANS_COIN_BR_TO_SV+$O$16+$O$15*IO_TRANS_COIN_GD_TO_SV)</f>
        <v>0</v>
      </c>
      <c r="I20" s="457"/>
      <c r="J20" s="551"/>
      <c r="K20" s="552"/>
      <c r="L20" s="545"/>
      <c r="M20" s="545"/>
      <c r="N20" s="545"/>
      <c r="O20" s="545"/>
      <c r="P20" s="546"/>
    </row>
    <row r="21" spans="2:30" ht="15" customHeight="1" thickBot="1" x14ac:dyDescent="0.3">
      <c r="B21" s="460"/>
      <c r="C21" s="461"/>
      <c r="D21" s="462" t="s">
        <v>202</v>
      </c>
      <c r="E21" s="463"/>
      <c r="F21" s="464"/>
      <c r="G21" s="464"/>
      <c r="H21" s="464">
        <f>($J$17+$J$16*IO_TRANS_COIN_SV_TO_BR+$J$15*IO_TRANS_COIN_GD_TO_BR)/($O$17+$O$16*IO_TRANS_COIN_SV_TO_BR+$O$15*IO_TRANS_COIN_GD_TO_BR)</f>
        <v>0</v>
      </c>
      <c r="I21" s="465"/>
      <c r="J21" s="553"/>
      <c r="K21" s="554"/>
      <c r="L21" s="547"/>
      <c r="M21" s="547"/>
      <c r="N21" s="547"/>
      <c r="O21" s="547"/>
      <c r="P21" s="548"/>
    </row>
  </sheetData>
  <mergeCells count="24">
    <mergeCell ref="L17:M17"/>
    <mergeCell ref="L19:P21"/>
    <mergeCell ref="J19:K21"/>
    <mergeCell ref="B13:B17"/>
    <mergeCell ref="L15:M15"/>
    <mergeCell ref="L16:M16"/>
    <mergeCell ref="P15:P17"/>
    <mergeCell ref="L13:L14"/>
    <mergeCell ref="B3:B4"/>
    <mergeCell ref="B7:B8"/>
    <mergeCell ref="B11:B12"/>
    <mergeCell ref="B5:B6"/>
    <mergeCell ref="B9:B10"/>
    <mergeCell ref="Y16:Y17"/>
    <mergeCell ref="S16:S17"/>
    <mergeCell ref="S14:S15"/>
    <mergeCell ref="S12:S13"/>
    <mergeCell ref="S10:S11"/>
    <mergeCell ref="Y10:Y11"/>
    <mergeCell ref="U9:V9"/>
    <mergeCell ref="Y12:Y13"/>
    <mergeCell ref="Y14:Y15"/>
    <mergeCell ref="N13:N14"/>
    <mergeCell ref="M13:M14"/>
  </mergeCells>
  <conditionalFormatting sqref="K3:K4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5:K6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7:K8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9:K10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1:K12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3:K17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3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4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5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6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7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8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9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0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1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2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3:K17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K3:K4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K5:K6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K7:K8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K11:K12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F1" workbookViewId="0">
      <selection activeCell="R15" sqref="R15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58" t="s">
        <v>90</v>
      </c>
      <c r="B1" s="558"/>
      <c r="C1" s="563" t="s">
        <v>26</v>
      </c>
      <c r="D1" s="563" t="s">
        <v>89</v>
      </c>
      <c r="E1" s="563"/>
      <c r="F1" s="563" t="s">
        <v>26</v>
      </c>
      <c r="G1" s="569" t="s">
        <v>90</v>
      </c>
      <c r="H1" s="569"/>
      <c r="I1" s="564" t="s">
        <v>26</v>
      </c>
      <c r="J1" s="564" t="s">
        <v>89</v>
      </c>
      <c r="K1" s="564"/>
      <c r="L1" s="564" t="s">
        <v>26</v>
      </c>
      <c r="M1" s="568" t="s">
        <v>90</v>
      </c>
      <c r="N1" s="568"/>
      <c r="O1" s="565" t="s">
        <v>26</v>
      </c>
      <c r="P1" s="565" t="s">
        <v>89</v>
      </c>
      <c r="Q1" s="565"/>
      <c r="R1" s="565" t="s">
        <v>26</v>
      </c>
      <c r="S1" s="574" t="s">
        <v>90</v>
      </c>
      <c r="T1" s="574"/>
      <c r="U1" s="566" t="s">
        <v>26</v>
      </c>
      <c r="V1" s="566" t="s">
        <v>89</v>
      </c>
      <c r="W1" s="566"/>
      <c r="X1" s="566" t="s">
        <v>26</v>
      </c>
      <c r="Y1" s="573" t="s">
        <v>90</v>
      </c>
      <c r="Z1" s="573"/>
      <c r="AA1" s="567" t="s">
        <v>26</v>
      </c>
      <c r="AB1" s="567" t="s">
        <v>89</v>
      </c>
      <c r="AC1" s="567"/>
      <c r="AD1" s="567" t="s">
        <v>26</v>
      </c>
      <c r="AE1" s="561" t="s">
        <v>98</v>
      </c>
      <c r="AF1" s="561"/>
      <c r="AG1" s="562" t="s">
        <v>99</v>
      </c>
      <c r="AH1" s="562"/>
      <c r="AI1" s="559" t="s">
        <v>100</v>
      </c>
      <c r="AJ1" s="559"/>
      <c r="AK1" s="560" t="s">
        <v>26</v>
      </c>
      <c r="AM1" s="570" t="s">
        <v>156</v>
      </c>
      <c r="AN1" s="571"/>
      <c r="AO1" s="571"/>
      <c r="AP1" s="571"/>
      <c r="AQ1" s="571"/>
      <c r="AR1" s="571"/>
      <c r="AS1" s="571"/>
      <c r="AT1" s="571"/>
      <c r="AU1" s="572"/>
      <c r="AV1" s="270"/>
      <c r="AW1" s="570" t="s">
        <v>58</v>
      </c>
      <c r="AX1" s="571"/>
      <c r="AY1" s="571"/>
      <c r="AZ1" s="571"/>
      <c r="BA1" s="571"/>
      <c r="BB1" s="571"/>
      <c r="BC1" s="571"/>
      <c r="BD1" s="571"/>
      <c r="BE1" s="572"/>
    </row>
    <row r="2" spans="1:57" x14ac:dyDescent="0.25">
      <c r="A2" s="291" t="s">
        <v>28</v>
      </c>
      <c r="B2" s="110" t="s">
        <v>97</v>
      </c>
      <c r="C2" s="563"/>
      <c r="D2" s="108" t="s">
        <v>28</v>
      </c>
      <c r="E2" s="110" t="s">
        <v>97</v>
      </c>
      <c r="F2" s="563"/>
      <c r="G2" s="287" t="s">
        <v>28</v>
      </c>
      <c r="H2" s="111" t="s">
        <v>97</v>
      </c>
      <c r="I2" s="564"/>
      <c r="J2" s="289" t="s">
        <v>28</v>
      </c>
      <c r="K2" s="106" t="s">
        <v>97</v>
      </c>
      <c r="L2" s="564"/>
      <c r="M2" s="285" t="s">
        <v>28</v>
      </c>
      <c r="N2" s="104" t="s">
        <v>97</v>
      </c>
      <c r="O2" s="565"/>
      <c r="P2" s="285" t="s">
        <v>28</v>
      </c>
      <c r="Q2" s="104" t="s">
        <v>97</v>
      </c>
      <c r="R2" s="565"/>
      <c r="S2" s="280" t="s">
        <v>28</v>
      </c>
      <c r="T2" s="102" t="s">
        <v>97</v>
      </c>
      <c r="U2" s="566"/>
      <c r="V2" s="280" t="s">
        <v>28</v>
      </c>
      <c r="W2" s="102" t="s">
        <v>97</v>
      </c>
      <c r="X2" s="566"/>
      <c r="Y2" s="282" t="s">
        <v>28</v>
      </c>
      <c r="Z2" s="113" t="s">
        <v>97</v>
      </c>
      <c r="AA2" s="567"/>
      <c r="AB2" s="282" t="s">
        <v>28</v>
      </c>
      <c r="AC2" s="113" t="s">
        <v>97</v>
      </c>
      <c r="AD2" s="567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60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5" si="4">N3/O3</f>
        <v>10.810810810810811</v>
      </c>
      <c r="N3" s="105">
        <v>2000</v>
      </c>
      <c r="O3" s="62">
        <v>185</v>
      </c>
      <c r="P3" s="286">
        <f t="shared" ref="P3:P5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1" si="7">AF3/AK3</f>
        <v>3.5365853658536586</v>
      </c>
      <c r="AF3" s="116">
        <v>145</v>
      </c>
      <c r="AG3" s="98">
        <f t="shared" ref="AG3:AG11" si="8">AH3/AK3</f>
        <v>1.9512195121951219</v>
      </c>
      <c r="AH3" s="118">
        <v>80</v>
      </c>
      <c r="AI3" s="101">
        <f t="shared" ref="AI3:AI11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G12" s="98" t="s">
        <v>91</v>
      </c>
      <c r="AI12" s="101" t="s">
        <v>91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G13" s="98" t="s">
        <v>91</v>
      </c>
      <c r="AI13" s="101" t="s">
        <v>91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V22"/>
  <sheetViews>
    <sheetView topLeftCell="B1" workbookViewId="0">
      <selection activeCell="C15" sqref="C15:C19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3.42578125" style="270" customWidth="1"/>
    <col min="16" max="16" width="8.28515625" style="53"/>
    <col min="17" max="17" width="12.140625" style="53" customWidth="1"/>
    <col min="18" max="18" width="6.140625" style="53" customWidth="1"/>
    <col min="19" max="21" width="8.28515625" style="53"/>
    <col min="22" max="22" width="14.7109375" style="53" customWidth="1"/>
    <col min="23" max="16384" width="8.28515625" style="53"/>
  </cols>
  <sheetData>
    <row r="1" spans="1:22" ht="25.5" customHeight="1" x14ac:dyDescent="0.25">
      <c r="A1" s="576" t="s">
        <v>194</v>
      </c>
      <c r="B1" s="578" t="s">
        <v>197</v>
      </c>
      <c r="C1" s="578"/>
      <c r="D1" s="578"/>
      <c r="E1" s="578"/>
      <c r="F1" s="578"/>
      <c r="G1" s="578"/>
      <c r="H1" s="578"/>
      <c r="I1" s="399"/>
      <c r="J1" s="578" t="s">
        <v>195</v>
      </c>
      <c r="K1" s="578"/>
      <c r="L1" s="578"/>
      <c r="M1" s="578"/>
      <c r="N1" s="578"/>
      <c r="O1" s="399"/>
      <c r="P1" s="579" t="s">
        <v>196</v>
      </c>
      <c r="Q1" s="579"/>
      <c r="R1" s="579"/>
      <c r="S1" s="579"/>
      <c r="T1" s="579"/>
      <c r="U1" s="579"/>
      <c r="V1" s="579"/>
    </row>
    <row r="2" spans="1:22" ht="25.5" customHeight="1" x14ac:dyDescent="0.25">
      <c r="A2" s="576"/>
      <c r="B2" s="584" t="s">
        <v>51</v>
      </c>
      <c r="C2" s="584"/>
      <c r="D2" s="585" t="s">
        <v>53</v>
      </c>
      <c r="E2" s="585"/>
      <c r="F2" s="583" t="s">
        <v>55</v>
      </c>
      <c r="G2" s="583"/>
      <c r="H2" s="583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P2" s="20"/>
      <c r="Q2" s="19" t="s">
        <v>27</v>
      </c>
      <c r="R2" s="19" t="s">
        <v>43</v>
      </c>
      <c r="S2" s="19" t="s">
        <v>46</v>
      </c>
      <c r="T2" s="19" t="s">
        <v>47</v>
      </c>
      <c r="U2" s="19" t="s">
        <v>48</v>
      </c>
      <c r="V2" s="19" t="s">
        <v>49</v>
      </c>
    </row>
    <row r="3" spans="1:22" ht="25.5" customHeight="1" x14ac:dyDescent="0.25">
      <c r="A3" s="576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81">
        <f>FLOOR(C7/MAX(DATA_DRAG_ACCU_EXP),1)</f>
        <v>12</v>
      </c>
      <c r="H3" s="581"/>
      <c r="J3" s="212" t="s">
        <v>14</v>
      </c>
      <c r="K3" s="487">
        <v>210</v>
      </c>
      <c r="L3" s="487">
        <v>431</v>
      </c>
      <c r="M3" s="398">
        <f>K3+L3*DRAG_1L_TO_S</f>
        <v>1072</v>
      </c>
      <c r="N3" s="398">
        <f>L3+K3*DRAG_1S_TO_L</f>
        <v>473</v>
      </c>
      <c r="P3" s="19" t="s">
        <v>44</v>
      </c>
      <c r="Q3" s="124">
        <v>451544</v>
      </c>
      <c r="R3" s="124">
        <v>4</v>
      </c>
      <c r="S3" s="124">
        <v>6696</v>
      </c>
      <c r="T3" s="125">
        <v>8243</v>
      </c>
      <c r="U3" s="125">
        <v>3118</v>
      </c>
      <c r="V3" s="125">
        <f>S3*DRAGEXP_S+T3*DRAGEXP_M+U3*DRAGEXP_L</f>
        <v>20160400</v>
      </c>
    </row>
    <row r="4" spans="1:22" ht="25.5" customHeight="1" x14ac:dyDescent="0.25">
      <c r="A4" s="576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81">
        <f>MATCH(C10,DATA_DRAG_ACCU_EXP,0)</f>
        <v>17</v>
      </c>
      <c r="H4" s="581"/>
      <c r="J4" s="213" t="s">
        <v>12</v>
      </c>
      <c r="K4" s="488">
        <v>408</v>
      </c>
      <c r="L4" s="48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P4" s="19" t="s">
        <v>45</v>
      </c>
      <c r="Q4" s="124">
        <v>451544</v>
      </c>
      <c r="R4" s="124">
        <v>4</v>
      </c>
      <c r="S4" s="124">
        <v>6696</v>
      </c>
      <c r="T4" s="125">
        <v>8243</v>
      </c>
      <c r="U4" s="125">
        <v>3118</v>
      </c>
      <c r="V4" s="125">
        <f>S4*DRAGEXP_S+T4*DRAGEXP_M+U4*DRAGEXP_L</f>
        <v>20160400</v>
      </c>
    </row>
    <row r="5" spans="1:22" ht="25.5" customHeight="1" x14ac:dyDescent="0.25">
      <c r="A5" s="576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81">
        <f>INDEX(DATA_DRAG_LV_EXP,G4)-(C9-C10)</f>
        <v>260</v>
      </c>
      <c r="H5" s="581"/>
      <c r="J5" s="214" t="s">
        <v>11</v>
      </c>
      <c r="K5" s="489">
        <v>448</v>
      </c>
      <c r="L5" s="489">
        <v>1203</v>
      </c>
      <c r="M5" s="398">
        <f t="shared" si="0"/>
        <v>2854</v>
      </c>
      <c r="N5" s="398">
        <f t="shared" si="1"/>
        <v>1292.5999999999999</v>
      </c>
      <c r="P5" s="11"/>
      <c r="Q5" s="11"/>
      <c r="R5" s="11"/>
      <c r="S5" s="11"/>
      <c r="T5" s="11"/>
      <c r="U5" s="11"/>
      <c r="V5" s="393"/>
    </row>
    <row r="6" spans="1:22" ht="25.5" customHeight="1" x14ac:dyDescent="0.25">
      <c r="A6" s="576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90">
        <v>876</v>
      </c>
      <c r="L6" s="490">
        <v>417</v>
      </c>
      <c r="M6" s="398">
        <f t="shared" si="0"/>
        <v>1710</v>
      </c>
      <c r="N6" s="398">
        <f t="shared" si="1"/>
        <v>592.20000000000005</v>
      </c>
      <c r="P6" s="394" t="s">
        <v>63</v>
      </c>
      <c r="Q6" s="33">
        <f>V4-V3</f>
        <v>0</v>
      </c>
      <c r="R6" s="33"/>
      <c r="S6" s="394" t="s">
        <v>50</v>
      </c>
      <c r="T6" s="580" t="str">
        <f>IF(Q7&gt;0,Q6/Q7,"")</f>
        <v/>
      </c>
      <c r="U6" s="580"/>
      <c r="V6" s="580"/>
    </row>
    <row r="7" spans="1:22" ht="25.5" customHeight="1" x14ac:dyDescent="0.25">
      <c r="A7" s="576"/>
      <c r="B7" s="122" t="s">
        <v>95</v>
      </c>
      <c r="C7" s="123">
        <f>C6-C8</f>
        <v>14893900</v>
      </c>
      <c r="D7" s="86" t="s">
        <v>54</v>
      </c>
      <c r="E7" s="87"/>
      <c r="F7" s="513" t="s">
        <v>66</v>
      </c>
      <c r="G7" s="513"/>
      <c r="H7" s="513"/>
      <c r="J7" s="216" t="s">
        <v>8</v>
      </c>
      <c r="K7" s="491">
        <v>131</v>
      </c>
      <c r="L7" s="491">
        <v>589</v>
      </c>
      <c r="M7" s="398">
        <f t="shared" si="0"/>
        <v>1309</v>
      </c>
      <c r="N7" s="398">
        <f t="shared" si="1"/>
        <v>615.20000000000005</v>
      </c>
      <c r="P7" s="394" t="s">
        <v>25</v>
      </c>
      <c r="Q7" s="34">
        <f>(Q3-Q4)/WINGS_RECOVER_DIAMS*6 + (R3-R4)/WINGS_CONSUME_DRAGON</f>
        <v>0</v>
      </c>
      <c r="R7" s="34"/>
      <c r="S7" s="393"/>
      <c r="T7" s="393"/>
      <c r="U7" s="393"/>
      <c r="V7" s="393"/>
    </row>
    <row r="8" spans="1:22" ht="25.5" customHeight="1" x14ac:dyDescent="0.25">
      <c r="A8" s="576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13" t="s">
        <v>50</v>
      </c>
      <c r="G8" s="582">
        <f>IF(H9 &gt; 0,SUM(DATA_DRAGON_EXP)/H9,0)</f>
        <v>2673.9277652370201</v>
      </c>
      <c r="H8" s="59" t="s">
        <v>29</v>
      </c>
      <c r="S8" s="1"/>
      <c r="T8" s="1"/>
      <c r="U8" s="1"/>
      <c r="V8" s="1"/>
    </row>
    <row r="9" spans="1:22" ht="25.5" customHeight="1" x14ac:dyDescent="0.25">
      <c r="A9" s="576"/>
      <c r="B9" s="94" t="s">
        <v>92</v>
      </c>
      <c r="C9" s="94">
        <f>MOD(C7,DRAG_EXP_100)</f>
        <v>13660</v>
      </c>
      <c r="F9" s="513"/>
      <c r="G9" s="582"/>
      <c r="H9" s="80">
        <f>SUM(DATA_DRAGON_PLAYS)</f>
        <v>443</v>
      </c>
      <c r="S9" s="1"/>
      <c r="T9" s="1"/>
      <c r="U9" s="1"/>
      <c r="V9" s="1"/>
    </row>
    <row r="10" spans="1:22" s="270" customFormat="1" ht="25.5" customHeight="1" x14ac:dyDescent="0.25">
      <c r="A10" s="576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2" s="270" customFormat="1" ht="25.5" customHeight="1" x14ac:dyDescent="0.25">
      <c r="A11" s="576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2" s="270" customFormat="1" ht="25.5" customHeight="1" x14ac:dyDescent="0.25">
      <c r="A12" s="576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2" s="395" customFormat="1" ht="25.5" customHeight="1" x14ac:dyDescent="0.25">
      <c r="A13" s="575" t="s">
        <v>198</v>
      </c>
      <c r="B13" s="577" t="s">
        <v>199</v>
      </c>
      <c r="C13" s="577"/>
      <c r="D13" s="577"/>
      <c r="E13" s="577"/>
      <c r="F13" s="577"/>
      <c r="G13" s="577"/>
      <c r="H13" s="577"/>
    </row>
    <row r="14" spans="1:22" s="270" customFormat="1" ht="25.5" customHeight="1" x14ac:dyDescent="0.25">
      <c r="A14" s="576"/>
      <c r="B14" s="584" t="s">
        <v>51</v>
      </c>
      <c r="C14" s="584"/>
      <c r="D14" s="585" t="s">
        <v>53</v>
      </c>
      <c r="E14" s="585"/>
      <c r="F14" s="586" t="s">
        <v>55</v>
      </c>
      <c r="G14" s="586"/>
      <c r="H14" s="586"/>
    </row>
    <row r="15" spans="1:22" ht="25.5" customHeight="1" x14ac:dyDescent="0.25">
      <c r="A15" s="576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87">
        <f>FLOOR(C19/MAX(DATA_WYRM_ACCU_EXP),1)</f>
        <v>5</v>
      </c>
      <c r="H15" s="587"/>
    </row>
    <row r="16" spans="1:22" ht="25.5" customHeight="1" x14ac:dyDescent="0.25">
      <c r="A16" s="576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81">
        <f>MATCH(C22,DATA_WYRM_ACCU_EXP,0)</f>
        <v>88</v>
      </c>
      <c r="H16" s="581"/>
    </row>
    <row r="17" spans="1:8" ht="25.5" customHeight="1" x14ac:dyDescent="0.25">
      <c r="A17" s="576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81">
        <f>INDEX(DATA_WYRM_LV_EXP,G16)-(C21-C22)</f>
        <v>11960</v>
      </c>
      <c r="H17" s="581"/>
    </row>
    <row r="18" spans="1:8" ht="25.5" customHeight="1" x14ac:dyDescent="0.25">
      <c r="A18" s="576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76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G16:H16"/>
    <mergeCell ref="G17:H17"/>
    <mergeCell ref="B14:C14"/>
    <mergeCell ref="D14:E14"/>
    <mergeCell ref="F14:H14"/>
    <mergeCell ref="G15:H15"/>
    <mergeCell ref="A13:A19"/>
    <mergeCell ref="B13:H13"/>
    <mergeCell ref="J1:N1"/>
    <mergeCell ref="P1:V1"/>
    <mergeCell ref="T6:V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</mergeCells>
  <conditionalFormatting sqref="M3">
    <cfRule type="dataBar" priority="1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88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88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75</vt:i4>
      </vt:variant>
    </vt:vector>
  </HeadingPairs>
  <TitlesOfParts>
    <vt:vector size="98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INPUT_IO_CALCULATOR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2019-09-28T18:37:58Z</dcterms:modified>
</cp:coreProperties>
</file>