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23" documentId="113_{EAA44AB6-6EE5-CE42-98AC-4FC757615D5A}" xr6:coauthVersionLast="44" xr6:coauthVersionMax="44" xr10:uidLastSave="{D1BF56F6-737C-44CD-AC4A-E74BC56DEA55}"/>
  <bookViews>
    <workbookView xWindow="0" yWindow="0" windowWidth="21600" windowHeight="11385" activeTab="14" xr2:uid="{DB722928-C7C8-4DCB-B9F0-15DF68E4A8EA}"/>
  </bookViews>
  <sheets>
    <sheet name="玩家EXP" sheetId="33" r:id="rId1"/>
    <sheet name="D玩家EXP" sheetId="32" state="hidden" r:id="rId2"/>
    <sheet name="E速度" sheetId="36" r:id="rId3"/>
    <sheet name="Raid" sheetId="16" state="hidden" r:id="rId4"/>
    <sheet name="R速度" sheetId="30" state="hidden" r:id="rId5"/>
    <sheet name="R預估差" sheetId="31" state="hidden" r:id="rId6"/>
    <sheet name="迎擊" sheetId="18" r:id="rId7"/>
    <sheet name="D迎擊" sheetId="7" state="hidden" r:id="rId8"/>
    <sheet name="龍煉-護符" sheetId="19" r:id="rId9"/>
    <sheet name="D龍煉-護符" sheetId="4" state="hidden" r:id="rId10"/>
    <sheet name="虛空" sheetId="21" r:id="rId11"/>
    <sheet name="D虛空" sheetId="15" state="hidden" r:id="rId12"/>
    <sheet name="爪草" sheetId="22" r:id="rId13"/>
    <sheet name="D爪草" sheetId="23" r:id="rId14"/>
    <sheet name="真龍" sheetId="20" r:id="rId15"/>
    <sheet name="D真龍" sheetId="9" state="hidden" r:id="rId16"/>
    <sheet name="D真火" sheetId="10" state="hidden" r:id="rId17"/>
    <sheet name="活動建築" sheetId="37" state="hidden" r:id="rId18"/>
    <sheet name="D真水" sheetId="11" r:id="rId19"/>
    <sheet name="D真風" sheetId="14" state="hidden" r:id="rId20"/>
    <sheet name="D真光" sheetId="13" r:id="rId21"/>
    <sheet name="D真暗" sheetId="12" state="hidden" r:id="rId22"/>
  </sheets>
  <definedNames>
    <definedName name="_xlnm._FilterDatabase" localSheetId="0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(迎擊!$K$3,迎擊!$K$5,迎擊!$K$7,迎擊!$K$9,迎擊!$K$11)</definedName>
    <definedName name="DATA_IO_EXTRA_EXCHANGED_SMALL">(迎擊!$K$2,迎擊!$K$4,迎擊!$K$6,迎擊!$K$8,迎擊!$K$10)</definedName>
    <definedName name="DATA_IO_OWNED_BIG">(迎擊!$C$3,迎擊!$C$5,迎擊!$C$7,迎擊!$C$9,迎擊!$C$11)</definedName>
    <definedName name="DATA_IO_OWNED_SMALL">(迎擊!$C$2,迎擊!$C$4,迎擊!$C$6,迎擊!$C$8,迎擊!$C$10)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'D龍煉-護符'!$G$101</definedName>
    <definedName name="DRAGON_EXP_60">'D龍煉-護符'!$G$61</definedName>
    <definedName name="DRAGON_EXP_80">'D龍煉-護符'!$G$81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真龍!$F$10</definedName>
    <definedName name="HDRAG_HBRUN_BLDLV">真龍!$C$2</definedName>
    <definedName name="HDRAG_HBRUN_DRG">真龍!$D$2</definedName>
    <definedName name="HDRAG_HBRUN_ITEMS">真龍!$B$2</definedName>
    <definedName name="HDRAG_HJUP_AVG">真龍!$F$16</definedName>
    <definedName name="HDRAG_HJUP_BLDLV">真龍!$C$5</definedName>
    <definedName name="HDRAG_HJUP_DRG">真龍!$D$5</definedName>
    <definedName name="HDRAG_HJUP_ITEMS">真龍!$B$5</definedName>
    <definedName name="HDRAG_HMERC_AVG">真龍!$F$12</definedName>
    <definedName name="HDRAG_HMERC_BLDLV">真龍!$C$3</definedName>
    <definedName name="HDRAG_HMERC_DRG">真龍!$D$3</definedName>
    <definedName name="HDRAG_HMERC_ITEMS">真龍!$B$3</definedName>
    <definedName name="HDRAG_HMID_AVG">真龍!$F$14</definedName>
    <definedName name="HDRAG_HMID_BLDLV">真龍!$C$4</definedName>
    <definedName name="HDRAG_HMID_DRG">真龍!$D$4</definedName>
    <definedName name="HDRAG_HMID_ITEMS">真龍!$B$4</definedName>
    <definedName name="HDRAG_HZOD_AVG">真龍!$F$18</definedName>
    <definedName name="HDRAG_HZOD_BLDLV">真龍!$C$6</definedName>
    <definedName name="HDRAG_HZOD_DRG">真龍!$D$6</definedName>
    <definedName name="HDRAG_HZOD_ITEMS">真龍!$B$6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GOLD_COIN">D迎擊!$AP$3</definedName>
    <definedName name="IO_MAX_SILVER_COIN">D迎擊!$AO$3</definedName>
    <definedName name="IO_MAX_SMALL_EMBLEM">D迎擊!$AQ$3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22" l="1"/>
  <c r="J19" i="22"/>
  <c r="J18" i="22"/>
  <c r="J17" i="22"/>
  <c r="J16" i="22"/>
  <c r="M400" i="33"/>
  <c r="L400" i="33"/>
  <c r="K400" i="33"/>
  <c r="J400" i="33"/>
  <c r="I400" i="33"/>
  <c r="G400" i="33"/>
  <c r="H400" i="33"/>
  <c r="F400" i="33"/>
  <c r="E400" i="33"/>
  <c r="D400" i="33"/>
  <c r="M399" i="33"/>
  <c r="N399" i="33" s="1"/>
  <c r="L399" i="33"/>
  <c r="K399" i="33"/>
  <c r="J399" i="33"/>
  <c r="I399" i="33"/>
  <c r="G399" i="33"/>
  <c r="H399" i="33" s="1"/>
  <c r="F399" i="33"/>
  <c r="E399" i="33"/>
  <c r="D399" i="33"/>
  <c r="M398" i="33"/>
  <c r="L398" i="33"/>
  <c r="K398" i="33"/>
  <c r="J398" i="33"/>
  <c r="I398" i="33"/>
  <c r="G398" i="33"/>
  <c r="H398" i="33" s="1"/>
  <c r="F398" i="33"/>
  <c r="E398" i="33"/>
  <c r="D398" i="33"/>
  <c r="M397" i="33"/>
  <c r="N397" i="33" s="1"/>
  <c r="D397" i="33"/>
  <c r="L397" i="33"/>
  <c r="K397" i="33"/>
  <c r="J397" i="33"/>
  <c r="I397" i="33"/>
  <c r="G397" i="33"/>
  <c r="H397" i="33"/>
  <c r="F397" i="33"/>
  <c r="E397" i="33"/>
  <c r="M396" i="33"/>
  <c r="L396" i="33"/>
  <c r="K396" i="33"/>
  <c r="J396" i="33"/>
  <c r="I396" i="33"/>
  <c r="G396" i="33"/>
  <c r="H396" i="33"/>
  <c r="F396" i="33"/>
  <c r="E396" i="33"/>
  <c r="D396" i="33"/>
  <c r="M395" i="33"/>
  <c r="L395" i="33"/>
  <c r="K395" i="33"/>
  <c r="J395" i="33"/>
  <c r="I395" i="33"/>
  <c r="G395" i="33"/>
  <c r="H395" i="33" s="1"/>
  <c r="F395" i="33"/>
  <c r="E395" i="33"/>
  <c r="D395" i="33"/>
  <c r="M394" i="33"/>
  <c r="D394" i="33"/>
  <c r="L394" i="33"/>
  <c r="K394" i="33"/>
  <c r="J394" i="33"/>
  <c r="I394" i="33"/>
  <c r="G394" i="33"/>
  <c r="H394" i="33"/>
  <c r="F394" i="33"/>
  <c r="E394" i="33"/>
  <c r="M393" i="33"/>
  <c r="N393" i="33" s="1"/>
  <c r="D393" i="33"/>
  <c r="L393" i="33"/>
  <c r="K393" i="33"/>
  <c r="J393" i="33"/>
  <c r="I393" i="33"/>
  <c r="G393" i="33"/>
  <c r="H393" i="33" s="1"/>
  <c r="F393" i="33"/>
  <c r="E393" i="33"/>
  <c r="M392" i="33"/>
  <c r="N392" i="33"/>
  <c r="D392" i="33"/>
  <c r="L392" i="33"/>
  <c r="K392" i="33"/>
  <c r="J392" i="33"/>
  <c r="I392" i="33"/>
  <c r="G392" i="33"/>
  <c r="H392" i="33" s="1"/>
  <c r="F392" i="33"/>
  <c r="E392" i="33"/>
  <c r="M391" i="33"/>
  <c r="L391" i="33"/>
  <c r="K391" i="33"/>
  <c r="J391" i="33"/>
  <c r="I391" i="33"/>
  <c r="G391" i="33"/>
  <c r="H391" i="33" s="1"/>
  <c r="F391" i="33"/>
  <c r="E391" i="33"/>
  <c r="D391" i="33"/>
  <c r="M390" i="33"/>
  <c r="N390" i="33"/>
  <c r="D390" i="33"/>
  <c r="L390" i="33"/>
  <c r="K390" i="33"/>
  <c r="J390" i="33"/>
  <c r="I390" i="33"/>
  <c r="G390" i="33"/>
  <c r="H390" i="33" s="1"/>
  <c r="F390" i="33"/>
  <c r="E390" i="33"/>
  <c r="M389" i="33"/>
  <c r="N389" i="33" s="1"/>
  <c r="D389" i="33"/>
  <c r="L389" i="33"/>
  <c r="K389" i="33"/>
  <c r="J389" i="33"/>
  <c r="I389" i="33"/>
  <c r="G389" i="33"/>
  <c r="H389" i="33"/>
  <c r="F389" i="33"/>
  <c r="E389" i="33"/>
  <c r="M388" i="33"/>
  <c r="D388" i="33"/>
  <c r="L388" i="33"/>
  <c r="K388" i="33"/>
  <c r="J388" i="33"/>
  <c r="I388" i="33"/>
  <c r="G388" i="33"/>
  <c r="H388" i="33" s="1"/>
  <c r="F388" i="33"/>
  <c r="E388" i="33"/>
  <c r="M387" i="33"/>
  <c r="D387" i="33"/>
  <c r="L387" i="33"/>
  <c r="K387" i="33"/>
  <c r="J387" i="33"/>
  <c r="I387" i="33"/>
  <c r="G387" i="33"/>
  <c r="H387" i="33" s="1"/>
  <c r="F387" i="33"/>
  <c r="E387" i="33"/>
  <c r="M386" i="33"/>
  <c r="L386" i="33"/>
  <c r="K386" i="33"/>
  <c r="J386" i="33"/>
  <c r="I386" i="33"/>
  <c r="G386" i="33"/>
  <c r="H386" i="33"/>
  <c r="F386" i="33"/>
  <c r="E386" i="33"/>
  <c r="D386" i="33"/>
  <c r="M385" i="33"/>
  <c r="L385" i="33"/>
  <c r="K385" i="33"/>
  <c r="J385" i="33"/>
  <c r="I385" i="33"/>
  <c r="G385" i="33"/>
  <c r="H385" i="33"/>
  <c r="F385" i="33"/>
  <c r="E385" i="33"/>
  <c r="D385" i="33"/>
  <c r="M384" i="33"/>
  <c r="N384" i="33" s="1"/>
  <c r="L384" i="33"/>
  <c r="K384" i="33"/>
  <c r="J384" i="33"/>
  <c r="I384" i="33"/>
  <c r="G384" i="33"/>
  <c r="H384" i="33" s="1"/>
  <c r="F384" i="33"/>
  <c r="E384" i="33"/>
  <c r="D384" i="33"/>
  <c r="M383" i="33"/>
  <c r="L383" i="33"/>
  <c r="K383" i="33"/>
  <c r="J383" i="33"/>
  <c r="I383" i="33"/>
  <c r="G383" i="33"/>
  <c r="H383" i="33"/>
  <c r="F383" i="33"/>
  <c r="E383" i="33"/>
  <c r="D383" i="33"/>
  <c r="M382" i="33"/>
  <c r="N382" i="33"/>
  <c r="D382" i="33"/>
  <c r="L382" i="33"/>
  <c r="K382" i="33"/>
  <c r="J382" i="33"/>
  <c r="I382" i="33"/>
  <c r="G382" i="33"/>
  <c r="H382" i="33"/>
  <c r="F382" i="33"/>
  <c r="E382" i="33"/>
  <c r="M381" i="33"/>
  <c r="D381" i="33"/>
  <c r="L381" i="33"/>
  <c r="K381" i="33"/>
  <c r="J381" i="33"/>
  <c r="I381" i="33"/>
  <c r="G381" i="33"/>
  <c r="H381" i="33" s="1"/>
  <c r="F381" i="33"/>
  <c r="E381" i="33"/>
  <c r="M380" i="33"/>
  <c r="D380" i="33"/>
  <c r="L380" i="33"/>
  <c r="K380" i="33"/>
  <c r="J380" i="33"/>
  <c r="I380" i="33"/>
  <c r="G380" i="33"/>
  <c r="H380" i="33" s="1"/>
  <c r="F380" i="33"/>
  <c r="E380" i="33"/>
  <c r="M379" i="33"/>
  <c r="N379" i="33"/>
  <c r="D379" i="33"/>
  <c r="L379" i="33"/>
  <c r="K379" i="33"/>
  <c r="J379" i="33"/>
  <c r="I379" i="33"/>
  <c r="G379" i="33"/>
  <c r="H379" i="33" s="1"/>
  <c r="F379" i="33"/>
  <c r="E379" i="33"/>
  <c r="M378" i="33"/>
  <c r="L378" i="33"/>
  <c r="K378" i="33"/>
  <c r="J378" i="33"/>
  <c r="I378" i="33"/>
  <c r="G378" i="33"/>
  <c r="H378" i="33" s="1"/>
  <c r="F378" i="33"/>
  <c r="E378" i="33"/>
  <c r="D378" i="33"/>
  <c r="M377" i="33"/>
  <c r="L377" i="33"/>
  <c r="K377" i="33"/>
  <c r="J377" i="33"/>
  <c r="I377" i="33"/>
  <c r="G377" i="33"/>
  <c r="H377" i="33" s="1"/>
  <c r="F377" i="33"/>
  <c r="E377" i="33"/>
  <c r="D377" i="33"/>
  <c r="M376" i="33"/>
  <c r="L376" i="33"/>
  <c r="K376" i="33"/>
  <c r="J376" i="33"/>
  <c r="I376" i="33"/>
  <c r="G376" i="33"/>
  <c r="H376" i="33"/>
  <c r="F376" i="33"/>
  <c r="E376" i="33"/>
  <c r="D376" i="33"/>
  <c r="M375" i="33"/>
  <c r="N375" i="33"/>
  <c r="D375" i="33"/>
  <c r="L375" i="33"/>
  <c r="K375" i="33"/>
  <c r="J375" i="33"/>
  <c r="I375" i="33"/>
  <c r="G375" i="33"/>
  <c r="H375" i="33"/>
  <c r="F375" i="33"/>
  <c r="E375" i="33"/>
  <c r="M374" i="33"/>
  <c r="N374" i="33" s="1"/>
  <c r="D374" i="33"/>
  <c r="L374" i="33"/>
  <c r="K374" i="33"/>
  <c r="J374" i="33"/>
  <c r="I374" i="33"/>
  <c r="G374" i="33"/>
  <c r="H374" i="33"/>
  <c r="F374" i="33"/>
  <c r="E374" i="33"/>
  <c r="M373" i="33"/>
  <c r="D373" i="33"/>
  <c r="L373" i="33"/>
  <c r="K373" i="33"/>
  <c r="J373" i="33"/>
  <c r="I373" i="33"/>
  <c r="G373" i="33"/>
  <c r="H373" i="33"/>
  <c r="F373" i="33"/>
  <c r="E373" i="33"/>
  <c r="M372" i="33"/>
  <c r="N372" i="33" s="1"/>
  <c r="D372" i="33"/>
  <c r="L372" i="33"/>
  <c r="K372" i="33"/>
  <c r="J372" i="33"/>
  <c r="I372" i="33"/>
  <c r="G372" i="33"/>
  <c r="H372" i="33" s="1"/>
  <c r="F372" i="33"/>
  <c r="E372" i="33"/>
  <c r="D371" i="33"/>
  <c r="M371" i="33"/>
  <c r="N371" i="33" s="1"/>
  <c r="L371" i="33"/>
  <c r="K371" i="33"/>
  <c r="J371" i="33"/>
  <c r="I371" i="33"/>
  <c r="G371" i="33"/>
  <c r="H371" i="33" s="1"/>
  <c r="F371" i="33"/>
  <c r="E371" i="33"/>
  <c r="M370" i="33"/>
  <c r="D370" i="33"/>
  <c r="L370" i="33"/>
  <c r="K370" i="33"/>
  <c r="J370" i="33"/>
  <c r="I370" i="33"/>
  <c r="G370" i="33"/>
  <c r="H370" i="33"/>
  <c r="F370" i="33"/>
  <c r="E370" i="33"/>
  <c r="M369" i="33"/>
  <c r="N369" i="33"/>
  <c r="L369" i="33"/>
  <c r="K369" i="33"/>
  <c r="J369" i="33"/>
  <c r="I369" i="33"/>
  <c r="G369" i="33"/>
  <c r="H369" i="33"/>
  <c r="F369" i="33"/>
  <c r="E369" i="33"/>
  <c r="D369" i="33"/>
  <c r="M368" i="33"/>
  <c r="N368" i="33" s="1"/>
  <c r="D368" i="33"/>
  <c r="L368" i="33"/>
  <c r="K368" i="33"/>
  <c r="J368" i="33"/>
  <c r="I368" i="33"/>
  <c r="G368" i="33"/>
  <c r="H368" i="33"/>
  <c r="F368" i="33"/>
  <c r="E368" i="33"/>
  <c r="M367" i="33"/>
  <c r="N367" i="33" s="1"/>
  <c r="D367" i="33"/>
  <c r="L367" i="33"/>
  <c r="K367" i="33"/>
  <c r="J367" i="33"/>
  <c r="I367" i="33"/>
  <c r="G367" i="33"/>
  <c r="H367" i="33" s="1"/>
  <c r="F367" i="33"/>
  <c r="E367" i="33"/>
  <c r="M366" i="33"/>
  <c r="D366" i="33"/>
  <c r="L366" i="33"/>
  <c r="K366" i="33"/>
  <c r="J366" i="33"/>
  <c r="I366" i="33"/>
  <c r="G366" i="33"/>
  <c r="H366" i="33"/>
  <c r="F366" i="33"/>
  <c r="E366" i="33"/>
  <c r="M365" i="33"/>
  <c r="N365" i="33" s="1"/>
  <c r="D365" i="33"/>
  <c r="L365" i="33"/>
  <c r="K365" i="33"/>
  <c r="J365" i="33"/>
  <c r="I365" i="33"/>
  <c r="G365" i="33"/>
  <c r="H365" i="33"/>
  <c r="F365" i="33"/>
  <c r="E365" i="33"/>
  <c r="M364" i="33"/>
  <c r="N364" i="33"/>
  <c r="D364" i="33"/>
  <c r="L364" i="33"/>
  <c r="K364" i="33"/>
  <c r="J364" i="33"/>
  <c r="I364" i="33"/>
  <c r="G364" i="33"/>
  <c r="H364" i="33" s="1"/>
  <c r="F364" i="33"/>
  <c r="E364" i="33"/>
  <c r="M363" i="33"/>
  <c r="D363" i="33"/>
  <c r="N363" i="33"/>
  <c r="L363" i="33"/>
  <c r="K363" i="33"/>
  <c r="J363" i="33"/>
  <c r="I363" i="33"/>
  <c r="G363" i="33"/>
  <c r="H363" i="33"/>
  <c r="F363" i="33"/>
  <c r="E363" i="33"/>
  <c r="M362" i="33"/>
  <c r="N362" i="33" s="1"/>
  <c r="L362" i="33"/>
  <c r="K362" i="33"/>
  <c r="J362" i="33"/>
  <c r="I362" i="33"/>
  <c r="G362" i="33"/>
  <c r="H362" i="33" s="1"/>
  <c r="F362" i="33"/>
  <c r="E362" i="33"/>
  <c r="D362" i="33"/>
  <c r="M361" i="33"/>
  <c r="L361" i="33"/>
  <c r="K361" i="33"/>
  <c r="J361" i="33"/>
  <c r="I361" i="33"/>
  <c r="G361" i="33"/>
  <c r="H361" i="33"/>
  <c r="F361" i="33"/>
  <c r="E361" i="33"/>
  <c r="D361" i="33"/>
  <c r="M360" i="33"/>
  <c r="N360" i="33" s="1"/>
  <c r="D360" i="33"/>
  <c r="L360" i="33"/>
  <c r="K360" i="33"/>
  <c r="J360" i="33"/>
  <c r="I360" i="33"/>
  <c r="G360" i="33"/>
  <c r="H360" i="33"/>
  <c r="F360" i="33"/>
  <c r="E360" i="33"/>
  <c r="M359" i="33"/>
  <c r="L359" i="33"/>
  <c r="K359" i="33"/>
  <c r="J359" i="33"/>
  <c r="I359" i="33"/>
  <c r="G359" i="33"/>
  <c r="H359" i="33"/>
  <c r="F359" i="33"/>
  <c r="E359" i="33"/>
  <c r="D359" i="33"/>
  <c r="M358" i="33"/>
  <c r="N358" i="33" s="1"/>
  <c r="D358" i="33"/>
  <c r="L358" i="33"/>
  <c r="K358" i="33"/>
  <c r="J358" i="33"/>
  <c r="I358" i="33"/>
  <c r="G358" i="33"/>
  <c r="H358" i="33"/>
  <c r="F358" i="33"/>
  <c r="E358" i="33"/>
  <c r="M357" i="33"/>
  <c r="N357" i="33"/>
  <c r="D357" i="33"/>
  <c r="L357" i="33"/>
  <c r="K357" i="33"/>
  <c r="J357" i="33"/>
  <c r="I357" i="33"/>
  <c r="G357" i="33"/>
  <c r="H357" i="33" s="1"/>
  <c r="F357" i="33"/>
  <c r="E357" i="33"/>
  <c r="M356" i="33"/>
  <c r="D356" i="33"/>
  <c r="L356" i="33"/>
  <c r="K356" i="33"/>
  <c r="J356" i="33"/>
  <c r="I356" i="33"/>
  <c r="G356" i="33"/>
  <c r="H356" i="33"/>
  <c r="F356" i="33"/>
  <c r="E356" i="33"/>
  <c r="M355" i="33"/>
  <c r="L355" i="33"/>
  <c r="K355" i="33"/>
  <c r="J355" i="33"/>
  <c r="I355" i="33"/>
  <c r="G355" i="33"/>
  <c r="H355" i="33" s="1"/>
  <c r="F355" i="33"/>
  <c r="E355" i="33"/>
  <c r="D355" i="33"/>
  <c r="M354" i="33"/>
  <c r="L354" i="33"/>
  <c r="K354" i="33"/>
  <c r="J354" i="33"/>
  <c r="I354" i="33"/>
  <c r="G354" i="33"/>
  <c r="H354" i="33"/>
  <c r="F354" i="33"/>
  <c r="E354" i="33"/>
  <c r="D354" i="33"/>
  <c r="M353" i="33"/>
  <c r="L353" i="33"/>
  <c r="K353" i="33"/>
  <c r="J353" i="33"/>
  <c r="I353" i="33"/>
  <c r="G353" i="33"/>
  <c r="H353" i="33" s="1"/>
  <c r="F353" i="33"/>
  <c r="E353" i="33"/>
  <c r="D353" i="33"/>
  <c r="N353" i="33"/>
  <c r="M352" i="33"/>
  <c r="L352" i="33"/>
  <c r="K352" i="33"/>
  <c r="J352" i="33"/>
  <c r="I352" i="33"/>
  <c r="G352" i="33"/>
  <c r="H352" i="33"/>
  <c r="F352" i="33"/>
  <c r="E352" i="33"/>
  <c r="D352" i="33"/>
  <c r="M351" i="33"/>
  <c r="N351" i="33" s="1"/>
  <c r="D351" i="33"/>
  <c r="L351" i="33"/>
  <c r="K351" i="33"/>
  <c r="J351" i="33"/>
  <c r="I351" i="33"/>
  <c r="G351" i="33"/>
  <c r="H351" i="33"/>
  <c r="F351" i="33"/>
  <c r="E351" i="33"/>
  <c r="M350" i="33"/>
  <c r="N350" i="33" s="1"/>
  <c r="D350" i="33"/>
  <c r="L350" i="33"/>
  <c r="K350" i="33"/>
  <c r="J350" i="33"/>
  <c r="I350" i="33"/>
  <c r="G350" i="33"/>
  <c r="H350" i="33"/>
  <c r="F350" i="33"/>
  <c r="E350" i="33"/>
  <c r="M349" i="33"/>
  <c r="L349" i="33"/>
  <c r="K349" i="33"/>
  <c r="J349" i="33"/>
  <c r="I349" i="33"/>
  <c r="G349" i="33"/>
  <c r="H349" i="33"/>
  <c r="F349" i="33"/>
  <c r="E349" i="33"/>
  <c r="D349" i="33"/>
  <c r="M348" i="33"/>
  <c r="L348" i="33"/>
  <c r="K348" i="33"/>
  <c r="J348" i="33"/>
  <c r="I348" i="33"/>
  <c r="G348" i="33"/>
  <c r="H348" i="33"/>
  <c r="F348" i="33"/>
  <c r="E348" i="33"/>
  <c r="D348" i="33"/>
  <c r="M347" i="33"/>
  <c r="N347" i="33"/>
  <c r="D347" i="33"/>
  <c r="L347" i="33"/>
  <c r="K347" i="33"/>
  <c r="J347" i="33"/>
  <c r="I347" i="33"/>
  <c r="G347" i="33"/>
  <c r="H347" i="33"/>
  <c r="F347" i="33"/>
  <c r="E347" i="33"/>
  <c r="M346" i="33"/>
  <c r="N346" i="33" s="1"/>
  <c r="D346" i="33"/>
  <c r="L346" i="33"/>
  <c r="K346" i="33"/>
  <c r="J346" i="33"/>
  <c r="I346" i="33"/>
  <c r="G346" i="33"/>
  <c r="H346" i="33" s="1"/>
  <c r="F346" i="33"/>
  <c r="E346" i="33"/>
  <c r="M345" i="33"/>
  <c r="L345" i="33"/>
  <c r="K345" i="33"/>
  <c r="J345" i="33"/>
  <c r="I345" i="33"/>
  <c r="G345" i="33"/>
  <c r="H345" i="33"/>
  <c r="F345" i="33"/>
  <c r="E345" i="33"/>
  <c r="D345" i="33"/>
  <c r="M344" i="33"/>
  <c r="L344" i="33"/>
  <c r="K344" i="33"/>
  <c r="J344" i="33"/>
  <c r="I344" i="33"/>
  <c r="G344" i="33"/>
  <c r="H344" i="33"/>
  <c r="F344" i="33"/>
  <c r="E344" i="33"/>
  <c r="D344" i="33"/>
  <c r="N344" i="33"/>
  <c r="M343" i="33"/>
  <c r="D343" i="33"/>
  <c r="L343" i="33"/>
  <c r="K343" i="33"/>
  <c r="J343" i="33"/>
  <c r="I343" i="33"/>
  <c r="G343" i="33"/>
  <c r="H343" i="33"/>
  <c r="F343" i="33"/>
  <c r="E343" i="33"/>
  <c r="M342" i="33"/>
  <c r="N342" i="33" s="1"/>
  <c r="D342" i="33"/>
  <c r="L342" i="33"/>
  <c r="K342" i="33"/>
  <c r="J342" i="33"/>
  <c r="I342" i="33"/>
  <c r="G342" i="33"/>
  <c r="H342" i="33"/>
  <c r="F342" i="33"/>
  <c r="E342" i="33"/>
  <c r="M341" i="33"/>
  <c r="D341" i="33"/>
  <c r="L341" i="33"/>
  <c r="K341" i="33"/>
  <c r="J341" i="33"/>
  <c r="I341" i="33"/>
  <c r="G341" i="33"/>
  <c r="H341" i="33"/>
  <c r="F341" i="33"/>
  <c r="E341" i="33"/>
  <c r="M340" i="33"/>
  <c r="N340" i="33" s="1"/>
  <c r="D340" i="33"/>
  <c r="L340" i="33"/>
  <c r="K340" i="33"/>
  <c r="J340" i="33"/>
  <c r="I340" i="33"/>
  <c r="G340" i="33"/>
  <c r="H340" i="33"/>
  <c r="F340" i="33"/>
  <c r="E340" i="33"/>
  <c r="M339" i="33"/>
  <c r="D339" i="33"/>
  <c r="L339" i="33"/>
  <c r="K339" i="33"/>
  <c r="J339" i="33"/>
  <c r="I339" i="33"/>
  <c r="G339" i="33"/>
  <c r="H339" i="33"/>
  <c r="F339" i="33"/>
  <c r="E339" i="33"/>
  <c r="M338" i="33"/>
  <c r="D338" i="33"/>
  <c r="L338" i="33"/>
  <c r="K338" i="33"/>
  <c r="J338" i="33"/>
  <c r="I338" i="33"/>
  <c r="G338" i="33"/>
  <c r="H338" i="33" s="1"/>
  <c r="F338" i="33"/>
  <c r="E338" i="33"/>
  <c r="M337" i="33"/>
  <c r="N337" i="33"/>
  <c r="D337" i="33"/>
  <c r="L337" i="33"/>
  <c r="K337" i="33"/>
  <c r="J337" i="33"/>
  <c r="I337" i="33"/>
  <c r="G337" i="33"/>
  <c r="H337" i="33"/>
  <c r="F337" i="33"/>
  <c r="E337" i="33"/>
  <c r="M336" i="33"/>
  <c r="N336" i="33" s="1"/>
  <c r="D336" i="33"/>
  <c r="L336" i="33"/>
  <c r="K336" i="33"/>
  <c r="J336" i="33"/>
  <c r="I336" i="33"/>
  <c r="G336" i="33"/>
  <c r="H336" i="33"/>
  <c r="F336" i="33"/>
  <c r="E336" i="33"/>
  <c r="M335" i="33"/>
  <c r="L335" i="33"/>
  <c r="K335" i="33"/>
  <c r="J335" i="33"/>
  <c r="I335" i="33"/>
  <c r="G335" i="33"/>
  <c r="H335" i="33"/>
  <c r="F335" i="33"/>
  <c r="E335" i="33"/>
  <c r="D335" i="33"/>
  <c r="M334" i="33"/>
  <c r="L334" i="33"/>
  <c r="K334" i="33"/>
  <c r="J334" i="33"/>
  <c r="I334" i="33"/>
  <c r="G334" i="33"/>
  <c r="H334" i="33"/>
  <c r="F334" i="33"/>
  <c r="E334" i="33"/>
  <c r="D334" i="33"/>
  <c r="M333" i="33"/>
  <c r="L333" i="33"/>
  <c r="K333" i="33"/>
  <c r="J333" i="33"/>
  <c r="I333" i="33"/>
  <c r="G333" i="33"/>
  <c r="H333" i="33" s="1"/>
  <c r="F333" i="33"/>
  <c r="E333" i="33"/>
  <c r="D333" i="33"/>
  <c r="M332" i="33"/>
  <c r="D332" i="33"/>
  <c r="L332" i="33"/>
  <c r="K332" i="33"/>
  <c r="J332" i="33"/>
  <c r="I332" i="33"/>
  <c r="G332" i="33"/>
  <c r="H332" i="33"/>
  <c r="F332" i="33"/>
  <c r="E332" i="33"/>
  <c r="M331" i="33"/>
  <c r="N331" i="33" s="1"/>
  <c r="D331" i="33"/>
  <c r="L331" i="33"/>
  <c r="K331" i="33"/>
  <c r="J331" i="33"/>
  <c r="I331" i="33"/>
  <c r="G331" i="33"/>
  <c r="H331" i="33" s="1"/>
  <c r="F331" i="33"/>
  <c r="E331" i="33"/>
  <c r="M330" i="33"/>
  <c r="L330" i="33"/>
  <c r="K330" i="33"/>
  <c r="J330" i="33"/>
  <c r="I330" i="33"/>
  <c r="G330" i="33"/>
  <c r="H330" i="33"/>
  <c r="F330" i="33"/>
  <c r="E330" i="33"/>
  <c r="D330" i="33"/>
  <c r="M329" i="33"/>
  <c r="N329" i="33" s="1"/>
  <c r="L329" i="33"/>
  <c r="K329" i="33"/>
  <c r="J329" i="33"/>
  <c r="I329" i="33"/>
  <c r="G329" i="33"/>
  <c r="H329" i="33" s="1"/>
  <c r="F329" i="33"/>
  <c r="E329" i="33"/>
  <c r="D329" i="33"/>
  <c r="M328" i="33"/>
  <c r="D328" i="33"/>
  <c r="L328" i="33"/>
  <c r="K328" i="33"/>
  <c r="J328" i="33"/>
  <c r="I328" i="33"/>
  <c r="G328" i="33"/>
  <c r="H328" i="33"/>
  <c r="F328" i="33"/>
  <c r="E328" i="33"/>
  <c r="M327" i="33"/>
  <c r="N327" i="33" s="1"/>
  <c r="D327" i="33"/>
  <c r="L327" i="33"/>
  <c r="K327" i="33"/>
  <c r="J327" i="33"/>
  <c r="I327" i="33"/>
  <c r="G327" i="33"/>
  <c r="H327" i="33"/>
  <c r="F327" i="33"/>
  <c r="E327" i="33"/>
  <c r="M326" i="33"/>
  <c r="L326" i="33"/>
  <c r="K326" i="33"/>
  <c r="J326" i="33"/>
  <c r="I326" i="33"/>
  <c r="G326" i="33"/>
  <c r="H326" i="33"/>
  <c r="F326" i="33"/>
  <c r="E326" i="33"/>
  <c r="D326" i="33"/>
  <c r="M325" i="33"/>
  <c r="L325" i="33"/>
  <c r="K325" i="33"/>
  <c r="J325" i="33"/>
  <c r="I325" i="33"/>
  <c r="G325" i="33"/>
  <c r="H325" i="33"/>
  <c r="F325" i="33"/>
  <c r="E325" i="33"/>
  <c r="D325" i="33"/>
  <c r="M324" i="33"/>
  <c r="N324" i="33"/>
  <c r="D324" i="33"/>
  <c r="L324" i="33"/>
  <c r="K324" i="33"/>
  <c r="J324" i="33"/>
  <c r="I324" i="33"/>
  <c r="G324" i="33"/>
  <c r="H324" i="33"/>
  <c r="F324" i="33"/>
  <c r="E324" i="33"/>
  <c r="M323" i="33"/>
  <c r="N323" i="33" s="1"/>
  <c r="L323" i="33"/>
  <c r="K323" i="33"/>
  <c r="J323" i="33"/>
  <c r="I323" i="33"/>
  <c r="G323" i="33"/>
  <c r="H323" i="33" s="1"/>
  <c r="F323" i="33"/>
  <c r="E323" i="33"/>
  <c r="D323" i="33"/>
  <c r="M322" i="33"/>
  <c r="L322" i="33"/>
  <c r="K322" i="33"/>
  <c r="J322" i="33"/>
  <c r="I322" i="33"/>
  <c r="G322" i="33"/>
  <c r="H322" i="33"/>
  <c r="F322" i="33"/>
  <c r="E322" i="33"/>
  <c r="D322" i="33"/>
  <c r="M321" i="33"/>
  <c r="N321" i="33" s="1"/>
  <c r="D321" i="33"/>
  <c r="L321" i="33"/>
  <c r="K321" i="33"/>
  <c r="J321" i="33"/>
  <c r="I321" i="33"/>
  <c r="G321" i="33"/>
  <c r="H321" i="33"/>
  <c r="F321" i="33"/>
  <c r="E321" i="33"/>
  <c r="M320" i="33"/>
  <c r="D320" i="33"/>
  <c r="L320" i="33"/>
  <c r="K320" i="33"/>
  <c r="J320" i="33"/>
  <c r="I320" i="33"/>
  <c r="G320" i="33"/>
  <c r="H320" i="33"/>
  <c r="F320" i="33"/>
  <c r="E320" i="33"/>
  <c r="M319" i="33"/>
  <c r="N319" i="33" s="1"/>
  <c r="L319" i="33"/>
  <c r="K319" i="33"/>
  <c r="J319" i="33"/>
  <c r="I319" i="33"/>
  <c r="G319" i="33"/>
  <c r="H319" i="33" s="1"/>
  <c r="F319" i="33"/>
  <c r="E319" i="33"/>
  <c r="D319" i="33"/>
  <c r="M318" i="33"/>
  <c r="D318" i="33"/>
  <c r="N318" i="33"/>
  <c r="L318" i="33"/>
  <c r="K318" i="33"/>
  <c r="J318" i="33"/>
  <c r="I318" i="33"/>
  <c r="G318" i="33"/>
  <c r="H318" i="33" s="1"/>
  <c r="F318" i="33"/>
  <c r="E318" i="33"/>
  <c r="M317" i="33"/>
  <c r="L317" i="33"/>
  <c r="K317" i="33"/>
  <c r="J317" i="33"/>
  <c r="I317" i="33"/>
  <c r="G317" i="33"/>
  <c r="H317" i="33" s="1"/>
  <c r="F317" i="33"/>
  <c r="E317" i="33"/>
  <c r="D317" i="33"/>
  <c r="M316" i="33"/>
  <c r="N316" i="33"/>
  <c r="L316" i="33"/>
  <c r="K316" i="33"/>
  <c r="J316" i="33"/>
  <c r="I316" i="33"/>
  <c r="G316" i="33"/>
  <c r="H316" i="33"/>
  <c r="F316" i="33"/>
  <c r="E316" i="33"/>
  <c r="D316" i="33"/>
  <c r="M315" i="33"/>
  <c r="N315" i="33"/>
  <c r="L315" i="33"/>
  <c r="K315" i="33"/>
  <c r="J315" i="33"/>
  <c r="I315" i="33"/>
  <c r="G315" i="33"/>
  <c r="H315" i="33" s="1"/>
  <c r="F315" i="33"/>
  <c r="E315" i="33"/>
  <c r="D315" i="33"/>
  <c r="M314" i="33"/>
  <c r="D314" i="33"/>
  <c r="L314" i="33"/>
  <c r="K314" i="33"/>
  <c r="J314" i="33"/>
  <c r="I314" i="33"/>
  <c r="G314" i="33"/>
  <c r="H314" i="33" s="1"/>
  <c r="F314" i="33"/>
  <c r="E314" i="33"/>
  <c r="M313" i="33"/>
  <c r="D313" i="33"/>
  <c r="N313" i="33"/>
  <c r="L313" i="33"/>
  <c r="K313" i="33"/>
  <c r="J313" i="33"/>
  <c r="I313" i="33"/>
  <c r="G313" i="33"/>
  <c r="H313" i="33"/>
  <c r="F313" i="33"/>
  <c r="E313" i="33"/>
  <c r="M312" i="33"/>
  <c r="L312" i="33"/>
  <c r="K312" i="33"/>
  <c r="J312" i="33"/>
  <c r="I312" i="33"/>
  <c r="G312" i="33"/>
  <c r="H312" i="33"/>
  <c r="F312" i="33"/>
  <c r="E312" i="33"/>
  <c r="D312" i="33"/>
  <c r="M311" i="33"/>
  <c r="D311" i="33"/>
  <c r="L311" i="33"/>
  <c r="K311" i="33"/>
  <c r="J311" i="33"/>
  <c r="I311" i="33"/>
  <c r="G311" i="33"/>
  <c r="H311" i="33"/>
  <c r="F311" i="33"/>
  <c r="E311" i="33"/>
  <c r="M310" i="33"/>
  <c r="N310" i="33"/>
  <c r="D310" i="33"/>
  <c r="L310" i="33"/>
  <c r="K310" i="33"/>
  <c r="J310" i="33"/>
  <c r="I310" i="33"/>
  <c r="G310" i="33"/>
  <c r="H310" i="33" s="1"/>
  <c r="F310" i="33"/>
  <c r="E310" i="33"/>
  <c r="M309" i="33"/>
  <c r="D309" i="33"/>
  <c r="L309" i="33"/>
  <c r="K309" i="33"/>
  <c r="J309" i="33"/>
  <c r="I309" i="33"/>
  <c r="G309" i="33"/>
  <c r="H309" i="33"/>
  <c r="F309" i="33"/>
  <c r="E309" i="33"/>
  <c r="M308" i="33"/>
  <c r="N308" i="33"/>
  <c r="D308" i="33"/>
  <c r="L308" i="33"/>
  <c r="K308" i="33"/>
  <c r="J308" i="33"/>
  <c r="I308" i="33"/>
  <c r="G308" i="33"/>
  <c r="H308" i="33" s="1"/>
  <c r="F308" i="33"/>
  <c r="E308" i="33"/>
  <c r="M307" i="33"/>
  <c r="N307" i="33"/>
  <c r="D307" i="33"/>
  <c r="L307" i="33"/>
  <c r="K307" i="33"/>
  <c r="J307" i="33"/>
  <c r="I307" i="33"/>
  <c r="G307" i="33"/>
  <c r="H307" i="33"/>
  <c r="F307" i="33"/>
  <c r="E307" i="33"/>
  <c r="M306" i="33"/>
  <c r="D306" i="33"/>
  <c r="L306" i="33"/>
  <c r="K306" i="33"/>
  <c r="J306" i="33"/>
  <c r="I306" i="33"/>
  <c r="G306" i="33"/>
  <c r="H306" i="33" s="1"/>
  <c r="F306" i="33"/>
  <c r="E306" i="33"/>
  <c r="M305" i="33"/>
  <c r="L305" i="33"/>
  <c r="K305" i="33"/>
  <c r="J305" i="33"/>
  <c r="I305" i="33"/>
  <c r="G305" i="33"/>
  <c r="H305" i="33" s="1"/>
  <c r="F305" i="33"/>
  <c r="E305" i="33"/>
  <c r="D305" i="33"/>
  <c r="M304" i="33"/>
  <c r="L304" i="33"/>
  <c r="K304" i="33"/>
  <c r="J304" i="33"/>
  <c r="I304" i="33"/>
  <c r="G304" i="33"/>
  <c r="H304" i="33"/>
  <c r="F304" i="33"/>
  <c r="E304" i="33"/>
  <c r="D304" i="33"/>
  <c r="M303" i="33"/>
  <c r="N303" i="33" s="1"/>
  <c r="L303" i="33"/>
  <c r="K303" i="33"/>
  <c r="J303" i="33"/>
  <c r="I303" i="33"/>
  <c r="G303" i="33"/>
  <c r="H303" i="33" s="1"/>
  <c r="F303" i="33"/>
  <c r="E303" i="33"/>
  <c r="D303" i="33"/>
  <c r="M302" i="33"/>
  <c r="N302" i="33"/>
  <c r="L302" i="33"/>
  <c r="K302" i="33"/>
  <c r="J302" i="33"/>
  <c r="I302" i="33"/>
  <c r="G302" i="33"/>
  <c r="H302" i="33"/>
  <c r="F302" i="33"/>
  <c r="E302" i="33"/>
  <c r="D302" i="33"/>
  <c r="M301" i="33"/>
  <c r="D301" i="33"/>
  <c r="L301" i="33"/>
  <c r="K301" i="33"/>
  <c r="J301" i="33"/>
  <c r="I301" i="33"/>
  <c r="G301" i="33"/>
  <c r="H301" i="33"/>
  <c r="F301" i="33"/>
  <c r="E301" i="33"/>
  <c r="M300" i="33"/>
  <c r="N300" i="33"/>
  <c r="D300" i="33"/>
  <c r="L300" i="33"/>
  <c r="K300" i="33"/>
  <c r="J300" i="33"/>
  <c r="I300" i="33"/>
  <c r="G300" i="33"/>
  <c r="H300" i="33" s="1"/>
  <c r="F300" i="33"/>
  <c r="E300" i="33"/>
  <c r="M299" i="33"/>
  <c r="N299" i="33"/>
  <c r="L299" i="33"/>
  <c r="K299" i="33"/>
  <c r="J299" i="33"/>
  <c r="I299" i="33"/>
  <c r="G299" i="33"/>
  <c r="H299" i="33" s="1"/>
  <c r="F299" i="33"/>
  <c r="E299" i="33"/>
  <c r="D299" i="33"/>
  <c r="M298" i="33"/>
  <c r="N298" i="33" s="1"/>
  <c r="L298" i="33"/>
  <c r="K298" i="33"/>
  <c r="J298" i="33"/>
  <c r="I298" i="33"/>
  <c r="G298" i="33"/>
  <c r="H298" i="33" s="1"/>
  <c r="F298" i="33"/>
  <c r="E298" i="33"/>
  <c r="D298" i="33"/>
  <c r="M297" i="33"/>
  <c r="L297" i="33"/>
  <c r="K297" i="33"/>
  <c r="J297" i="33"/>
  <c r="I297" i="33"/>
  <c r="G297" i="33"/>
  <c r="H297" i="33"/>
  <c r="F297" i="33"/>
  <c r="E297" i="33"/>
  <c r="D297" i="33"/>
  <c r="M296" i="33"/>
  <c r="N296" i="33" s="1"/>
  <c r="D296" i="33"/>
  <c r="L296" i="33"/>
  <c r="K296" i="33"/>
  <c r="J296" i="33"/>
  <c r="I296" i="33"/>
  <c r="G296" i="33"/>
  <c r="H296" i="33"/>
  <c r="F296" i="33"/>
  <c r="E296" i="33"/>
  <c r="M295" i="33"/>
  <c r="N295" i="33"/>
  <c r="L295" i="33"/>
  <c r="K295" i="33"/>
  <c r="J295" i="33"/>
  <c r="I295" i="33"/>
  <c r="G295" i="33"/>
  <c r="H295" i="33"/>
  <c r="F295" i="33"/>
  <c r="E295" i="33"/>
  <c r="D295" i="33"/>
  <c r="M294" i="33"/>
  <c r="D294" i="33"/>
  <c r="L294" i="33"/>
  <c r="K294" i="33"/>
  <c r="J294" i="33"/>
  <c r="I294" i="33"/>
  <c r="G294" i="33"/>
  <c r="H294" i="33"/>
  <c r="F294" i="33"/>
  <c r="E294" i="33"/>
  <c r="M293" i="33"/>
  <c r="D293" i="33"/>
  <c r="N293" i="33"/>
  <c r="L293" i="33"/>
  <c r="K293" i="33"/>
  <c r="J293" i="33"/>
  <c r="I293" i="33"/>
  <c r="G293" i="33"/>
  <c r="H293" i="33" s="1"/>
  <c r="F293" i="33"/>
  <c r="E293" i="33"/>
  <c r="M292" i="33"/>
  <c r="D292" i="33"/>
  <c r="L292" i="33"/>
  <c r="K292" i="33"/>
  <c r="J292" i="33"/>
  <c r="I292" i="33"/>
  <c r="G292" i="33"/>
  <c r="H292" i="33"/>
  <c r="F292" i="33"/>
  <c r="E292" i="33"/>
  <c r="M291" i="33"/>
  <c r="L291" i="33"/>
  <c r="K291" i="33"/>
  <c r="J291" i="33"/>
  <c r="I291" i="33"/>
  <c r="G291" i="33"/>
  <c r="H291" i="33" s="1"/>
  <c r="F291" i="33"/>
  <c r="E291" i="33"/>
  <c r="D291" i="33"/>
  <c r="M290" i="33"/>
  <c r="L290" i="33"/>
  <c r="K290" i="33"/>
  <c r="J290" i="33"/>
  <c r="I290" i="33"/>
  <c r="G290" i="33"/>
  <c r="H290" i="33"/>
  <c r="F290" i="33"/>
  <c r="E290" i="33"/>
  <c r="D290" i="33"/>
  <c r="M289" i="33"/>
  <c r="L289" i="33"/>
  <c r="K289" i="33"/>
  <c r="J289" i="33"/>
  <c r="I289" i="33"/>
  <c r="G289" i="33"/>
  <c r="H289" i="33" s="1"/>
  <c r="F289" i="33"/>
  <c r="E289" i="33"/>
  <c r="D289" i="33"/>
  <c r="M288" i="33"/>
  <c r="L288" i="33"/>
  <c r="K288" i="33"/>
  <c r="J288" i="33"/>
  <c r="I288" i="33"/>
  <c r="G288" i="33"/>
  <c r="H288" i="33"/>
  <c r="F288" i="33"/>
  <c r="E288" i="33"/>
  <c r="D288" i="33"/>
  <c r="M287" i="33"/>
  <c r="N287" i="33" s="1"/>
  <c r="D287" i="33"/>
  <c r="L287" i="33"/>
  <c r="K287" i="33"/>
  <c r="J287" i="33"/>
  <c r="I287" i="33"/>
  <c r="G287" i="33"/>
  <c r="H287" i="33"/>
  <c r="F287" i="33"/>
  <c r="E287" i="33"/>
  <c r="M286" i="33"/>
  <c r="L286" i="33"/>
  <c r="K286" i="33"/>
  <c r="J286" i="33"/>
  <c r="I286" i="33"/>
  <c r="G286" i="33"/>
  <c r="H286" i="33"/>
  <c r="F286" i="33"/>
  <c r="E286" i="33"/>
  <c r="D286" i="33"/>
  <c r="M285" i="33"/>
  <c r="N285" i="33" s="1"/>
  <c r="L285" i="33"/>
  <c r="K285" i="33"/>
  <c r="J285" i="33"/>
  <c r="I285" i="33"/>
  <c r="G285" i="33"/>
  <c r="H285" i="33" s="1"/>
  <c r="F285" i="33"/>
  <c r="E285" i="33"/>
  <c r="D285" i="33"/>
  <c r="M284" i="33"/>
  <c r="N284" i="33" s="1"/>
  <c r="D284" i="33"/>
  <c r="L284" i="33"/>
  <c r="K284" i="33"/>
  <c r="J284" i="33"/>
  <c r="I284" i="33"/>
  <c r="G284" i="33"/>
  <c r="H284" i="33" s="1"/>
  <c r="F284" i="33"/>
  <c r="E284" i="33"/>
  <c r="D283" i="33"/>
  <c r="M283" i="33"/>
  <c r="N283" i="33"/>
  <c r="L283" i="33"/>
  <c r="K283" i="33"/>
  <c r="J283" i="33"/>
  <c r="I283" i="33"/>
  <c r="G283" i="33"/>
  <c r="H283" i="33"/>
  <c r="F283" i="33"/>
  <c r="E283" i="33"/>
  <c r="M282" i="33"/>
  <c r="N282" i="33" s="1"/>
  <c r="D282" i="33"/>
  <c r="L282" i="33"/>
  <c r="K282" i="33"/>
  <c r="J282" i="33"/>
  <c r="I282" i="33"/>
  <c r="G282" i="33"/>
  <c r="H282" i="33" s="1"/>
  <c r="F282" i="33"/>
  <c r="E282" i="33"/>
  <c r="M281" i="33"/>
  <c r="D281" i="33"/>
  <c r="L281" i="33"/>
  <c r="K281" i="33"/>
  <c r="J281" i="33"/>
  <c r="I281" i="33"/>
  <c r="G281" i="33"/>
  <c r="H281" i="33"/>
  <c r="F281" i="33"/>
  <c r="E281" i="33"/>
  <c r="M280" i="33"/>
  <c r="N280" i="33" s="1"/>
  <c r="L280" i="33"/>
  <c r="K280" i="33"/>
  <c r="J280" i="33"/>
  <c r="I280" i="33"/>
  <c r="G280" i="33"/>
  <c r="H280" i="33" s="1"/>
  <c r="F280" i="33"/>
  <c r="E280" i="33"/>
  <c r="D280" i="33"/>
  <c r="M279" i="33"/>
  <c r="L279" i="33"/>
  <c r="K279" i="33"/>
  <c r="J279" i="33"/>
  <c r="I279" i="33"/>
  <c r="G279" i="33"/>
  <c r="H279" i="33"/>
  <c r="F279" i="33"/>
  <c r="E279" i="33"/>
  <c r="D279" i="33"/>
  <c r="M278" i="33"/>
  <c r="L278" i="33"/>
  <c r="K278" i="33"/>
  <c r="J278" i="33"/>
  <c r="I278" i="33"/>
  <c r="G278" i="33"/>
  <c r="H278" i="33"/>
  <c r="F278" i="33"/>
  <c r="E278" i="33"/>
  <c r="D278" i="33"/>
  <c r="M277" i="33"/>
  <c r="D277" i="33"/>
  <c r="L277" i="33"/>
  <c r="K277" i="33"/>
  <c r="J277" i="33"/>
  <c r="I277" i="33"/>
  <c r="G277" i="33"/>
  <c r="H277" i="33"/>
  <c r="F277" i="33"/>
  <c r="E277" i="33"/>
  <c r="M276" i="33"/>
  <c r="N276" i="33"/>
  <c r="D276" i="33"/>
  <c r="L276" i="33"/>
  <c r="K276" i="33"/>
  <c r="J276" i="33"/>
  <c r="I276" i="33"/>
  <c r="G276" i="33"/>
  <c r="H276" i="33" s="1"/>
  <c r="F276" i="33"/>
  <c r="E276" i="33"/>
  <c r="M275" i="33"/>
  <c r="L275" i="33"/>
  <c r="K275" i="33"/>
  <c r="J275" i="33"/>
  <c r="I275" i="33"/>
  <c r="G275" i="33"/>
  <c r="H275" i="33" s="1"/>
  <c r="F275" i="33"/>
  <c r="E275" i="33"/>
  <c r="D275" i="33"/>
  <c r="M274" i="33"/>
  <c r="N274" i="33"/>
  <c r="D274" i="33"/>
  <c r="L274" i="33"/>
  <c r="K274" i="33"/>
  <c r="J274" i="33"/>
  <c r="I274" i="33"/>
  <c r="G274" i="33"/>
  <c r="H274" i="33" s="1"/>
  <c r="F274" i="33"/>
  <c r="E274" i="33"/>
  <c r="M273" i="33"/>
  <c r="D273" i="33"/>
  <c r="N273" i="33"/>
  <c r="L273" i="33"/>
  <c r="K273" i="33"/>
  <c r="J273" i="33"/>
  <c r="I273" i="33"/>
  <c r="G273" i="33"/>
  <c r="H273" i="33"/>
  <c r="F273" i="33"/>
  <c r="E273" i="33"/>
  <c r="M272" i="33"/>
  <c r="D272" i="33"/>
  <c r="L272" i="33"/>
  <c r="K272" i="33"/>
  <c r="J272" i="33"/>
  <c r="I272" i="33"/>
  <c r="G272" i="33"/>
  <c r="H272" i="33" s="1"/>
  <c r="F272" i="33"/>
  <c r="E272" i="33"/>
  <c r="M271" i="33"/>
  <c r="N271" i="33" s="1"/>
  <c r="L271" i="33"/>
  <c r="K271" i="33"/>
  <c r="J271" i="33"/>
  <c r="I271" i="33"/>
  <c r="G271" i="33"/>
  <c r="H271" i="33"/>
  <c r="F271" i="33"/>
  <c r="E271" i="33"/>
  <c r="D271" i="33"/>
  <c r="M270" i="33"/>
  <c r="L270" i="33"/>
  <c r="K270" i="33"/>
  <c r="J270" i="33"/>
  <c r="I270" i="33"/>
  <c r="G270" i="33"/>
  <c r="H270" i="33"/>
  <c r="F270" i="33"/>
  <c r="E270" i="33"/>
  <c r="D270" i="33"/>
  <c r="M269" i="33"/>
  <c r="L269" i="33"/>
  <c r="K269" i="33"/>
  <c r="J269" i="33"/>
  <c r="I269" i="33"/>
  <c r="G269" i="33"/>
  <c r="H269" i="33" s="1"/>
  <c r="F269" i="33"/>
  <c r="E269" i="33"/>
  <c r="D269" i="33"/>
  <c r="M268" i="33"/>
  <c r="L268" i="33"/>
  <c r="K268" i="33"/>
  <c r="J268" i="33"/>
  <c r="I268" i="33"/>
  <c r="G268" i="33"/>
  <c r="H268" i="33" s="1"/>
  <c r="F268" i="33"/>
  <c r="E268" i="33"/>
  <c r="D268" i="33"/>
  <c r="M267" i="33"/>
  <c r="L267" i="33"/>
  <c r="K267" i="33"/>
  <c r="J267" i="33"/>
  <c r="I267" i="33"/>
  <c r="G267" i="33"/>
  <c r="H267" i="33"/>
  <c r="F267" i="33"/>
  <c r="E267" i="33"/>
  <c r="D267" i="33"/>
  <c r="M266" i="33"/>
  <c r="D266" i="33"/>
  <c r="N266" i="33"/>
  <c r="L266" i="33"/>
  <c r="K266" i="33"/>
  <c r="J266" i="33"/>
  <c r="I266" i="33"/>
  <c r="G266" i="33"/>
  <c r="H266" i="33"/>
  <c r="F266" i="33"/>
  <c r="E266" i="33"/>
  <c r="M265" i="33"/>
  <c r="N265" i="33" s="1"/>
  <c r="D265" i="33"/>
  <c r="L265" i="33"/>
  <c r="K265" i="33"/>
  <c r="J265" i="33"/>
  <c r="I265" i="33"/>
  <c r="G265" i="33"/>
  <c r="H265" i="33"/>
  <c r="F265" i="33"/>
  <c r="E265" i="33"/>
  <c r="M264" i="33"/>
  <c r="L264" i="33"/>
  <c r="K264" i="33"/>
  <c r="J264" i="33"/>
  <c r="I264" i="33"/>
  <c r="G264" i="33"/>
  <c r="H264" i="33"/>
  <c r="F264" i="33"/>
  <c r="E264" i="33"/>
  <c r="D264" i="33"/>
  <c r="M263" i="33"/>
  <c r="L263" i="33"/>
  <c r="K263" i="33"/>
  <c r="J263" i="33"/>
  <c r="I263" i="33"/>
  <c r="G263" i="33"/>
  <c r="H263" i="33"/>
  <c r="F263" i="33"/>
  <c r="E263" i="33"/>
  <c r="D263" i="33"/>
  <c r="M262" i="33"/>
  <c r="N262" i="33"/>
  <c r="D262" i="33"/>
  <c r="L262" i="33"/>
  <c r="K262" i="33"/>
  <c r="J262" i="33"/>
  <c r="I262" i="33"/>
  <c r="G262" i="33"/>
  <c r="H262" i="33"/>
  <c r="F262" i="33"/>
  <c r="E262" i="33"/>
  <c r="M261" i="33"/>
  <c r="D261" i="33"/>
  <c r="L261" i="33"/>
  <c r="K261" i="33"/>
  <c r="J261" i="33"/>
  <c r="I261" i="33"/>
  <c r="G261" i="33"/>
  <c r="H261" i="33" s="1"/>
  <c r="F261" i="33"/>
  <c r="E261" i="33"/>
  <c r="M260" i="33"/>
  <c r="D260" i="33"/>
  <c r="L260" i="33"/>
  <c r="K260" i="33"/>
  <c r="J260" i="33"/>
  <c r="I260" i="33"/>
  <c r="G260" i="33"/>
  <c r="H260" i="33" s="1"/>
  <c r="F260" i="33"/>
  <c r="E260" i="33"/>
  <c r="M259" i="33"/>
  <c r="N259" i="33"/>
  <c r="D259" i="33"/>
  <c r="L259" i="33"/>
  <c r="K259" i="33"/>
  <c r="J259" i="33"/>
  <c r="I259" i="33"/>
  <c r="G259" i="33"/>
  <c r="H259" i="33" s="1"/>
  <c r="F259" i="33"/>
  <c r="E259" i="33"/>
  <c r="M258" i="33"/>
  <c r="L258" i="33"/>
  <c r="K258" i="33"/>
  <c r="J258" i="33"/>
  <c r="I258" i="33"/>
  <c r="G258" i="33"/>
  <c r="H258" i="33" s="1"/>
  <c r="F258" i="33"/>
  <c r="E258" i="33"/>
  <c r="D258" i="33"/>
  <c r="M257" i="33"/>
  <c r="L257" i="33"/>
  <c r="K257" i="33"/>
  <c r="J257" i="33"/>
  <c r="I257" i="33"/>
  <c r="G257" i="33"/>
  <c r="H257" i="33"/>
  <c r="F257" i="33"/>
  <c r="E257" i="33"/>
  <c r="D257" i="33"/>
  <c r="M256" i="33"/>
  <c r="L256" i="33"/>
  <c r="K256" i="33"/>
  <c r="J256" i="33"/>
  <c r="I256" i="33"/>
  <c r="G256" i="33"/>
  <c r="H256" i="33"/>
  <c r="F256" i="33"/>
  <c r="E256" i="33"/>
  <c r="D256" i="33"/>
  <c r="M255" i="33"/>
  <c r="N255" i="33"/>
  <c r="L255" i="33"/>
  <c r="K255" i="33"/>
  <c r="J255" i="33"/>
  <c r="I255" i="33"/>
  <c r="G255" i="33"/>
  <c r="H255" i="33"/>
  <c r="F255" i="33"/>
  <c r="E255" i="33"/>
  <c r="D255" i="33"/>
  <c r="M254" i="33"/>
  <c r="D254" i="33"/>
  <c r="L254" i="33"/>
  <c r="K254" i="33"/>
  <c r="J254" i="33"/>
  <c r="I254" i="33"/>
  <c r="G254" i="33"/>
  <c r="H254" i="33" s="1"/>
  <c r="F254" i="33"/>
  <c r="E254" i="33"/>
  <c r="M253" i="33"/>
  <c r="N253" i="33"/>
  <c r="D253" i="33"/>
  <c r="L253" i="33"/>
  <c r="K253" i="33"/>
  <c r="J253" i="33"/>
  <c r="I253" i="33"/>
  <c r="G253" i="33"/>
  <c r="H253" i="33"/>
  <c r="F253" i="33"/>
  <c r="E253" i="33"/>
  <c r="M252" i="33"/>
  <c r="D252" i="33"/>
  <c r="L252" i="33"/>
  <c r="K252" i="33"/>
  <c r="J252" i="33"/>
  <c r="I252" i="33"/>
  <c r="G252" i="33"/>
  <c r="H252" i="33" s="1"/>
  <c r="F252" i="33"/>
  <c r="E252" i="33"/>
  <c r="M251" i="33"/>
  <c r="D251" i="33"/>
  <c r="N251" i="33"/>
  <c r="L251" i="33"/>
  <c r="K251" i="33"/>
  <c r="J251" i="33"/>
  <c r="I251" i="33"/>
  <c r="G251" i="33"/>
  <c r="H251" i="33"/>
  <c r="F251" i="33"/>
  <c r="E251" i="33"/>
  <c r="M250" i="33"/>
  <c r="D250" i="33"/>
  <c r="L250" i="33"/>
  <c r="K250" i="33"/>
  <c r="J250" i="33"/>
  <c r="I250" i="33"/>
  <c r="G250" i="33"/>
  <c r="H250" i="33" s="1"/>
  <c r="F250" i="33"/>
  <c r="E250" i="33"/>
  <c r="M249" i="33"/>
  <c r="N249" i="33" s="1"/>
  <c r="D249" i="33"/>
  <c r="L249" i="33"/>
  <c r="K249" i="33"/>
  <c r="J249" i="33"/>
  <c r="I249" i="33"/>
  <c r="G249" i="33"/>
  <c r="H249" i="33"/>
  <c r="F249" i="33"/>
  <c r="E249" i="33"/>
  <c r="M248" i="33"/>
  <c r="N248" i="33" s="1"/>
  <c r="D248" i="33"/>
  <c r="L248" i="33"/>
  <c r="K248" i="33"/>
  <c r="J248" i="33"/>
  <c r="I248" i="33"/>
  <c r="G248" i="33"/>
  <c r="H248" i="33"/>
  <c r="F248" i="33"/>
  <c r="E248" i="33"/>
  <c r="M247" i="33"/>
  <c r="L247" i="33"/>
  <c r="K247" i="33"/>
  <c r="J247" i="33"/>
  <c r="I247" i="33"/>
  <c r="G247" i="33"/>
  <c r="H247" i="33"/>
  <c r="F247" i="33"/>
  <c r="E247" i="33"/>
  <c r="D247" i="33"/>
  <c r="M246" i="33"/>
  <c r="N246" i="33" s="1"/>
  <c r="L246" i="33"/>
  <c r="K246" i="33"/>
  <c r="J246" i="33"/>
  <c r="I246" i="33"/>
  <c r="G246" i="33"/>
  <c r="H246" i="33" s="1"/>
  <c r="F246" i="33"/>
  <c r="E246" i="33"/>
  <c r="D246" i="33"/>
  <c r="M245" i="33"/>
  <c r="D245" i="33"/>
  <c r="L245" i="33"/>
  <c r="K245" i="33"/>
  <c r="J245" i="33"/>
  <c r="I245" i="33"/>
  <c r="G245" i="33"/>
  <c r="H245" i="33"/>
  <c r="F245" i="33"/>
  <c r="E245" i="33"/>
  <c r="M244" i="33"/>
  <c r="N244" i="33" s="1"/>
  <c r="D244" i="33"/>
  <c r="L244" i="33"/>
  <c r="K244" i="33"/>
  <c r="J244" i="33"/>
  <c r="I244" i="33"/>
  <c r="G244" i="33"/>
  <c r="H244" i="33" s="1"/>
  <c r="F244" i="33"/>
  <c r="E244" i="33"/>
  <c r="M243" i="33"/>
  <c r="D243" i="33"/>
  <c r="L243" i="33"/>
  <c r="K243" i="33"/>
  <c r="J243" i="33"/>
  <c r="I243" i="33"/>
  <c r="G243" i="33"/>
  <c r="H243" i="33"/>
  <c r="F243" i="33"/>
  <c r="E243" i="33"/>
  <c r="M242" i="33"/>
  <c r="N242" i="33" s="1"/>
  <c r="L242" i="33"/>
  <c r="K242" i="33"/>
  <c r="J242" i="33"/>
  <c r="I242" i="33"/>
  <c r="G242" i="33"/>
  <c r="H242" i="33" s="1"/>
  <c r="F242" i="33"/>
  <c r="E242" i="33"/>
  <c r="D242" i="33"/>
  <c r="M241" i="33"/>
  <c r="L241" i="33"/>
  <c r="K241" i="33"/>
  <c r="J241" i="33"/>
  <c r="I241" i="33"/>
  <c r="G241" i="33"/>
  <c r="H241" i="33"/>
  <c r="F241" i="33"/>
  <c r="E241" i="33"/>
  <c r="D241" i="33"/>
  <c r="M240" i="33"/>
  <c r="L240" i="33"/>
  <c r="K240" i="33"/>
  <c r="J240" i="33"/>
  <c r="I240" i="33"/>
  <c r="G240" i="33"/>
  <c r="H240" i="33"/>
  <c r="F240" i="33"/>
  <c r="E240" i="33"/>
  <c r="D240" i="33"/>
  <c r="M239" i="33"/>
  <c r="N239" i="33"/>
  <c r="D239" i="33"/>
  <c r="L239" i="33"/>
  <c r="K239" i="33"/>
  <c r="J239" i="33"/>
  <c r="I239" i="33"/>
  <c r="G239" i="33"/>
  <c r="H239" i="33"/>
  <c r="F239" i="33"/>
  <c r="E239" i="33"/>
  <c r="M238" i="33"/>
  <c r="N238" i="33" s="1"/>
  <c r="D238" i="33"/>
  <c r="L238" i="33"/>
  <c r="K238" i="33"/>
  <c r="J238" i="33"/>
  <c r="I238" i="33"/>
  <c r="G238" i="33"/>
  <c r="H238" i="33"/>
  <c r="F238" i="33"/>
  <c r="E238" i="33"/>
  <c r="M237" i="33"/>
  <c r="L237" i="33"/>
  <c r="K237" i="33"/>
  <c r="J237" i="33"/>
  <c r="I237" i="33"/>
  <c r="G237" i="33"/>
  <c r="H237" i="33" s="1"/>
  <c r="F237" i="33"/>
  <c r="E237" i="33"/>
  <c r="D237" i="33"/>
  <c r="M236" i="33"/>
  <c r="N236" i="33" s="1"/>
  <c r="D236" i="33"/>
  <c r="L236" i="33"/>
  <c r="K236" i="33"/>
  <c r="J236" i="33"/>
  <c r="I236" i="33"/>
  <c r="G236" i="33"/>
  <c r="H236" i="33" s="1"/>
  <c r="F236" i="33"/>
  <c r="E236" i="33"/>
  <c r="M235" i="33"/>
  <c r="L235" i="33"/>
  <c r="K235" i="33"/>
  <c r="J235" i="33"/>
  <c r="I235" i="33"/>
  <c r="G235" i="33"/>
  <c r="H235" i="33"/>
  <c r="F235" i="33"/>
  <c r="E235" i="33"/>
  <c r="D235" i="33"/>
  <c r="M234" i="33"/>
  <c r="L234" i="33"/>
  <c r="K234" i="33"/>
  <c r="J234" i="33"/>
  <c r="I234" i="33"/>
  <c r="G234" i="33"/>
  <c r="H234" i="33"/>
  <c r="F234" i="33"/>
  <c r="E234" i="33"/>
  <c r="D234" i="33"/>
  <c r="M233" i="33"/>
  <c r="L233" i="33"/>
  <c r="K233" i="33"/>
  <c r="J233" i="33"/>
  <c r="I233" i="33"/>
  <c r="G233" i="33"/>
  <c r="H233" i="33" s="1"/>
  <c r="F233" i="33"/>
  <c r="E233" i="33"/>
  <c r="D233" i="33"/>
  <c r="M232" i="33"/>
  <c r="D232" i="33"/>
  <c r="L232" i="33"/>
  <c r="K232" i="33"/>
  <c r="J232" i="33"/>
  <c r="I232" i="33"/>
  <c r="G232" i="33"/>
  <c r="H232" i="33"/>
  <c r="F232" i="33"/>
  <c r="E232" i="33"/>
  <c r="M231" i="33"/>
  <c r="N231" i="33" s="1"/>
  <c r="L231" i="33"/>
  <c r="K231" i="33"/>
  <c r="J231" i="33"/>
  <c r="I231" i="33"/>
  <c r="G231" i="33"/>
  <c r="H231" i="33" s="1"/>
  <c r="F231" i="33"/>
  <c r="E231" i="33"/>
  <c r="D231" i="33"/>
  <c r="M230" i="33"/>
  <c r="N230" i="33"/>
  <c r="D230" i="33"/>
  <c r="L230" i="33"/>
  <c r="K230" i="33"/>
  <c r="J230" i="33"/>
  <c r="I230" i="33"/>
  <c r="G230" i="33"/>
  <c r="H230" i="33" s="1"/>
  <c r="F230" i="33"/>
  <c r="E230" i="33"/>
  <c r="M229" i="33"/>
  <c r="N229" i="33"/>
  <c r="D229" i="33"/>
  <c r="L229" i="33"/>
  <c r="K229" i="33"/>
  <c r="J229" i="33"/>
  <c r="I229" i="33"/>
  <c r="G229" i="33"/>
  <c r="H229" i="33"/>
  <c r="F229" i="33"/>
  <c r="E229" i="33"/>
  <c r="M228" i="33"/>
  <c r="N228" i="33" s="1"/>
  <c r="L228" i="33"/>
  <c r="K228" i="33"/>
  <c r="J228" i="33"/>
  <c r="I228" i="33"/>
  <c r="G228" i="33"/>
  <c r="H228" i="33" s="1"/>
  <c r="F228" i="33"/>
  <c r="E228" i="33"/>
  <c r="D228" i="33"/>
  <c r="M227" i="33"/>
  <c r="L227" i="33"/>
  <c r="K227" i="33"/>
  <c r="J227" i="33"/>
  <c r="I227" i="33"/>
  <c r="G227" i="33"/>
  <c r="H227" i="33"/>
  <c r="F227" i="33"/>
  <c r="E227" i="33"/>
  <c r="D227" i="33"/>
  <c r="M226" i="33"/>
  <c r="N226" i="33" s="1"/>
  <c r="D226" i="33"/>
  <c r="L226" i="33"/>
  <c r="K226" i="33"/>
  <c r="J226" i="33"/>
  <c r="I226" i="33"/>
  <c r="G226" i="33"/>
  <c r="H226" i="33"/>
  <c r="F226" i="33"/>
  <c r="E226" i="33"/>
  <c r="M225" i="33"/>
  <c r="N225" i="33"/>
  <c r="D225" i="33"/>
  <c r="L225" i="33"/>
  <c r="K225" i="33"/>
  <c r="J225" i="33"/>
  <c r="I225" i="33"/>
  <c r="G225" i="33"/>
  <c r="H225" i="33" s="1"/>
  <c r="F225" i="33"/>
  <c r="E225" i="33"/>
  <c r="M224" i="33"/>
  <c r="N224" i="33" s="1"/>
  <c r="D224" i="33"/>
  <c r="L224" i="33"/>
  <c r="K224" i="33"/>
  <c r="J224" i="33"/>
  <c r="I224" i="33"/>
  <c r="G224" i="33"/>
  <c r="H224" i="33"/>
  <c r="F224" i="33"/>
  <c r="E224" i="33"/>
  <c r="M223" i="33"/>
  <c r="D223" i="33"/>
  <c r="L223" i="33"/>
  <c r="K223" i="33"/>
  <c r="J223" i="33"/>
  <c r="I223" i="33"/>
  <c r="G223" i="33"/>
  <c r="H223" i="33" s="1"/>
  <c r="F223" i="33"/>
  <c r="E223" i="33"/>
  <c r="M222" i="33"/>
  <c r="N222" i="33"/>
  <c r="D222" i="33"/>
  <c r="L222" i="33"/>
  <c r="K222" i="33"/>
  <c r="J222" i="33"/>
  <c r="I222" i="33"/>
  <c r="G222" i="33"/>
  <c r="H222" i="33"/>
  <c r="F222" i="33"/>
  <c r="E222" i="33"/>
  <c r="M221" i="33"/>
  <c r="D221" i="33"/>
  <c r="L221" i="33"/>
  <c r="K221" i="33"/>
  <c r="J221" i="33"/>
  <c r="I221" i="33"/>
  <c r="G221" i="33"/>
  <c r="H221" i="33" s="1"/>
  <c r="F221" i="33"/>
  <c r="E221" i="33"/>
  <c r="M220" i="33"/>
  <c r="N220" i="33"/>
  <c r="L220" i="33"/>
  <c r="K220" i="33"/>
  <c r="J220" i="33"/>
  <c r="I220" i="33"/>
  <c r="G220" i="33"/>
  <c r="H220" i="33" s="1"/>
  <c r="F220" i="33"/>
  <c r="E220" i="33"/>
  <c r="D220" i="33"/>
  <c r="M219" i="33"/>
  <c r="L219" i="33"/>
  <c r="K219" i="33"/>
  <c r="J219" i="33"/>
  <c r="I219" i="33"/>
  <c r="G219" i="33"/>
  <c r="H219" i="33"/>
  <c r="F219" i="33"/>
  <c r="E219" i="33"/>
  <c r="D219" i="33"/>
  <c r="M218" i="33"/>
  <c r="L218" i="33"/>
  <c r="K218" i="33"/>
  <c r="J218" i="33"/>
  <c r="I218" i="33"/>
  <c r="G218" i="33"/>
  <c r="H218" i="33" s="1"/>
  <c r="F218" i="33"/>
  <c r="E218" i="33"/>
  <c r="D218" i="33"/>
  <c r="M217" i="33"/>
  <c r="D217" i="33"/>
  <c r="L217" i="33"/>
  <c r="K217" i="33"/>
  <c r="J217" i="33"/>
  <c r="I217" i="33"/>
  <c r="G217" i="33"/>
  <c r="H217" i="33"/>
  <c r="F217" i="33"/>
  <c r="E217" i="33"/>
  <c r="M216" i="33"/>
  <c r="N216" i="33" s="1"/>
  <c r="D216" i="33"/>
  <c r="L216" i="33"/>
  <c r="K216" i="33"/>
  <c r="J216" i="33"/>
  <c r="I216" i="33"/>
  <c r="G216" i="33"/>
  <c r="H216" i="33"/>
  <c r="F216" i="33"/>
  <c r="E216" i="33"/>
  <c r="M215" i="33"/>
  <c r="D215" i="33"/>
  <c r="L215" i="33"/>
  <c r="K215" i="33"/>
  <c r="J215" i="33"/>
  <c r="I215" i="33"/>
  <c r="G215" i="33"/>
  <c r="H215" i="33"/>
  <c r="F215" i="33"/>
  <c r="E215" i="33"/>
  <c r="M214" i="33"/>
  <c r="N214" i="33" s="1"/>
  <c r="L214" i="33"/>
  <c r="K214" i="33"/>
  <c r="J214" i="33"/>
  <c r="I214" i="33"/>
  <c r="G214" i="33"/>
  <c r="H214" i="33" s="1"/>
  <c r="F214" i="33"/>
  <c r="E214" i="33"/>
  <c r="D214" i="33"/>
  <c r="M213" i="33"/>
  <c r="L213" i="33"/>
  <c r="K213" i="33"/>
  <c r="J213" i="33"/>
  <c r="I213" i="33"/>
  <c r="G213" i="33"/>
  <c r="H213" i="33" s="1"/>
  <c r="F213" i="33"/>
  <c r="E213" i="33"/>
  <c r="D213" i="33"/>
  <c r="M212" i="33"/>
  <c r="N212" i="33" s="1"/>
  <c r="D212" i="33"/>
  <c r="L212" i="33"/>
  <c r="K212" i="33"/>
  <c r="J212" i="33"/>
  <c r="I212" i="33"/>
  <c r="G212" i="33"/>
  <c r="H212" i="33" s="1"/>
  <c r="F212" i="33"/>
  <c r="E212" i="33"/>
  <c r="D211" i="33"/>
  <c r="M211" i="33"/>
  <c r="N211" i="33" s="1"/>
  <c r="L211" i="33"/>
  <c r="K211" i="33"/>
  <c r="J211" i="33"/>
  <c r="I211" i="33"/>
  <c r="G211" i="33"/>
  <c r="H211" i="33" s="1"/>
  <c r="F211" i="33"/>
  <c r="E211" i="33"/>
  <c r="M210" i="33"/>
  <c r="D210" i="33"/>
  <c r="N210" i="33"/>
  <c r="L210" i="33"/>
  <c r="K210" i="33"/>
  <c r="J210" i="33"/>
  <c r="I210" i="33"/>
  <c r="G210" i="33"/>
  <c r="H210" i="33"/>
  <c r="F210" i="33"/>
  <c r="E210" i="33"/>
  <c r="M209" i="33"/>
  <c r="N209" i="33" s="1"/>
  <c r="D209" i="33"/>
  <c r="L209" i="33"/>
  <c r="K209" i="33"/>
  <c r="J209" i="33"/>
  <c r="I209" i="33"/>
  <c r="G209" i="33"/>
  <c r="H209" i="33"/>
  <c r="F209" i="33"/>
  <c r="E209" i="33"/>
  <c r="M208" i="33"/>
  <c r="L208" i="33"/>
  <c r="K208" i="33"/>
  <c r="J208" i="33"/>
  <c r="I208" i="33"/>
  <c r="G208" i="33"/>
  <c r="H208" i="33"/>
  <c r="F208" i="33"/>
  <c r="E208" i="33"/>
  <c r="D208" i="33"/>
  <c r="M207" i="33"/>
  <c r="L207" i="33"/>
  <c r="K207" i="33"/>
  <c r="J207" i="33"/>
  <c r="I207" i="33"/>
  <c r="G207" i="33"/>
  <c r="H207" i="33"/>
  <c r="F207" i="33"/>
  <c r="E207" i="33"/>
  <c r="D207" i="33"/>
  <c r="M206" i="33"/>
  <c r="D206" i="33"/>
  <c r="L206" i="33"/>
  <c r="K206" i="33"/>
  <c r="J206" i="33"/>
  <c r="I206" i="33"/>
  <c r="G206" i="33"/>
  <c r="H206" i="33"/>
  <c r="F206" i="33"/>
  <c r="E206" i="33"/>
  <c r="M205" i="33"/>
  <c r="N205" i="33"/>
  <c r="D205" i="33"/>
  <c r="L205" i="33"/>
  <c r="K205" i="33"/>
  <c r="J205" i="33"/>
  <c r="I205" i="33"/>
  <c r="G205" i="33"/>
  <c r="H205" i="33" s="1"/>
  <c r="F205" i="33"/>
  <c r="E205" i="33"/>
  <c r="M204" i="33"/>
  <c r="L204" i="33"/>
  <c r="K204" i="33"/>
  <c r="J204" i="33"/>
  <c r="I204" i="33"/>
  <c r="G204" i="33"/>
  <c r="H204" i="33" s="1"/>
  <c r="F204" i="33"/>
  <c r="E204" i="33"/>
  <c r="D204" i="33"/>
  <c r="M203" i="33"/>
  <c r="L203" i="33"/>
  <c r="K203" i="33"/>
  <c r="J203" i="33"/>
  <c r="I203" i="33"/>
  <c r="G203" i="33"/>
  <c r="H203" i="33"/>
  <c r="F203" i="33"/>
  <c r="E203" i="33"/>
  <c r="D203" i="33"/>
  <c r="M202" i="33"/>
  <c r="L202" i="33"/>
  <c r="K202" i="33"/>
  <c r="J202" i="33"/>
  <c r="I202" i="33"/>
  <c r="G202" i="33"/>
  <c r="H202" i="33"/>
  <c r="F202" i="33"/>
  <c r="E202" i="33"/>
  <c r="D202" i="33"/>
  <c r="M201" i="33"/>
  <c r="N201" i="33" s="1"/>
  <c r="D201" i="33"/>
  <c r="L201" i="33"/>
  <c r="K201" i="33"/>
  <c r="J201" i="33"/>
  <c r="I201" i="33"/>
  <c r="G201" i="33"/>
  <c r="H201" i="33"/>
  <c r="F201" i="33"/>
  <c r="E201" i="33"/>
  <c r="M200" i="33"/>
  <c r="N200" i="33" s="1"/>
  <c r="D200" i="33"/>
  <c r="L200" i="33"/>
  <c r="K200" i="33"/>
  <c r="J200" i="33"/>
  <c r="I200" i="33"/>
  <c r="G200" i="33"/>
  <c r="H200" i="33"/>
  <c r="F200" i="33"/>
  <c r="E200" i="33"/>
  <c r="M199" i="33"/>
  <c r="L199" i="33"/>
  <c r="K199" i="33"/>
  <c r="J199" i="33"/>
  <c r="I199" i="33"/>
  <c r="G199" i="33"/>
  <c r="H199" i="33"/>
  <c r="F199" i="33"/>
  <c r="E199" i="33"/>
  <c r="D199" i="33"/>
  <c r="M198" i="33"/>
  <c r="N198" i="33" s="1"/>
  <c r="D198" i="33"/>
  <c r="L198" i="33"/>
  <c r="K198" i="33"/>
  <c r="J198" i="33"/>
  <c r="I198" i="33"/>
  <c r="G198" i="33"/>
  <c r="H198" i="33"/>
  <c r="F198" i="33"/>
  <c r="E198" i="33"/>
  <c r="M197" i="33"/>
  <c r="L197" i="33"/>
  <c r="K197" i="33"/>
  <c r="J197" i="33"/>
  <c r="I197" i="33"/>
  <c r="G197" i="33"/>
  <c r="H197" i="33" s="1"/>
  <c r="F197" i="33"/>
  <c r="E197" i="33"/>
  <c r="D197" i="33"/>
  <c r="M196" i="33"/>
  <c r="L196" i="33"/>
  <c r="K196" i="33"/>
  <c r="J196" i="33"/>
  <c r="I196" i="33"/>
  <c r="G196" i="33"/>
  <c r="H196" i="33"/>
  <c r="F196" i="33"/>
  <c r="E196" i="33"/>
  <c r="D196" i="33"/>
  <c r="M195" i="33"/>
  <c r="L195" i="33"/>
  <c r="K195" i="33"/>
  <c r="J195" i="33"/>
  <c r="I195" i="33"/>
  <c r="G195" i="33"/>
  <c r="H195" i="33" s="1"/>
  <c r="F195" i="33"/>
  <c r="E195" i="33"/>
  <c r="D195" i="33"/>
  <c r="M194" i="33"/>
  <c r="N194" i="33"/>
  <c r="D194" i="33"/>
  <c r="L194" i="33"/>
  <c r="K194" i="33"/>
  <c r="J194" i="33"/>
  <c r="I194" i="33"/>
  <c r="G194" i="33"/>
  <c r="H194" i="33" s="1"/>
  <c r="F194" i="33"/>
  <c r="E194" i="33"/>
  <c r="M193" i="33"/>
  <c r="N193" i="33" s="1"/>
  <c r="D193" i="33"/>
  <c r="L193" i="33"/>
  <c r="K193" i="33"/>
  <c r="J193" i="33"/>
  <c r="I193" i="33"/>
  <c r="G193" i="33"/>
  <c r="H193" i="33"/>
  <c r="F193" i="33"/>
  <c r="E193" i="33"/>
  <c r="M192" i="33"/>
  <c r="N192" i="33" s="1"/>
  <c r="D192" i="33"/>
  <c r="L192" i="33"/>
  <c r="K192" i="33"/>
  <c r="J192" i="33"/>
  <c r="I192" i="33"/>
  <c r="G192" i="33"/>
  <c r="H192" i="33"/>
  <c r="F192" i="33"/>
  <c r="E192" i="33"/>
  <c r="M191" i="33"/>
  <c r="N191" i="33"/>
  <c r="D191" i="33"/>
  <c r="L191" i="33"/>
  <c r="K191" i="33"/>
  <c r="J191" i="33"/>
  <c r="I191" i="33"/>
  <c r="G191" i="33"/>
  <c r="H191" i="33" s="1"/>
  <c r="F191" i="33"/>
  <c r="E191" i="33"/>
  <c r="M190" i="33"/>
  <c r="N190" i="33"/>
  <c r="L190" i="33"/>
  <c r="K190" i="33"/>
  <c r="J190" i="33"/>
  <c r="I190" i="33"/>
  <c r="G190" i="33"/>
  <c r="H190" i="33"/>
  <c r="F190" i="33"/>
  <c r="E190" i="33"/>
  <c r="D190" i="33"/>
  <c r="M189" i="33"/>
  <c r="L189" i="33"/>
  <c r="K189" i="33"/>
  <c r="J189" i="33"/>
  <c r="I189" i="33"/>
  <c r="G189" i="33"/>
  <c r="H189" i="33"/>
  <c r="F189" i="33"/>
  <c r="E189" i="33"/>
  <c r="D189" i="33"/>
  <c r="M188" i="33"/>
  <c r="D188" i="33"/>
  <c r="L188" i="33"/>
  <c r="K188" i="33"/>
  <c r="J188" i="33"/>
  <c r="I188" i="33"/>
  <c r="G188" i="33"/>
  <c r="H188" i="33" s="1"/>
  <c r="F188" i="33"/>
  <c r="E188" i="33"/>
  <c r="M187" i="33"/>
  <c r="D187" i="33"/>
  <c r="L187" i="33"/>
  <c r="K187" i="33"/>
  <c r="J187" i="33"/>
  <c r="I187" i="33"/>
  <c r="G187" i="33"/>
  <c r="H187" i="33"/>
  <c r="F187" i="33"/>
  <c r="E187" i="33"/>
  <c r="M186" i="33"/>
  <c r="N186" i="33" s="1"/>
  <c r="L186" i="33"/>
  <c r="K186" i="33"/>
  <c r="J186" i="33"/>
  <c r="I186" i="33"/>
  <c r="G186" i="33"/>
  <c r="H186" i="33" s="1"/>
  <c r="F186" i="33"/>
  <c r="E186" i="33"/>
  <c r="D186" i="33"/>
  <c r="M185" i="33"/>
  <c r="D185" i="33"/>
  <c r="L185" i="33"/>
  <c r="K185" i="33"/>
  <c r="J185" i="33"/>
  <c r="I185" i="33"/>
  <c r="G185" i="33"/>
  <c r="H185" i="33"/>
  <c r="F185" i="33"/>
  <c r="E185" i="33"/>
  <c r="M184" i="33"/>
  <c r="N184" i="33" s="1"/>
  <c r="D184" i="33"/>
  <c r="L184" i="33"/>
  <c r="K184" i="33"/>
  <c r="J184" i="33"/>
  <c r="I184" i="33"/>
  <c r="G184" i="33"/>
  <c r="H184" i="33"/>
  <c r="F184" i="33"/>
  <c r="E184" i="33"/>
  <c r="M183" i="33"/>
  <c r="L183" i="33"/>
  <c r="K183" i="33"/>
  <c r="J183" i="33"/>
  <c r="I183" i="33"/>
  <c r="G183" i="33"/>
  <c r="H183" i="33"/>
  <c r="F183" i="33"/>
  <c r="E183" i="33"/>
  <c r="D183" i="33"/>
  <c r="M182" i="33"/>
  <c r="N182" i="33" s="1"/>
  <c r="L182" i="33"/>
  <c r="K182" i="33"/>
  <c r="J182" i="33"/>
  <c r="I182" i="33"/>
  <c r="G182" i="33"/>
  <c r="H182" i="33"/>
  <c r="F182" i="33"/>
  <c r="E182" i="33"/>
  <c r="D182" i="33"/>
  <c r="M181" i="33"/>
  <c r="L181" i="33"/>
  <c r="K181" i="33"/>
  <c r="J181" i="33"/>
  <c r="I181" i="33"/>
  <c r="G181" i="33"/>
  <c r="H181" i="33" s="1"/>
  <c r="F181" i="33"/>
  <c r="E181" i="33"/>
  <c r="D181" i="33"/>
  <c r="M180" i="33"/>
  <c r="N180" i="33"/>
  <c r="D180" i="33"/>
  <c r="L180" i="33"/>
  <c r="K180" i="33"/>
  <c r="J180" i="33"/>
  <c r="I180" i="33"/>
  <c r="G180" i="33"/>
  <c r="H180" i="33" s="1"/>
  <c r="F180" i="33"/>
  <c r="E180" i="33"/>
  <c r="M179" i="33"/>
  <c r="D179" i="33"/>
  <c r="L179" i="33"/>
  <c r="K179" i="33"/>
  <c r="J179" i="33"/>
  <c r="I179" i="33"/>
  <c r="G179" i="33"/>
  <c r="H179" i="33"/>
  <c r="F179" i="33"/>
  <c r="E179" i="33"/>
  <c r="M178" i="33"/>
  <c r="L178" i="33"/>
  <c r="K178" i="33"/>
  <c r="J178" i="33"/>
  <c r="I178" i="33"/>
  <c r="G178" i="33"/>
  <c r="H178" i="33"/>
  <c r="F178" i="33"/>
  <c r="E178" i="33"/>
  <c r="D178" i="33"/>
  <c r="M177" i="33"/>
  <c r="L177" i="33"/>
  <c r="K177" i="33"/>
  <c r="J177" i="33"/>
  <c r="I177" i="33"/>
  <c r="G177" i="33"/>
  <c r="H177" i="33"/>
  <c r="F177" i="33"/>
  <c r="E177" i="33"/>
  <c r="D177" i="33"/>
  <c r="M176" i="33"/>
  <c r="N176" i="33"/>
  <c r="D176" i="33"/>
  <c r="L176" i="33"/>
  <c r="K176" i="33"/>
  <c r="J176" i="33"/>
  <c r="I176" i="33"/>
  <c r="G176" i="33"/>
  <c r="H176" i="33"/>
  <c r="F176" i="33"/>
  <c r="E176" i="33"/>
  <c r="M175" i="33"/>
  <c r="N175" i="33" s="1"/>
  <c r="D175" i="33"/>
  <c r="L175" i="33"/>
  <c r="K175" i="33"/>
  <c r="J175" i="33"/>
  <c r="I175" i="33"/>
  <c r="G175" i="33"/>
  <c r="H175" i="33"/>
  <c r="F175" i="33"/>
  <c r="E175" i="33"/>
  <c r="M174" i="33"/>
  <c r="N174" i="33"/>
  <c r="D174" i="33"/>
  <c r="L174" i="33"/>
  <c r="K174" i="33"/>
  <c r="J174" i="33"/>
  <c r="I174" i="33"/>
  <c r="G174" i="33"/>
  <c r="H174" i="33" s="1"/>
  <c r="F174" i="33"/>
  <c r="E174" i="33"/>
  <c r="M173" i="33"/>
  <c r="D173" i="33"/>
  <c r="L173" i="33"/>
  <c r="K173" i="33"/>
  <c r="J173" i="33"/>
  <c r="I173" i="33"/>
  <c r="G173" i="33"/>
  <c r="H173" i="33" s="1"/>
  <c r="F173" i="33"/>
  <c r="E173" i="33"/>
  <c r="M172" i="33"/>
  <c r="N172" i="33"/>
  <c r="L172" i="33"/>
  <c r="K172" i="33"/>
  <c r="J172" i="33"/>
  <c r="I172" i="33"/>
  <c r="G172" i="33"/>
  <c r="H172" i="33"/>
  <c r="F172" i="33"/>
  <c r="E172" i="33"/>
  <c r="D172" i="33"/>
  <c r="M171" i="33"/>
  <c r="N171" i="33"/>
  <c r="L171" i="33"/>
  <c r="K171" i="33"/>
  <c r="J171" i="33"/>
  <c r="I171" i="33"/>
  <c r="G171" i="33"/>
  <c r="H171" i="33"/>
  <c r="F171" i="33"/>
  <c r="E171" i="33"/>
  <c r="D171" i="33"/>
  <c r="M170" i="33"/>
  <c r="L170" i="33"/>
  <c r="K170" i="33"/>
  <c r="J170" i="33"/>
  <c r="I170" i="33"/>
  <c r="G170" i="33"/>
  <c r="H170" i="33"/>
  <c r="F170" i="33"/>
  <c r="E170" i="33"/>
  <c r="D170" i="33"/>
  <c r="M169" i="33"/>
  <c r="N169" i="33" s="1"/>
  <c r="D169" i="33"/>
  <c r="L169" i="33"/>
  <c r="K169" i="33"/>
  <c r="J169" i="33"/>
  <c r="I169" i="33"/>
  <c r="G169" i="33"/>
  <c r="H169" i="33"/>
  <c r="F169" i="33"/>
  <c r="E169" i="33"/>
  <c r="M168" i="33"/>
  <c r="D168" i="33"/>
  <c r="L168" i="33"/>
  <c r="K168" i="33"/>
  <c r="J168" i="33"/>
  <c r="I168" i="33"/>
  <c r="G168" i="33"/>
  <c r="H168" i="33" s="1"/>
  <c r="F168" i="33"/>
  <c r="E168" i="33"/>
  <c r="M167" i="33"/>
  <c r="N167" i="33"/>
  <c r="L167" i="33"/>
  <c r="K167" i="33"/>
  <c r="J167" i="33"/>
  <c r="I167" i="33"/>
  <c r="G167" i="33"/>
  <c r="H167" i="33"/>
  <c r="F167" i="33"/>
  <c r="E167" i="33"/>
  <c r="D167" i="33"/>
  <c r="M166" i="33"/>
  <c r="L166" i="33"/>
  <c r="K166" i="33"/>
  <c r="J166" i="33"/>
  <c r="I166" i="33"/>
  <c r="G166" i="33"/>
  <c r="H166" i="33"/>
  <c r="F166" i="33"/>
  <c r="E166" i="33"/>
  <c r="D166" i="33"/>
  <c r="M165" i="33"/>
  <c r="N165" i="33"/>
  <c r="D165" i="33"/>
  <c r="L165" i="33"/>
  <c r="K165" i="33"/>
  <c r="J165" i="33"/>
  <c r="I165" i="33"/>
  <c r="G165" i="33"/>
  <c r="H165" i="33"/>
  <c r="F165" i="33"/>
  <c r="E165" i="33"/>
  <c r="D164" i="33"/>
  <c r="E164" i="33" s="1"/>
  <c r="D163" i="33"/>
  <c r="L163" i="33"/>
  <c r="M163" i="33"/>
  <c r="E163" i="33"/>
  <c r="D162" i="33"/>
  <c r="E162" i="33"/>
  <c r="D161" i="33"/>
  <c r="L161" i="33"/>
  <c r="M161" i="33"/>
  <c r="N161" i="33"/>
  <c r="D160" i="33"/>
  <c r="L160" i="33"/>
  <c r="M160" i="33" s="1"/>
  <c r="N160" i="33" s="1"/>
  <c r="E160" i="33"/>
  <c r="D159" i="33"/>
  <c r="L159" i="33"/>
  <c r="E159" i="33"/>
  <c r="D158" i="33"/>
  <c r="L158" i="33"/>
  <c r="M158" i="33"/>
  <c r="E158" i="33"/>
  <c r="D157" i="33"/>
  <c r="L157" i="33"/>
  <c r="M157" i="33" s="1"/>
  <c r="N157" i="33" s="1"/>
  <c r="E157" i="33"/>
  <c r="D156" i="33"/>
  <c r="L156" i="33"/>
  <c r="M156" i="33"/>
  <c r="D155" i="33"/>
  <c r="E155" i="33"/>
  <c r="E154" i="33"/>
  <c r="D154" i="33"/>
  <c r="L154" i="33"/>
  <c r="M154" i="33"/>
  <c r="N154" i="33" s="1"/>
  <c r="D153" i="33"/>
  <c r="L153" i="33"/>
  <c r="M153" i="33" s="1"/>
  <c r="N153" i="33" s="1"/>
  <c r="E153" i="33"/>
  <c r="D152" i="33"/>
  <c r="L152" i="33"/>
  <c r="M152" i="33"/>
  <c r="E152" i="33"/>
  <c r="D151" i="33"/>
  <c r="E151" i="33"/>
  <c r="D150" i="33"/>
  <c r="E150" i="33"/>
  <c r="D149" i="33"/>
  <c r="L149" i="33"/>
  <c r="M149" i="33" s="1"/>
  <c r="N149" i="33" s="1"/>
  <c r="D148" i="33"/>
  <c r="L148" i="33"/>
  <c r="M148" i="33"/>
  <c r="N148" i="33"/>
  <c r="D139" i="33"/>
  <c r="E139" i="33"/>
  <c r="D140" i="33"/>
  <c r="E140" i="33"/>
  <c r="D141" i="33"/>
  <c r="D142" i="33"/>
  <c r="E142" i="33"/>
  <c r="L142" i="33"/>
  <c r="M142" i="33" s="1"/>
  <c r="N142" i="33" s="1"/>
  <c r="D143" i="33"/>
  <c r="L143" i="33"/>
  <c r="M143" i="33" s="1"/>
  <c r="N143" i="33"/>
  <c r="E143" i="33"/>
  <c r="D144" i="33"/>
  <c r="E144" i="33"/>
  <c r="D145" i="33"/>
  <c r="D146" i="33"/>
  <c r="E146" i="33"/>
  <c r="D147" i="33"/>
  <c r="L147" i="33"/>
  <c r="D118" i="33"/>
  <c r="E118" i="33"/>
  <c r="D119" i="33"/>
  <c r="L119" i="33"/>
  <c r="D120" i="33"/>
  <c r="E120" i="33"/>
  <c r="D121" i="33"/>
  <c r="E121" i="33"/>
  <c r="D122" i="33"/>
  <c r="E122" i="33"/>
  <c r="D123" i="33"/>
  <c r="E123" i="33"/>
  <c r="D124" i="33"/>
  <c r="E124" i="33"/>
  <c r="D125" i="33"/>
  <c r="L125" i="33"/>
  <c r="M125" i="33" s="1"/>
  <c r="N125" i="33" s="1"/>
  <c r="D126" i="33"/>
  <c r="E126" i="33"/>
  <c r="D127" i="33"/>
  <c r="E127" i="33"/>
  <c r="D128" i="33"/>
  <c r="L128" i="33"/>
  <c r="M128" i="33"/>
  <c r="N128" i="33"/>
  <c r="D3" i="33"/>
  <c r="D129" i="33"/>
  <c r="E129" i="33"/>
  <c r="D130" i="33"/>
  <c r="L130" i="33"/>
  <c r="M130" i="33" s="1"/>
  <c r="N130" i="33" s="1"/>
  <c r="E130" i="33"/>
  <c r="D131" i="33"/>
  <c r="E131" i="33"/>
  <c r="L131" i="33"/>
  <c r="M131" i="33"/>
  <c r="N131" i="33" s="1"/>
  <c r="D132" i="33"/>
  <c r="D133" i="33"/>
  <c r="D134" i="33"/>
  <c r="L134" i="33"/>
  <c r="M134" i="33" s="1"/>
  <c r="N134" i="33" s="1"/>
  <c r="E134" i="33"/>
  <c r="D135" i="33"/>
  <c r="L135" i="33"/>
  <c r="M135" i="33"/>
  <c r="N135" i="33"/>
  <c r="E135" i="33"/>
  <c r="D136" i="33"/>
  <c r="L136" i="33"/>
  <c r="M136" i="33" s="1"/>
  <c r="N136" i="33" s="1"/>
  <c r="E136" i="33"/>
  <c r="D137" i="33"/>
  <c r="L137" i="33"/>
  <c r="E137" i="33"/>
  <c r="D138" i="33"/>
  <c r="E138" i="33"/>
  <c r="D116" i="33"/>
  <c r="E116" i="33"/>
  <c r="D117" i="33"/>
  <c r="E117" i="33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M26" i="20"/>
  <c r="M25" i="20"/>
  <c r="M24" i="20"/>
  <c r="M23" i="20"/>
  <c r="M22" i="20"/>
  <c r="N22" i="20"/>
  <c r="N26" i="20"/>
  <c r="N25" i="20"/>
  <c r="N24" i="20"/>
  <c r="N23" i="20"/>
  <c r="L26" i="20"/>
  <c r="K26" i="20"/>
  <c r="L25" i="20"/>
  <c r="K25" i="20"/>
  <c r="L24" i="20"/>
  <c r="K24" i="20"/>
  <c r="L23" i="20"/>
  <c r="K23" i="20"/>
  <c r="L22" i="20"/>
  <c r="K22" i="20"/>
  <c r="K14" i="20"/>
  <c r="K13" i="20"/>
  <c r="L13" i="20"/>
  <c r="C4" i="9"/>
  <c r="C5" i="9"/>
  <c r="C6" i="9"/>
  <c r="C7" i="9"/>
  <c r="K12" i="20"/>
  <c r="K15" i="20"/>
  <c r="L15" i="20"/>
  <c r="K9" i="20"/>
  <c r="L9" i="20" s="1"/>
  <c r="K8" i="20"/>
  <c r="L8" i="20" s="1"/>
  <c r="K7" i="20"/>
  <c r="L7" i="20" s="1"/>
  <c r="K4" i="20"/>
  <c r="K3" i="20"/>
  <c r="L3" i="20"/>
  <c r="O3" i="20"/>
  <c r="K2" i="20"/>
  <c r="K5" i="20"/>
  <c r="L5" i="20"/>
  <c r="O5" i="20"/>
  <c r="K19" i="20"/>
  <c r="L19" i="20" s="1"/>
  <c r="K18" i="20"/>
  <c r="L18" i="20" s="1"/>
  <c r="K17" i="20"/>
  <c r="L17" i="20" s="1"/>
  <c r="K16" i="20"/>
  <c r="L16" i="20"/>
  <c r="K6" i="20"/>
  <c r="L6" i="20"/>
  <c r="O6" i="20"/>
  <c r="L12" i="20"/>
  <c r="O12" i="20"/>
  <c r="L4" i="20"/>
  <c r="L14" i="20"/>
  <c r="L2" i="20"/>
  <c r="O26" i="20"/>
  <c r="O13" i="20"/>
  <c r="O23" i="20"/>
  <c r="D115" i="33"/>
  <c r="D114" i="33"/>
  <c r="L114" i="33"/>
  <c r="M114" i="33"/>
  <c r="N114" i="33"/>
  <c r="D113" i="33"/>
  <c r="L113" i="33"/>
  <c r="D112" i="33"/>
  <c r="L112" i="33"/>
  <c r="M112" i="33" s="1"/>
  <c r="N112" i="33" s="1"/>
  <c r="D111" i="33"/>
  <c r="D100" i="33"/>
  <c r="L100" i="33"/>
  <c r="M100" i="33" s="1"/>
  <c r="N100" i="33" s="1"/>
  <c r="D99" i="33"/>
  <c r="D98" i="33"/>
  <c r="E98" i="33"/>
  <c r="D97" i="33"/>
  <c r="D96" i="33"/>
  <c r="D95" i="33"/>
  <c r="D94" i="33"/>
  <c r="E94" i="33"/>
  <c r="D93" i="33"/>
  <c r="L93" i="33"/>
  <c r="M93" i="33" s="1"/>
  <c r="N93" i="33" s="1"/>
  <c r="D92" i="33"/>
  <c r="E92" i="33"/>
  <c r="D91" i="33"/>
  <c r="E91" i="33"/>
  <c r="L91" i="33"/>
  <c r="M91" i="33" s="1"/>
  <c r="N91" i="33" s="1"/>
  <c r="D90" i="33"/>
  <c r="D89" i="33"/>
  <c r="E89" i="33"/>
  <c r="D88" i="33"/>
  <c r="D85" i="33"/>
  <c r="D84" i="33"/>
  <c r="D83" i="33"/>
  <c r="E83" i="33"/>
  <c r="D79" i="33"/>
  <c r="L79" i="33"/>
  <c r="M79" i="33" s="1"/>
  <c r="N79" i="33" s="1"/>
  <c r="L9" i="33"/>
  <c r="M9" i="33" s="1"/>
  <c r="N9" i="33" s="1"/>
  <c r="L8" i="33"/>
  <c r="L7" i="33"/>
  <c r="L6" i="33"/>
  <c r="M6" i="33"/>
  <c r="N6" i="33"/>
  <c r="L5" i="33"/>
  <c r="M5" i="33"/>
  <c r="N5" i="33" s="1"/>
  <c r="D5" i="33"/>
  <c r="L4" i="33"/>
  <c r="D4" i="33"/>
  <c r="L3" i="33"/>
  <c r="E115" i="33"/>
  <c r="D110" i="33"/>
  <c r="D109" i="33"/>
  <c r="E109" i="33"/>
  <c r="D108" i="33"/>
  <c r="E108" i="33"/>
  <c r="D107" i="33"/>
  <c r="E107" i="33"/>
  <c r="D106" i="33"/>
  <c r="D105" i="33"/>
  <c r="L105" i="33"/>
  <c r="M105" i="33" s="1"/>
  <c r="N105" i="33" s="1"/>
  <c r="D104" i="33"/>
  <c r="E104" i="33"/>
  <c r="D103" i="33"/>
  <c r="E103" i="33"/>
  <c r="D102" i="33"/>
  <c r="E102" i="33"/>
  <c r="D101" i="33"/>
  <c r="E101" i="33"/>
  <c r="E88" i="33"/>
  <c r="D87" i="33"/>
  <c r="E87" i="33"/>
  <c r="D86" i="33"/>
  <c r="D82" i="33"/>
  <c r="D81" i="33"/>
  <c r="L81" i="33"/>
  <c r="M81" i="33" s="1"/>
  <c r="N81" i="33" s="1"/>
  <c r="D80" i="33"/>
  <c r="L80" i="33"/>
  <c r="M80" i="33" s="1"/>
  <c r="N80" i="33" s="1"/>
  <c r="G5" i="22"/>
  <c r="G4" i="22"/>
  <c r="G3" i="22"/>
  <c r="D78" i="33"/>
  <c r="E78" i="33"/>
  <c r="D77" i="33"/>
  <c r="E77" i="33"/>
  <c r="D76" i="33"/>
  <c r="E76" i="33"/>
  <c r="D75" i="33"/>
  <c r="D74" i="33"/>
  <c r="E74" i="33"/>
  <c r="D73" i="33"/>
  <c r="E73" i="33"/>
  <c r="D72" i="33"/>
  <c r="L72" i="33"/>
  <c r="M72" i="33"/>
  <c r="N72" i="33"/>
  <c r="D61" i="33"/>
  <c r="E61" i="33"/>
  <c r="D71" i="33"/>
  <c r="E71" i="33"/>
  <c r="D70" i="33"/>
  <c r="L70" i="33"/>
  <c r="M70" i="33" s="1"/>
  <c r="N70" i="33" s="1"/>
  <c r="D69" i="33"/>
  <c r="E69" i="33"/>
  <c r="G2" i="33"/>
  <c r="F2" i="33"/>
  <c r="F1" i="33"/>
  <c r="M2" i="33"/>
  <c r="L2" i="33"/>
  <c r="J2" i="33"/>
  <c r="D68" i="33"/>
  <c r="L68" i="33"/>
  <c r="M68" i="33" s="1"/>
  <c r="N68" i="33" s="1"/>
  <c r="D67" i="33"/>
  <c r="D66" i="33"/>
  <c r="L66" i="33"/>
  <c r="D65" i="33"/>
  <c r="E65" i="33"/>
  <c r="D64" i="33"/>
  <c r="L64" i="33"/>
  <c r="D63" i="33"/>
  <c r="D62" i="33"/>
  <c r="E62" i="33"/>
  <c r="D60" i="33"/>
  <c r="E60" i="33"/>
  <c r="D59" i="33"/>
  <c r="D58" i="33"/>
  <c r="D57" i="33"/>
  <c r="E57" i="33"/>
  <c r="D56" i="33"/>
  <c r="D55" i="33"/>
  <c r="D54" i="33"/>
  <c r="L54" i="33"/>
  <c r="M54" i="33" s="1"/>
  <c r="N54" i="33" s="1"/>
  <c r="D53" i="33"/>
  <c r="D52" i="33"/>
  <c r="E52" i="33"/>
  <c r="D51" i="33"/>
  <c r="L51" i="33"/>
  <c r="M51" i="33"/>
  <c r="N51" i="33" s="1"/>
  <c r="D50" i="33"/>
  <c r="E50" i="33"/>
  <c r="D49" i="33"/>
  <c r="E49" i="33"/>
  <c r="D48" i="33"/>
  <c r="D47" i="33"/>
  <c r="E47" i="33"/>
  <c r="D46" i="33"/>
  <c r="E46" i="33"/>
  <c r="D45" i="33"/>
  <c r="E45" i="33"/>
  <c r="D44" i="33"/>
  <c r="D36" i="33"/>
  <c r="E36" i="33"/>
  <c r="D37" i="33"/>
  <c r="E37" i="33"/>
  <c r="D38" i="33"/>
  <c r="L38" i="33"/>
  <c r="M38" i="33" s="1"/>
  <c r="N38" i="33" s="1"/>
  <c r="D39" i="33"/>
  <c r="E39" i="33"/>
  <c r="D40" i="33"/>
  <c r="L40" i="33"/>
  <c r="M40" i="33" s="1"/>
  <c r="N40" i="33"/>
  <c r="D41" i="33"/>
  <c r="E41" i="33"/>
  <c r="D42" i="33"/>
  <c r="E42" i="33"/>
  <c r="D43" i="33"/>
  <c r="L43" i="33"/>
  <c r="M43" i="33" s="1"/>
  <c r="N43" i="33" s="1"/>
  <c r="I2" i="33"/>
  <c r="I1" i="33"/>
  <c r="D31" i="33"/>
  <c r="L31" i="33"/>
  <c r="M31" i="33" s="1"/>
  <c r="N31" i="33" s="1"/>
  <c r="D30" i="33"/>
  <c r="L30" i="33"/>
  <c r="M30" i="33" s="1"/>
  <c r="N30" i="33" s="1"/>
  <c r="D35" i="33"/>
  <c r="L35" i="33"/>
  <c r="M35" i="33"/>
  <c r="N35" i="33" s="1"/>
  <c r="D34" i="33"/>
  <c r="E34" i="33"/>
  <c r="D33" i="33"/>
  <c r="E33" i="33"/>
  <c r="D32" i="33"/>
  <c r="E32" i="33"/>
  <c r="D29" i="33"/>
  <c r="D28" i="33"/>
  <c r="E28" i="33"/>
  <c r="D27" i="33"/>
  <c r="L27" i="33"/>
  <c r="M27" i="33" s="1"/>
  <c r="N27" i="33" s="1"/>
  <c r="D26" i="33"/>
  <c r="E26" i="33"/>
  <c r="D25" i="33"/>
  <c r="L25" i="33"/>
  <c r="M25" i="33" s="1"/>
  <c r="N25" i="33" s="1"/>
  <c r="F10" i="21"/>
  <c r="B10" i="21"/>
  <c r="C10" i="21"/>
  <c r="D24" i="33"/>
  <c r="D23" i="33"/>
  <c r="D22" i="33"/>
  <c r="E22" i="33"/>
  <c r="D21" i="33"/>
  <c r="E21" i="33"/>
  <c r="D20" i="33"/>
  <c r="E20" i="33"/>
  <c r="D19" i="33"/>
  <c r="D18" i="33"/>
  <c r="E18" i="33"/>
  <c r="D17" i="33"/>
  <c r="E17" i="33"/>
  <c r="D16" i="33"/>
  <c r="E16" i="33"/>
  <c r="D15" i="33"/>
  <c r="D14" i="33"/>
  <c r="E14" i="33"/>
  <c r="D7" i="33"/>
  <c r="E7" i="33"/>
  <c r="D8" i="33"/>
  <c r="E8" i="33"/>
  <c r="D9" i="33"/>
  <c r="E9" i="33"/>
  <c r="D10" i="33"/>
  <c r="L10" i="33"/>
  <c r="M10" i="33" s="1"/>
  <c r="N10" i="33"/>
  <c r="E10" i="33"/>
  <c r="D11" i="33"/>
  <c r="L11" i="33"/>
  <c r="M11" i="33" s="1"/>
  <c r="N11" i="33" s="1"/>
  <c r="D12" i="33"/>
  <c r="E12" i="33"/>
  <c r="D13" i="33"/>
  <c r="D6" i="33"/>
  <c r="E4" i="33"/>
  <c r="E5" i="33"/>
  <c r="D3" i="7"/>
  <c r="T3" i="18"/>
  <c r="S3" i="18"/>
  <c r="A3" i="7"/>
  <c r="AE10" i="7"/>
  <c r="AG10" i="7"/>
  <c r="AI10" i="7"/>
  <c r="B8" i="19"/>
  <c r="B6" i="19"/>
  <c r="B7" i="19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H9" i="18"/>
  <c r="H11" i="18"/>
  <c r="AQ3" i="7"/>
  <c r="H8" i="18"/>
  <c r="M4" i="7"/>
  <c r="P4" i="7"/>
  <c r="AE8" i="7"/>
  <c r="AG8" i="7"/>
  <c r="AI8" i="7"/>
  <c r="AI7" i="7"/>
  <c r="AG7" i="7"/>
  <c r="AE7" i="7"/>
  <c r="M3" i="7"/>
  <c r="S6" i="18"/>
  <c r="P3" i="7"/>
  <c r="V6" i="7"/>
  <c r="S6" i="7"/>
  <c r="AI6" i="7"/>
  <c r="AG6" i="7"/>
  <c r="AE6" i="7"/>
  <c r="V5" i="7"/>
  <c r="S5" i="7"/>
  <c r="AI5" i="7"/>
  <c r="AG5" i="7"/>
  <c r="AE5" i="7"/>
  <c r="AC5" i="18"/>
  <c r="AB5" i="18"/>
  <c r="AA5" i="18"/>
  <c r="Z5" i="18"/>
  <c r="Y5" i="18"/>
  <c r="AE4" i="7"/>
  <c r="AI4" i="7"/>
  <c r="AG4" i="7"/>
  <c r="V4" i="7"/>
  <c r="S4" i="7"/>
  <c r="H3" i="18"/>
  <c r="AR33" i="7"/>
  <c r="AR34" i="7"/>
  <c r="F5" i="18"/>
  <c r="F3" i="18"/>
  <c r="AQ33" i="7"/>
  <c r="AQ34" i="7"/>
  <c r="F4" i="18"/>
  <c r="N4" i="18" s="1"/>
  <c r="G4" i="18" s="1"/>
  <c r="AQ35" i="7"/>
  <c r="AR35" i="7"/>
  <c r="F10" i="18"/>
  <c r="I10" i="18" s="1"/>
  <c r="J10" i="18" s="1"/>
  <c r="F11" i="18"/>
  <c r="I11" i="18" s="1"/>
  <c r="J11" i="18" s="1"/>
  <c r="F2" i="18"/>
  <c r="H2" i="18"/>
  <c r="R16" i="18"/>
  <c r="AF16" i="18"/>
  <c r="AF15" i="18"/>
  <c r="AG15" i="18"/>
  <c r="AF14" i="18"/>
  <c r="AG14" i="18"/>
  <c r="AF13" i="18"/>
  <c r="AG13" i="18"/>
  <c r="AV34" i="7"/>
  <c r="AV35" i="7"/>
  <c r="AF12" i="18"/>
  <c r="AG12" i="18"/>
  <c r="AV33" i="7"/>
  <c r="AF11" i="18"/>
  <c r="AG11" i="18"/>
  <c r="AF10" i="18"/>
  <c r="AG10" i="18"/>
  <c r="AF9" i="18"/>
  <c r="AG9" i="18"/>
  <c r="Z16" i="18"/>
  <c r="AA16" i="18"/>
  <c r="Z15" i="18"/>
  <c r="AA15" i="18"/>
  <c r="Z14" i="18"/>
  <c r="AA14" i="18"/>
  <c r="Z13" i="18"/>
  <c r="AA13" i="18"/>
  <c r="Z12" i="18"/>
  <c r="AA12" i="18"/>
  <c r="Z11" i="18"/>
  <c r="AA11" i="18"/>
  <c r="AN3" i="7"/>
  <c r="H16" i="18"/>
  <c r="AO3" i="7"/>
  <c r="H15" i="18"/>
  <c r="AP3" i="7"/>
  <c r="H14" i="18"/>
  <c r="F14" i="18"/>
  <c r="N14" i="18"/>
  <c r="G14" i="18"/>
  <c r="I14" i="18"/>
  <c r="O14" i="18"/>
  <c r="H7" i="18"/>
  <c r="H6" i="18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F15" i="18"/>
  <c r="I15" i="18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Z9" i="18"/>
  <c r="Z10" i="18"/>
  <c r="AA10" i="18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/>
  <c r="F76" i="16"/>
  <c r="J76" i="16" s="1"/>
  <c r="L76" i="16" s="1"/>
  <c r="E76" i="16"/>
  <c r="D76" i="16"/>
  <c r="F75" i="16"/>
  <c r="J75" i="16"/>
  <c r="L75" i="16"/>
  <c r="G75" i="16"/>
  <c r="K75" i="16"/>
  <c r="M75" i="16"/>
  <c r="F74" i="16"/>
  <c r="J74" i="16"/>
  <c r="L74" i="16" s="1"/>
  <c r="G74" i="16"/>
  <c r="K74" i="16"/>
  <c r="M74" i="16"/>
  <c r="G73" i="16"/>
  <c r="K73" i="16"/>
  <c r="M73" i="16"/>
  <c r="F73" i="16"/>
  <c r="J73" i="16"/>
  <c r="L73" i="16" s="1"/>
  <c r="G72" i="16"/>
  <c r="K72" i="16"/>
  <c r="M72" i="16"/>
  <c r="F72" i="16"/>
  <c r="J72" i="16"/>
  <c r="L72" i="16" s="1"/>
  <c r="G71" i="16"/>
  <c r="K71" i="16"/>
  <c r="M71" i="16"/>
  <c r="F70" i="16"/>
  <c r="J70" i="16"/>
  <c r="L70" i="16" s="1"/>
  <c r="G68" i="16"/>
  <c r="K68" i="16"/>
  <c r="M68" i="16"/>
  <c r="F68" i="16"/>
  <c r="J68" i="16"/>
  <c r="L68" i="16" s="1"/>
  <c r="G67" i="16"/>
  <c r="K67" i="16"/>
  <c r="M67" i="16"/>
  <c r="F67" i="16"/>
  <c r="J67" i="16"/>
  <c r="L67" i="16" s="1"/>
  <c r="F71" i="16"/>
  <c r="J71" i="16"/>
  <c r="L71" i="16" s="1"/>
  <c r="G66" i="16"/>
  <c r="K66" i="16"/>
  <c r="M66" i="16"/>
  <c r="F66" i="16"/>
  <c r="J66" i="16"/>
  <c r="L66" i="16" s="1"/>
  <c r="A7" i="16"/>
  <c r="F7" i="16"/>
  <c r="J7" i="16" s="1"/>
  <c r="L7" i="16" s="1"/>
  <c r="F52" i="16"/>
  <c r="J52" i="16" s="1"/>
  <c r="L52" i="16" s="1"/>
  <c r="G51" i="16"/>
  <c r="K51" i="16"/>
  <c r="M51" i="16"/>
  <c r="F51" i="16"/>
  <c r="J51" i="16"/>
  <c r="L51" i="16" s="1"/>
  <c r="F41" i="16"/>
  <c r="J41" i="16" s="1"/>
  <c r="L41" i="16" s="1"/>
  <c r="G37" i="16"/>
  <c r="K37" i="16"/>
  <c r="M37" i="16"/>
  <c r="G43" i="16"/>
  <c r="K43" i="16"/>
  <c r="M43" i="16"/>
  <c r="G47" i="16"/>
  <c r="K47" i="16"/>
  <c r="M47" i="16"/>
  <c r="F47" i="16"/>
  <c r="J47" i="16" s="1"/>
  <c r="L47" i="16" s="1"/>
  <c r="F46" i="16"/>
  <c r="J46" i="16" s="1"/>
  <c r="L46" i="16" s="1"/>
  <c r="G45" i="16"/>
  <c r="K45" i="16"/>
  <c r="M45" i="16"/>
  <c r="F45" i="16"/>
  <c r="J45" i="16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/>
  <c r="G18" i="16"/>
  <c r="K18" i="16"/>
  <c r="M18" i="16"/>
  <c r="F15" i="16"/>
  <c r="J15" i="16" s="1"/>
  <c r="L15" i="16" s="1"/>
  <c r="B20" i="19"/>
  <c r="B18" i="19"/>
  <c r="B19" i="19"/>
  <c r="B21" i="19"/>
  <c r="B22" i="19"/>
  <c r="F16" i="19"/>
  <c r="F17" i="19"/>
  <c r="D2" i="16"/>
  <c r="F3" i="21"/>
  <c r="C3" i="21"/>
  <c r="F12" i="21"/>
  <c r="D12" i="21"/>
  <c r="F11" i="21"/>
  <c r="B11" i="21"/>
  <c r="B9" i="21"/>
  <c r="F8" i="21"/>
  <c r="B7" i="21"/>
  <c r="B4" i="21"/>
  <c r="K17" i="22"/>
  <c r="L17" i="22" s="1"/>
  <c r="K16" i="22"/>
  <c r="K18" i="22"/>
  <c r="K20" i="22"/>
  <c r="L20" i="22"/>
  <c r="K8" i="22"/>
  <c r="L8" i="22"/>
  <c r="K11" i="22"/>
  <c r="L11" i="22" s="1"/>
  <c r="K9" i="22"/>
  <c r="K10" i="22"/>
  <c r="L10" i="22"/>
  <c r="K12" i="22"/>
  <c r="L12" i="22"/>
  <c r="C5" i="22"/>
  <c r="C3" i="22"/>
  <c r="C4" i="22"/>
  <c r="F3" i="22"/>
  <c r="J3" i="22"/>
  <c r="F4" i="22"/>
  <c r="J4" i="22"/>
  <c r="F5" i="22"/>
  <c r="J5" i="22"/>
  <c r="B5" i="22"/>
  <c r="B4" i="22"/>
  <c r="B3" i="22"/>
  <c r="K19" i="22"/>
  <c r="L19" i="22" s="1"/>
  <c r="F14" i="20"/>
  <c r="M13" i="20"/>
  <c r="N13" i="20"/>
  <c r="E14" i="20"/>
  <c r="G14" i="20"/>
  <c r="B14" i="20"/>
  <c r="C14" i="20"/>
  <c r="D14" i="20"/>
  <c r="F12" i="20"/>
  <c r="B12" i="20"/>
  <c r="G12" i="20"/>
  <c r="D12" i="20"/>
  <c r="C12" i="20"/>
  <c r="E12" i="20"/>
  <c r="E13" i="20" s="1"/>
  <c r="F10" i="20"/>
  <c r="M5" i="20"/>
  <c r="N5" i="20"/>
  <c r="C10" i="20"/>
  <c r="G10" i="20"/>
  <c r="B10" i="20"/>
  <c r="E10" i="20"/>
  <c r="D10" i="20"/>
  <c r="F9" i="21"/>
  <c r="C9" i="21"/>
  <c r="F7" i="21"/>
  <c r="D7" i="21"/>
  <c r="F5" i="21"/>
  <c r="C5" i="21"/>
  <c r="F4" i="21"/>
  <c r="E4" i="21"/>
  <c r="D9" i="21"/>
  <c r="D11" i="18"/>
  <c r="D10" i="18"/>
  <c r="D9" i="18"/>
  <c r="D8" i="18"/>
  <c r="D7" i="18"/>
  <c r="D6" i="18"/>
  <c r="D5" i="18"/>
  <c r="D4" i="18"/>
  <c r="D3" i="18"/>
  <c r="D2" i="18"/>
  <c r="E11" i="18"/>
  <c r="E10" i="18"/>
  <c r="E9" i="18"/>
  <c r="E8" i="18"/>
  <c r="E7" i="18"/>
  <c r="E6" i="18"/>
  <c r="E5" i="18"/>
  <c r="E4" i="18"/>
  <c r="E3" i="18"/>
  <c r="E2" i="18"/>
  <c r="T9" i="18"/>
  <c r="V3" i="7"/>
  <c r="S9" i="18"/>
  <c r="AG3" i="7"/>
  <c r="T14" i="18"/>
  <c r="T10" i="18"/>
  <c r="F7" i="18"/>
  <c r="F9" i="18"/>
  <c r="T5" i="18"/>
  <c r="S5" i="18"/>
  <c r="T7" i="18"/>
  <c r="T11" i="18"/>
  <c r="S7" i="18"/>
  <c r="F6" i="18"/>
  <c r="S2" i="18"/>
  <c r="T2" i="18"/>
  <c r="S4" i="18"/>
  <c r="T4" i="18"/>
  <c r="T6" i="18"/>
  <c r="S3" i="7"/>
  <c r="T8" i="18"/>
  <c r="F8" i="18"/>
  <c r="S8" i="18"/>
  <c r="AI3" i="7"/>
  <c r="S16" i="18"/>
  <c r="F16" i="18"/>
  <c r="N16" i="18"/>
  <c r="AE3" i="7"/>
  <c r="V6" i="18"/>
  <c r="AC6" i="18"/>
  <c r="K6" i="19"/>
  <c r="P3" i="19"/>
  <c r="P2" i="19"/>
  <c r="K5" i="19"/>
  <c r="N5" i="19"/>
  <c r="N6" i="21"/>
  <c r="H6" i="21"/>
  <c r="K6" i="21"/>
  <c r="K7" i="21"/>
  <c r="N7" i="21"/>
  <c r="M6" i="21"/>
  <c r="L6" i="21"/>
  <c r="G2" i="16"/>
  <c r="E2" i="16"/>
  <c r="G9" i="19"/>
  <c r="F8" i="19"/>
  <c r="F11" i="19"/>
  <c r="E19" i="20"/>
  <c r="D19" i="20"/>
  <c r="C19" i="20"/>
  <c r="B19" i="20"/>
  <c r="E18" i="20"/>
  <c r="D18" i="20"/>
  <c r="C18" i="20"/>
  <c r="B18" i="20"/>
  <c r="G18" i="20"/>
  <c r="E16" i="20"/>
  <c r="D16" i="20"/>
  <c r="C16" i="20"/>
  <c r="G16" i="20"/>
  <c r="B16" i="20"/>
  <c r="AG16" i="18"/>
  <c r="AE16" i="18"/>
  <c r="Y16" i="18"/>
  <c r="AE15" i="18"/>
  <c r="Y15" i="18"/>
  <c r="AE14" i="18"/>
  <c r="Y14" i="18"/>
  <c r="AE13" i="18"/>
  <c r="Y13" i="18"/>
  <c r="AE12" i="18"/>
  <c r="Y12" i="18"/>
  <c r="AE11" i="18"/>
  <c r="Y11" i="18"/>
  <c r="AE10" i="18"/>
  <c r="Y10" i="18"/>
  <c r="AE9" i="18"/>
  <c r="Y9" i="18"/>
  <c r="F16" i="20"/>
  <c r="F18" i="20"/>
  <c r="C12" i="18"/>
  <c r="C13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/>
  <c r="M9" i="16"/>
  <c r="G28" i="16"/>
  <c r="K28" i="16"/>
  <c r="M28" i="16"/>
  <c r="F36" i="16"/>
  <c r="J36" i="16" s="1"/>
  <c r="L36" i="16" s="1"/>
  <c r="F24" i="16"/>
  <c r="J24" i="16" s="1"/>
  <c r="L24" i="16" s="1"/>
  <c r="G26" i="16"/>
  <c r="K26" i="16"/>
  <c r="M26" i="16"/>
  <c r="G31" i="16"/>
  <c r="K31" i="16"/>
  <c r="M31" i="16"/>
  <c r="F29" i="16"/>
  <c r="J29" i="16" s="1"/>
  <c r="L29" i="16" s="1"/>
  <c r="F25" i="16"/>
  <c r="J25" i="16"/>
  <c r="L25" i="16" s="1"/>
  <c r="G23" i="16"/>
  <c r="K23" i="16"/>
  <c r="M23" i="16"/>
  <c r="F30" i="16"/>
  <c r="J30" i="16" s="1"/>
  <c r="L30" i="16" s="1"/>
  <c r="G27" i="16"/>
  <c r="K27" i="16"/>
  <c r="M27" i="16"/>
  <c r="F28" i="16"/>
  <c r="J28" i="16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/>
  <c r="M35" i="16"/>
  <c r="G22" i="16"/>
  <c r="K22" i="16"/>
  <c r="M22" i="16"/>
  <c r="G17" i="16"/>
  <c r="K17" i="16"/>
  <c r="M17" i="16"/>
  <c r="G13" i="16"/>
  <c r="K13" i="16"/>
  <c r="M13" i="16"/>
  <c r="G16" i="16"/>
  <c r="K16" i="16"/>
  <c r="M16" i="16"/>
  <c r="G19" i="16"/>
  <c r="K19" i="16"/>
  <c r="M19" i="16"/>
  <c r="G10" i="16"/>
  <c r="K10" i="16"/>
  <c r="M10" i="16"/>
  <c r="G15" i="16"/>
  <c r="K15" i="16"/>
  <c r="M15" i="16"/>
  <c r="G41" i="16"/>
  <c r="K41" i="16"/>
  <c r="M41" i="16"/>
  <c r="G30" i="16"/>
  <c r="K30" i="16"/>
  <c r="M30" i="16"/>
  <c r="G38" i="16"/>
  <c r="K38" i="16"/>
  <c r="M38" i="16"/>
  <c r="F42" i="16"/>
  <c r="J42" i="16" s="1"/>
  <c r="L42" i="16" s="1"/>
  <c r="G33" i="16"/>
  <c r="K33" i="16"/>
  <c r="M33" i="16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/>
  <c r="F17" i="16"/>
  <c r="J17" i="16" s="1"/>
  <c r="L17" i="16" s="1"/>
  <c r="F26" i="16"/>
  <c r="J26" i="16" s="1"/>
  <c r="L26" i="16" s="1"/>
  <c r="G42" i="16"/>
  <c r="K42" i="16"/>
  <c r="M42" i="16"/>
  <c r="F39" i="16"/>
  <c r="J39" i="16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/>
  <c r="M24" i="16"/>
  <c r="G12" i="16"/>
  <c r="K12" i="16"/>
  <c r="M12" i="16"/>
  <c r="G39" i="16"/>
  <c r="K39" i="16"/>
  <c r="M39" i="16"/>
  <c r="G21" i="16"/>
  <c r="K21" i="16"/>
  <c r="M21" i="16"/>
  <c r="F34" i="16"/>
  <c r="J34" i="16" s="1"/>
  <c r="L34" i="16" s="1"/>
  <c r="F20" i="16"/>
  <c r="J20" i="16" s="1"/>
  <c r="L20" i="16" s="1"/>
  <c r="G25" i="16"/>
  <c r="K25" i="16"/>
  <c r="M25" i="16"/>
  <c r="G8" i="16"/>
  <c r="K8" i="16"/>
  <c r="M8" i="16"/>
  <c r="G14" i="16"/>
  <c r="K14" i="16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E3" i="21"/>
  <c r="G65" i="16"/>
  <c r="K65" i="16"/>
  <c r="M65" i="16"/>
  <c r="G60" i="16"/>
  <c r="K60" i="16"/>
  <c r="M60" i="16"/>
  <c r="F56" i="16"/>
  <c r="J56" i="16" s="1"/>
  <c r="L56" i="16" s="1"/>
  <c r="F65" i="16"/>
  <c r="J65" i="16" s="1"/>
  <c r="L65" i="16" s="1"/>
  <c r="F60" i="16"/>
  <c r="J60" i="16" s="1"/>
  <c r="L60" i="16" s="1"/>
  <c r="G55" i="16"/>
  <c r="K55" i="16"/>
  <c r="M55" i="16"/>
  <c r="G59" i="16"/>
  <c r="K59" i="16"/>
  <c r="M59" i="16"/>
  <c r="G64" i="16"/>
  <c r="K64" i="16"/>
  <c r="M64" i="16"/>
  <c r="F55" i="16"/>
  <c r="J55" i="16" s="1"/>
  <c r="L55" i="16" s="1"/>
  <c r="F64" i="16"/>
  <c r="J64" i="16" s="1"/>
  <c r="L64" i="16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/>
  <c r="G53" i="16"/>
  <c r="K53" i="16"/>
  <c r="M53" i="16"/>
  <c r="G63" i="16"/>
  <c r="K63" i="16"/>
  <c r="M63" i="16"/>
  <c r="F54" i="16"/>
  <c r="J54" i="16"/>
  <c r="L54" i="16"/>
  <c r="G62" i="16"/>
  <c r="K62" i="16"/>
  <c r="M62" i="16"/>
  <c r="F57" i="16"/>
  <c r="J57" i="16" s="1"/>
  <c r="L57" i="16" s="1"/>
  <c r="F61" i="16"/>
  <c r="J61" i="16" s="1"/>
  <c r="L61" i="16" s="1"/>
  <c r="F62" i="16"/>
  <c r="J62" i="16"/>
  <c r="L62" i="16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/>
  <c r="G57" i="16"/>
  <c r="K57" i="16"/>
  <c r="M57" i="16"/>
  <c r="F49" i="16"/>
  <c r="J49" i="16" s="1"/>
  <c r="L49" i="16" s="1"/>
  <c r="G49" i="16"/>
  <c r="K49" i="16"/>
  <c r="M49" i="16"/>
  <c r="F50" i="16"/>
  <c r="J50" i="16"/>
  <c r="L50" i="16"/>
  <c r="G52" i="16"/>
  <c r="K52" i="16"/>
  <c r="M52" i="16"/>
  <c r="F22" i="16"/>
  <c r="J22" i="16" s="1"/>
  <c r="L22" i="16" s="1"/>
  <c r="G44" i="16"/>
  <c r="K44" i="16"/>
  <c r="M44" i="16"/>
  <c r="G46" i="16"/>
  <c r="K46" i="16"/>
  <c r="M46" i="16"/>
  <c r="F43" i="16"/>
  <c r="J43" i="16" s="1"/>
  <c r="L43" i="16" s="1"/>
  <c r="G50" i="16"/>
  <c r="K50" i="16"/>
  <c r="M50" i="16"/>
  <c r="G48" i="16"/>
  <c r="K48" i="16"/>
  <c r="M48" i="16"/>
  <c r="F69" i="16"/>
  <c r="J69" i="16"/>
  <c r="L69" i="16"/>
  <c r="G69" i="16"/>
  <c r="K69" i="16"/>
  <c r="M69" i="16"/>
  <c r="G70" i="16"/>
  <c r="K70" i="16"/>
  <c r="M70" i="16"/>
  <c r="F48" i="16"/>
  <c r="J48" i="16" s="1"/>
  <c r="L48" i="16" s="1"/>
  <c r="S11" i="18"/>
  <c r="S10" i="18"/>
  <c r="S15" i="18"/>
  <c r="S14" i="18"/>
  <c r="P14" i="18"/>
  <c r="R14" i="18"/>
  <c r="AA9" i="18"/>
  <c r="E6" i="21"/>
  <c r="B6" i="21"/>
  <c r="C12" i="21"/>
  <c r="L9" i="22"/>
  <c r="H10" i="18"/>
  <c r="T13" i="18"/>
  <c r="AA6" i="18"/>
  <c r="E7" i="21"/>
  <c r="E8" i="21"/>
  <c r="C8" i="21"/>
  <c r="D8" i="21"/>
  <c r="B8" i="21"/>
  <c r="E12" i="21"/>
  <c r="B12" i="21"/>
  <c r="D11" i="21"/>
  <c r="E9" i="21"/>
  <c r="C11" i="21"/>
  <c r="E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H9" i="16"/>
  <c r="N9" i="16" s="1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E9" i="16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I9" i="16"/>
  <c r="O9" i="16" s="1"/>
  <c r="D24" i="16"/>
  <c r="E16" i="16"/>
  <c r="E61" i="16"/>
  <c r="E60" i="16"/>
  <c r="H41" i="16"/>
  <c r="N41" i="16" s="1"/>
  <c r="I25" i="16"/>
  <c r="O25" i="16" s="1"/>
  <c r="D9" i="16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24" i="33"/>
  <c r="E55" i="33"/>
  <c r="E58" i="33"/>
  <c r="E54" i="33"/>
  <c r="N15" i="18"/>
  <c r="P15" i="18"/>
  <c r="R15" i="18"/>
  <c r="E67" i="33"/>
  <c r="E82" i="33"/>
  <c r="E29" i="33"/>
  <c r="H5" i="18"/>
  <c r="H13" i="18"/>
  <c r="H4" i="18"/>
  <c r="H12" i="18"/>
  <c r="I16" i="18"/>
  <c r="S13" i="18"/>
  <c r="F10" i="19"/>
  <c r="M7" i="21"/>
  <c r="D5" i="21"/>
  <c r="T12" i="18"/>
  <c r="G15" i="18"/>
  <c r="O15" i="18"/>
  <c r="S12" i="18"/>
  <c r="E86" i="33"/>
  <c r="I4" i="18"/>
  <c r="J4" i="18" s="1"/>
  <c r="N11" i="18"/>
  <c r="E110" i="33"/>
  <c r="F3" i="19"/>
  <c r="B9" i="19"/>
  <c r="B10" i="19"/>
  <c r="F4" i="19"/>
  <c r="F5" i="19"/>
  <c r="P16" i="18"/>
  <c r="G16" i="18"/>
  <c r="O16" i="18"/>
  <c r="C7" i="21"/>
  <c r="C4" i="21"/>
  <c r="Z6" i="18"/>
  <c r="C6" i="21"/>
  <c r="B5" i="21"/>
  <c r="K13" i="22"/>
  <c r="E11" i="33"/>
  <c r="E56" i="33"/>
  <c r="E84" i="33"/>
  <c r="F14" i="21"/>
  <c r="Y6" i="18"/>
  <c r="F12" i="19"/>
  <c r="E5" i="21"/>
  <c r="E10" i="21"/>
  <c r="E85" i="33"/>
  <c r="D10" i="21"/>
  <c r="E95" i="33"/>
  <c r="E99" i="33"/>
  <c r="AB6" i="18"/>
  <c r="B3" i="21"/>
  <c r="E70" i="33"/>
  <c r="E96" i="33"/>
  <c r="E100" i="33"/>
  <c r="D4" i="21"/>
  <c r="D3" i="21"/>
  <c r="M3" i="20"/>
  <c r="N3" i="20"/>
  <c r="M2" i="20"/>
  <c r="N2" i="20"/>
  <c r="M6" i="20"/>
  <c r="N6" i="20"/>
  <c r="M16" i="20"/>
  <c r="N16" i="20"/>
  <c r="M12" i="20"/>
  <c r="N12" i="20"/>
  <c r="M15" i="20"/>
  <c r="N15" i="20"/>
  <c r="O4" i="20"/>
  <c r="M4" i="20"/>
  <c r="N4" i="20"/>
  <c r="M14" i="20"/>
  <c r="N14" i="20"/>
  <c r="O2" i="20"/>
  <c r="O14" i="20"/>
  <c r="O25" i="20"/>
  <c r="O16" i="20"/>
  <c r="O15" i="20"/>
  <c r="O22" i="20"/>
  <c r="O24" i="20"/>
  <c r="B11" i="20"/>
  <c r="C11" i="20"/>
  <c r="D11" i="20"/>
  <c r="E11" i="20"/>
  <c r="C15" i="20"/>
  <c r="D15" i="20"/>
  <c r="E15" i="20"/>
  <c r="B15" i="20"/>
  <c r="L16" i="22"/>
  <c r="N10" i="18"/>
  <c r="P10" i="18"/>
  <c r="I5" i="18"/>
  <c r="B14" i="21"/>
  <c r="C14" i="21"/>
  <c r="E14" i="21"/>
  <c r="D14" i="21"/>
  <c r="F15" i="19"/>
  <c r="P4" i="18"/>
  <c r="N5" i="18"/>
  <c r="L19" i="33"/>
  <c r="M19" i="33"/>
  <c r="N19" i="33" s="1"/>
  <c r="E38" i="33"/>
  <c r="L48" i="33"/>
  <c r="M48" i="33" s="1"/>
  <c r="N48" i="33" s="1"/>
  <c r="L67" i="33"/>
  <c r="M67" i="33" s="1"/>
  <c r="N67" i="33"/>
  <c r="L61" i="33"/>
  <c r="M61" i="33" s="1"/>
  <c r="N61" i="33" s="1"/>
  <c r="L106" i="33"/>
  <c r="M106" i="33" s="1"/>
  <c r="N106" i="33" s="1"/>
  <c r="L88" i="33"/>
  <c r="M88" i="33" s="1"/>
  <c r="N88" i="33" s="1"/>
  <c r="L98" i="33"/>
  <c r="M98" i="33" s="1"/>
  <c r="N98" i="33" s="1"/>
  <c r="L122" i="33"/>
  <c r="M122" i="33"/>
  <c r="N122" i="33" s="1"/>
  <c r="N166" i="33"/>
  <c r="N218" i="33"/>
  <c r="N279" i="33"/>
  <c r="N288" i="33"/>
  <c r="N297" i="33"/>
  <c r="N325" i="33"/>
  <c r="N348" i="33"/>
  <c r="N352" i="33"/>
  <c r="N361" i="33"/>
  <c r="N385" i="33"/>
  <c r="N395" i="33"/>
  <c r="E72" i="33"/>
  <c r="E43" i="33"/>
  <c r="E128" i="33"/>
  <c r="L49" i="33"/>
  <c r="M49" i="33"/>
  <c r="N49" i="33" s="1"/>
  <c r="L59" i="33"/>
  <c r="M59" i="33"/>
  <c r="N59" i="33" s="1"/>
  <c r="L90" i="33"/>
  <c r="M90" i="33" s="1"/>
  <c r="N90" i="33"/>
  <c r="N170" i="33"/>
  <c r="N202" i="33"/>
  <c r="N207" i="33"/>
  <c r="N213" i="33"/>
  <c r="N227" i="33"/>
  <c r="N240" i="33"/>
  <c r="N263" i="33"/>
  <c r="N268" i="33"/>
  <c r="N278" i="33"/>
  <c r="N334" i="33"/>
  <c r="L23" i="33"/>
  <c r="M23" i="33"/>
  <c r="N23" i="33" s="1"/>
  <c r="L111" i="33"/>
  <c r="M111" i="33" s="1"/>
  <c r="N111" i="33" s="1"/>
  <c r="N178" i="33"/>
  <c r="N183" i="33"/>
  <c r="N235" i="33"/>
  <c r="N258" i="33"/>
  <c r="N291" i="33"/>
  <c r="N305" i="33"/>
  <c r="N355" i="33"/>
  <c r="N378" i="33"/>
  <c r="L24" i="33"/>
  <c r="M24" i="33"/>
  <c r="N24" i="33" s="1"/>
  <c r="L42" i="33"/>
  <c r="M42" i="33"/>
  <c r="N42" i="33" s="1"/>
  <c r="L73" i="33"/>
  <c r="M73" i="33"/>
  <c r="N73" i="33" s="1"/>
  <c r="L127" i="33"/>
  <c r="M127" i="33" s="1"/>
  <c r="N127" i="33" s="1"/>
  <c r="L120" i="33"/>
  <c r="M120" i="33"/>
  <c r="N120" i="33"/>
  <c r="N196" i="33"/>
  <c r="N267" i="33"/>
  <c r="N286" i="33"/>
  <c r="N333" i="33"/>
  <c r="N383" i="33"/>
  <c r="N398" i="33"/>
  <c r="L101" i="33"/>
  <c r="M101" i="33" s="1"/>
  <c r="N101" i="33" s="1"/>
  <c r="E80" i="33"/>
  <c r="L53" i="33"/>
  <c r="M53" i="33"/>
  <c r="N53" i="33" s="1"/>
  <c r="L63" i="33"/>
  <c r="M63" i="33" s="1"/>
  <c r="N63" i="33" s="1"/>
  <c r="L75" i="33"/>
  <c r="M75" i="33" s="1"/>
  <c r="N75" i="33" s="1"/>
  <c r="E111" i="33"/>
  <c r="L126" i="33"/>
  <c r="M126" i="33" s="1"/>
  <c r="N126" i="33"/>
  <c r="N177" i="33"/>
  <c r="N195" i="33"/>
  <c r="N257" i="33"/>
  <c r="N290" i="33"/>
  <c r="N304" i="33"/>
  <c r="N322" i="33"/>
  <c r="N354" i="33"/>
  <c r="N377" i="33"/>
  <c r="L13" i="33"/>
  <c r="M13" i="33" s="1"/>
  <c r="N13" i="33" s="1"/>
  <c r="L45" i="33"/>
  <c r="M45" i="33" s="1"/>
  <c r="N45" i="33"/>
  <c r="E114" i="33"/>
  <c r="L115" i="33"/>
  <c r="M115" i="33"/>
  <c r="N115" i="33" s="1"/>
  <c r="N163" i="33"/>
  <c r="N181" i="33"/>
  <c r="N199" i="33"/>
  <c r="N204" i="33"/>
  <c r="N219" i="33"/>
  <c r="N247" i="33"/>
  <c r="N270" i="33"/>
  <c r="N345" i="33"/>
  <c r="N349" i="33"/>
  <c r="N386" i="33"/>
  <c r="L55" i="33"/>
  <c r="M55" i="33" s="1"/>
  <c r="N55" i="33"/>
  <c r="L84" i="33"/>
  <c r="M84" i="33"/>
  <c r="N84" i="33" s="1"/>
  <c r="N233" i="33"/>
  <c r="N256" i="33"/>
  <c r="N289" i="33"/>
  <c r="N326" i="33"/>
  <c r="N376" i="33"/>
  <c r="N396" i="33"/>
  <c r="L26" i="33"/>
  <c r="M26" i="33" s="1"/>
  <c r="N26" i="33" s="1"/>
  <c r="L56" i="33"/>
  <c r="M56" i="33" s="1"/>
  <c r="N56" i="33" s="1"/>
  <c r="L85" i="33"/>
  <c r="M85" i="33" s="1"/>
  <c r="N85" i="33" s="1"/>
  <c r="L97" i="33"/>
  <c r="M97" i="33" s="1"/>
  <c r="N97" i="33" s="1"/>
  <c r="N203" i="33"/>
  <c r="N208" i="33"/>
  <c r="N237" i="33"/>
  <c r="N264" i="33"/>
  <c r="N269" i="33"/>
  <c r="N275" i="33"/>
  <c r="N330" i="33"/>
  <c r="N335" i="33"/>
  <c r="N391" i="33"/>
  <c r="N400" i="33"/>
  <c r="L103" i="33"/>
  <c r="M103" i="33" s="1"/>
  <c r="N103" i="33" s="1"/>
  <c r="L71" i="33"/>
  <c r="M71" i="33"/>
  <c r="N71" i="33"/>
  <c r="E106" i="33"/>
  <c r="E6" i="33"/>
  <c r="E23" i="33"/>
  <c r="E97" i="33"/>
  <c r="L39" i="33"/>
  <c r="M39" i="33" s="1"/>
  <c r="N39" i="33" s="1"/>
  <c r="L129" i="33"/>
  <c r="M129" i="33"/>
  <c r="N129" i="33" s="1"/>
  <c r="L82" i="33"/>
  <c r="M82" i="33"/>
  <c r="N82" i="33"/>
  <c r="L41" i="33"/>
  <c r="M41" i="33" s="1"/>
  <c r="N41" i="33" s="1"/>
  <c r="L99" i="33"/>
  <c r="M99" i="33" s="1"/>
  <c r="N99" i="33" s="1"/>
  <c r="L58" i="33"/>
  <c r="M58" i="33" s="1"/>
  <c r="N58" i="33" s="1"/>
  <c r="L107" i="33"/>
  <c r="M107" i="33" s="1"/>
  <c r="N107" i="33" s="1"/>
  <c r="E13" i="33"/>
  <c r="E68" i="33"/>
  <c r="L47" i="33"/>
  <c r="M47" i="33" s="1"/>
  <c r="N47" i="33" s="1"/>
  <c r="L121" i="33"/>
  <c r="M121" i="33"/>
  <c r="N121" i="33" s="1"/>
  <c r="L118" i="33"/>
  <c r="M118" i="33"/>
  <c r="N118" i="33" s="1"/>
  <c r="E75" i="33"/>
  <c r="L62" i="33"/>
  <c r="M62" i="33"/>
  <c r="N62" i="33" s="1"/>
  <c r="L69" i="33"/>
  <c r="M69" i="33"/>
  <c r="N69" i="33" s="1"/>
  <c r="L50" i="33"/>
  <c r="M50" i="33"/>
  <c r="N50" i="33" s="1"/>
  <c r="L92" i="33"/>
  <c r="M92" i="33"/>
  <c r="N92" i="33" s="1"/>
  <c r="E19" i="33"/>
  <c r="E63" i="33"/>
  <c r="M3" i="33"/>
  <c r="N3" i="33" s="1"/>
  <c r="L117" i="33"/>
  <c r="M117" i="33" s="1"/>
  <c r="N117" i="33"/>
  <c r="L124" i="33"/>
  <c r="M124" i="33"/>
  <c r="N124" i="33" s="1"/>
  <c r="L96" i="33"/>
  <c r="M96" i="33"/>
  <c r="N96" i="33" s="1"/>
  <c r="L18" i="33"/>
  <c r="M18" i="33"/>
  <c r="N18" i="33"/>
  <c r="L17" i="33"/>
  <c r="M17" i="33" s="1"/>
  <c r="N17" i="33" s="1"/>
  <c r="L108" i="33"/>
  <c r="M108" i="33" s="1"/>
  <c r="N108" i="33"/>
  <c r="L16" i="33"/>
  <c r="M16" i="33" s="1"/>
  <c r="N16" i="33" s="1"/>
  <c r="L57" i="33"/>
  <c r="M57" i="33" s="1"/>
  <c r="N57" i="33" s="1"/>
  <c r="L33" i="33"/>
  <c r="M33" i="33" s="1"/>
  <c r="N33" i="33" s="1"/>
  <c r="E53" i="33"/>
  <c r="L46" i="33"/>
  <c r="M46" i="33" s="1"/>
  <c r="N46" i="33"/>
  <c r="L28" i="33"/>
  <c r="M28" i="33" s="1"/>
  <c r="N28" i="33" s="1"/>
  <c r="E64" i="33"/>
  <c r="L110" i="33"/>
  <c r="M110" i="33"/>
  <c r="N110" i="33" s="1"/>
  <c r="L94" i="33"/>
  <c r="M94" i="33" s="1"/>
  <c r="N94" i="33" s="1"/>
  <c r="E59" i="33"/>
  <c r="L37" i="33"/>
  <c r="M37" i="33"/>
  <c r="N37" i="33" s="1"/>
  <c r="L32" i="33"/>
  <c r="M32" i="33"/>
  <c r="N32" i="33" s="1"/>
  <c r="L109" i="33"/>
  <c r="M109" i="33"/>
  <c r="N109" i="33"/>
  <c r="L86" i="33"/>
  <c r="M86" i="33" s="1"/>
  <c r="N86" i="33" s="1"/>
  <c r="L89" i="33"/>
  <c r="M89" i="33"/>
  <c r="N89" i="33" s="1"/>
  <c r="E25" i="33"/>
  <c r="L78" i="33"/>
  <c r="M78" i="33" s="1"/>
  <c r="N78" i="33" s="1"/>
  <c r="E31" i="33"/>
  <c r="E79" i="33"/>
  <c r="L22" i="33"/>
  <c r="M22" i="33" s="1"/>
  <c r="N22" i="33" s="1"/>
  <c r="L52" i="33"/>
  <c r="M52" i="33"/>
  <c r="N52" i="33" s="1"/>
  <c r="L65" i="33"/>
  <c r="M65" i="33"/>
  <c r="N65" i="33" s="1"/>
  <c r="L95" i="33"/>
  <c r="M95" i="33"/>
  <c r="N95" i="33"/>
  <c r="L123" i="33"/>
  <c r="M123" i="33" s="1"/>
  <c r="N123" i="33" s="1"/>
  <c r="L83" i="33"/>
  <c r="M83" i="33"/>
  <c r="N83" i="33" s="1"/>
  <c r="L15" i="33"/>
  <c r="M15" i="33"/>
  <c r="N15" i="33" s="1"/>
  <c r="L87" i="33"/>
  <c r="M87" i="33"/>
  <c r="N87" i="33"/>
  <c r="E48" i="33"/>
  <c r="L20" i="33"/>
  <c r="M20" i="33"/>
  <c r="N20" i="33" s="1"/>
  <c r="L29" i="33"/>
  <c r="M29" i="33" s="1"/>
  <c r="N29" i="33" s="1"/>
  <c r="L36" i="33"/>
  <c r="M36" i="33" s="1"/>
  <c r="N36" i="33" s="1"/>
  <c r="L116" i="33"/>
  <c r="M116" i="33"/>
  <c r="N116" i="33" s="1"/>
  <c r="L74" i="33"/>
  <c r="M74" i="33"/>
  <c r="N74" i="33" s="1"/>
  <c r="L102" i="33"/>
  <c r="M102" i="33" s="1"/>
  <c r="N102" i="33" s="1"/>
  <c r="E90" i="33"/>
  <c r="M7" i="33"/>
  <c r="N7" i="33" s="1"/>
  <c r="E133" i="33"/>
  <c r="L133" i="33"/>
  <c r="M133" i="33" s="1"/>
  <c r="N133" i="33" s="1"/>
  <c r="E132" i="33"/>
  <c r="L132" i="33"/>
  <c r="M132" i="33"/>
  <c r="N132" i="33" s="1"/>
  <c r="N3" i="18"/>
  <c r="I3" i="18"/>
  <c r="J3" i="18" s="1"/>
  <c r="O4" i="18"/>
  <c r="N6" i="18"/>
  <c r="Q6" i="18"/>
  <c r="R6" i="18"/>
  <c r="I6" i="18"/>
  <c r="K6" i="18" s="1"/>
  <c r="Q11" i="18"/>
  <c r="R11" i="18"/>
  <c r="E141" i="33"/>
  <c r="L141" i="33"/>
  <c r="M141" i="33" s="1"/>
  <c r="N141" i="33" s="1"/>
  <c r="D13" i="20"/>
  <c r="C13" i="20"/>
  <c r="L140" i="33"/>
  <c r="M140" i="33" s="1"/>
  <c r="N140" i="33" s="1"/>
  <c r="K21" i="22"/>
  <c r="K23" i="22" s="1"/>
  <c r="L18" i="22"/>
  <c r="L138" i="33"/>
  <c r="M138" i="33"/>
  <c r="N138" i="33" s="1"/>
  <c r="N8" i="18"/>
  <c r="Q8" i="18" s="1"/>
  <c r="R8" i="18" s="1"/>
  <c r="I8" i="18"/>
  <c r="J8" i="18" s="1"/>
  <c r="N7" i="18"/>
  <c r="G7" i="18" s="1"/>
  <c r="O7" i="18" s="1"/>
  <c r="P7" i="18"/>
  <c r="Q5" i="18"/>
  <c r="R5" i="18" s="1"/>
  <c r="K5" i="18"/>
  <c r="F12" i="18"/>
  <c r="E156" i="33"/>
  <c r="B13" i="20"/>
  <c r="L155" i="33"/>
  <c r="M155" i="33" s="1"/>
  <c r="N155" i="33" s="1"/>
  <c r="L151" i="33"/>
  <c r="M151" i="33" s="1"/>
  <c r="N151" i="33" s="1"/>
  <c r="L150" i="33"/>
  <c r="M150" i="33" s="1"/>
  <c r="N150" i="33" s="1"/>
  <c r="N185" i="33"/>
  <c r="M113" i="33"/>
  <c r="N113" i="33"/>
  <c r="E149" i="33"/>
  <c r="L21" i="33"/>
  <c r="M21" i="33" s="1"/>
  <c r="N21" i="33" s="1"/>
  <c r="E27" i="33"/>
  <c r="L14" i="33"/>
  <c r="M14" i="33" s="1"/>
  <c r="N14" i="33" s="1"/>
  <c r="E30" i="33"/>
  <c r="E40" i="33"/>
  <c r="L44" i="33"/>
  <c r="M44" i="33"/>
  <c r="N44" i="33"/>
  <c r="E66" i="33"/>
  <c r="L76" i="33"/>
  <c r="M76" i="33"/>
  <c r="N76" i="33" s="1"/>
  <c r="E81" i="33"/>
  <c r="E113" i="33"/>
  <c r="E125" i="33"/>
  <c r="E119" i="33"/>
  <c r="N152" i="33"/>
  <c r="N156" i="33"/>
  <c r="N168" i="33"/>
  <c r="N189" i="33"/>
  <c r="N197" i="33"/>
  <c r="N223" i="33"/>
  <c r="N245" i="33"/>
  <c r="N254" i="33"/>
  <c r="N272" i="33"/>
  <c r="N294" i="33"/>
  <c r="N311" i="33"/>
  <c r="N338" i="33"/>
  <c r="N343" i="33"/>
  <c r="N356" i="33"/>
  <c r="N370" i="33"/>
  <c r="N380" i="33"/>
  <c r="L12" i="33"/>
  <c r="M12" i="33"/>
  <c r="N12" i="33" s="1"/>
  <c r="E51" i="33"/>
  <c r="L60" i="33"/>
  <c r="M60" i="33" s="1"/>
  <c r="N60" i="33" s="1"/>
  <c r="L77" i="33"/>
  <c r="M77" i="33" s="1"/>
  <c r="N77" i="33" s="1"/>
  <c r="E105" i="33"/>
  <c r="N188" i="33"/>
  <c r="N306" i="33"/>
  <c r="N388" i="33"/>
  <c r="M4" i="33"/>
  <c r="N4" i="33"/>
  <c r="N179" i="33"/>
  <c r="N217" i="33"/>
  <c r="N261" i="33"/>
  <c r="N301" i="33"/>
  <c r="N314" i="33"/>
  <c r="N328" i="33"/>
  <c r="N332" i="33"/>
  <c r="N341" i="33"/>
  <c r="N359" i="33"/>
  <c r="L104" i="33"/>
  <c r="M104" i="33" s="1"/>
  <c r="N104" i="33"/>
  <c r="M137" i="33"/>
  <c r="N137" i="33" s="1"/>
  <c r="N187" i="33"/>
  <c r="N221" i="33"/>
  <c r="N243" i="33"/>
  <c r="N292" i="33"/>
  <c r="N373" i="33"/>
  <c r="N387" i="33"/>
  <c r="E112" i="33"/>
  <c r="L34" i="33"/>
  <c r="M34" i="33" s="1"/>
  <c r="N34" i="33"/>
  <c r="N234" i="33"/>
  <c r="N252" i="33"/>
  <c r="N260" i="33"/>
  <c r="N309" i="33"/>
  <c r="M64" i="33"/>
  <c r="N64" i="33"/>
  <c r="E93" i="33"/>
  <c r="L139" i="33"/>
  <c r="M139" i="33" s="1"/>
  <c r="N139" i="33"/>
  <c r="N317" i="33"/>
  <c r="M66" i="33"/>
  <c r="N66" i="33" s="1"/>
  <c r="M119" i="33"/>
  <c r="N119" i="33"/>
  <c r="M8" i="33"/>
  <c r="N8" i="33" s="1"/>
  <c r="N312" i="33"/>
  <c r="E44" i="33"/>
  <c r="N173" i="33"/>
  <c r="N206" i="33"/>
  <c r="N215" i="33"/>
  <c r="N250" i="33"/>
  <c r="N277" i="33"/>
  <c r="N281" i="33"/>
  <c r="N339" i="33"/>
  <c r="N366" i="33"/>
  <c r="N381" i="33"/>
  <c r="N232" i="33"/>
  <c r="N241" i="33"/>
  <c r="N320" i="33"/>
  <c r="N394" i="33"/>
  <c r="E148" i="33"/>
  <c r="E147" i="33"/>
  <c r="M147" i="33"/>
  <c r="N147" i="33"/>
  <c r="L146" i="33"/>
  <c r="M146" i="33" s="1"/>
  <c r="N146" i="33" s="1"/>
  <c r="G6" i="18"/>
  <c r="O6" i="18" s="1"/>
  <c r="P6" i="18"/>
  <c r="L145" i="33"/>
  <c r="M145" i="33"/>
  <c r="N145" i="33" s="1"/>
  <c r="E145" i="33"/>
  <c r="L144" i="33"/>
  <c r="M144" i="33"/>
  <c r="N144" i="33" s="1"/>
  <c r="G10" i="18"/>
  <c r="O10" i="18"/>
  <c r="Q10" i="18"/>
  <c r="R10" i="18"/>
  <c r="I7" i="18"/>
  <c r="J7" i="18" s="1"/>
  <c r="F13" i="18"/>
  <c r="I9" i="18"/>
  <c r="I13" i="18" s="1"/>
  <c r="N9" i="18"/>
  <c r="G9" i="18" s="1"/>
  <c r="O9" i="18" s="1"/>
  <c r="Q9" i="18"/>
  <c r="R9" i="18" s="1"/>
  <c r="L162" i="33"/>
  <c r="M162" i="33" s="1"/>
  <c r="N162" i="33" s="1"/>
  <c r="E161" i="33"/>
  <c r="M159" i="33"/>
  <c r="N159" i="33"/>
  <c r="N158" i="33"/>
  <c r="G8" i="18"/>
  <c r="O8" i="18"/>
  <c r="P8" i="18"/>
  <c r="K4" i="18"/>
  <c r="J5" i="18"/>
  <c r="G3" i="18"/>
  <c r="O3" i="18" s="1"/>
  <c r="P3" i="18"/>
  <c r="Q3" i="18"/>
  <c r="R3" i="18" s="1"/>
  <c r="I2" i="18"/>
  <c r="N2" i="18"/>
  <c r="G11" i="18"/>
  <c r="O11" i="18"/>
  <c r="P11" i="18"/>
  <c r="Q7" i="18"/>
  <c r="R7" i="18"/>
  <c r="K11" i="18"/>
  <c r="K10" i="18"/>
  <c r="K2" i="18"/>
  <c r="G2" i="18"/>
  <c r="I164" i="33"/>
  <c r="F164" i="33"/>
  <c r="F163" i="33"/>
  <c r="I163" i="33"/>
  <c r="E7" i="16"/>
  <c r="I130" i="33"/>
  <c r="F112" i="33"/>
  <c r="I110" i="33"/>
  <c r="I21" i="33"/>
  <c r="F57" i="33"/>
  <c r="F72" i="33"/>
  <c r="I129" i="33"/>
  <c r="I117" i="33"/>
  <c r="F133" i="33"/>
  <c r="F58" i="33"/>
  <c r="F33" i="33"/>
  <c r="I43" i="33"/>
  <c r="I52" i="33"/>
  <c r="I93" i="33"/>
  <c r="I138" i="33"/>
  <c r="F29" i="33"/>
  <c r="I62" i="33"/>
  <c r="F48" i="33"/>
  <c r="I44" i="33"/>
  <c r="F74" i="33"/>
  <c r="I88" i="33"/>
  <c r="I118" i="33"/>
  <c r="F30" i="33"/>
  <c r="F31" i="33"/>
  <c r="I36" i="33"/>
  <c r="I54" i="33"/>
  <c r="I6" i="33"/>
  <c r="F86" i="33"/>
  <c r="F97" i="33"/>
  <c r="F102" i="33"/>
  <c r="F144" i="33"/>
  <c r="F5" i="33"/>
  <c r="F47" i="33"/>
  <c r="F92" i="33"/>
  <c r="F15" i="33"/>
  <c r="F87" i="33"/>
  <c r="I156" i="33"/>
  <c r="F116" i="33"/>
  <c r="I18" i="33"/>
  <c r="F6" i="33"/>
  <c r="F158" i="33"/>
  <c r="I61" i="33"/>
  <c r="I89" i="33"/>
  <c r="F51" i="33"/>
  <c r="I8" i="33"/>
  <c r="I119" i="33"/>
  <c r="F153" i="33"/>
  <c r="I111" i="33"/>
  <c r="I9" i="33"/>
  <c r="F43" i="33"/>
  <c r="F19" i="33"/>
  <c r="I101" i="33"/>
  <c r="I65" i="33"/>
  <c r="F88" i="33"/>
  <c r="I69" i="33"/>
  <c r="F142" i="33"/>
  <c r="I10" i="33"/>
  <c r="F14" i="33"/>
  <c r="I125" i="33"/>
  <c r="I32" i="33"/>
  <c r="F10" i="33"/>
  <c r="F140" i="33"/>
  <c r="I98" i="33"/>
  <c r="I15" i="33"/>
  <c r="I79" i="33"/>
  <c r="I82" i="33"/>
  <c r="I57" i="33"/>
  <c r="I20" i="33"/>
  <c r="I90" i="33"/>
  <c r="F122" i="33"/>
  <c r="I151" i="33"/>
  <c r="F95" i="33"/>
  <c r="I72" i="33"/>
  <c r="I74" i="33"/>
  <c r="I104" i="33"/>
  <c r="F25" i="33"/>
  <c r="F28" i="33"/>
  <c r="I137" i="33"/>
  <c r="I115" i="33"/>
  <c r="I143" i="33"/>
  <c r="I99" i="33"/>
  <c r="F80" i="33"/>
  <c r="I7" i="33"/>
  <c r="F136" i="33"/>
  <c r="I16" i="33"/>
  <c r="I159" i="33"/>
  <c r="I31" i="33"/>
  <c r="H8" i="16"/>
  <c r="I131" i="33"/>
  <c r="I35" i="33"/>
  <c r="F138" i="33"/>
  <c r="F157" i="33"/>
  <c r="F4" i="33"/>
  <c r="I145" i="33"/>
  <c r="I85" i="33"/>
  <c r="F75" i="33"/>
  <c r="F20" i="33"/>
  <c r="I126" i="33"/>
  <c r="F134" i="33"/>
  <c r="I30" i="33"/>
  <c r="I26" i="33"/>
  <c r="F59" i="33"/>
  <c r="F143" i="33"/>
  <c r="F64" i="33"/>
  <c r="F124" i="33"/>
  <c r="I50" i="33"/>
  <c r="F148" i="33"/>
  <c r="I149" i="33"/>
  <c r="F162" i="33"/>
  <c r="I132" i="33"/>
  <c r="I68" i="33"/>
  <c r="I28" i="33"/>
  <c r="I140" i="33"/>
  <c r="I148" i="33"/>
  <c r="I49" i="33"/>
  <c r="I147" i="33"/>
  <c r="I136" i="33"/>
  <c r="I141" i="33"/>
  <c r="I142" i="33"/>
  <c r="I12" i="33"/>
  <c r="I80" i="33"/>
  <c r="F55" i="33"/>
  <c r="F56" i="33"/>
  <c r="H7" i="16"/>
  <c r="F161" i="33"/>
  <c r="I78" i="33"/>
  <c r="I41" i="33"/>
  <c r="F149" i="33"/>
  <c r="E8" i="16"/>
  <c r="F127" i="33"/>
  <c r="I127" i="33"/>
  <c r="I128" i="33"/>
  <c r="I120" i="33"/>
  <c r="F121" i="33"/>
  <c r="F104" i="33"/>
  <c r="F109" i="33"/>
  <c r="I92" i="33"/>
  <c r="I97" i="33"/>
  <c r="I81" i="33"/>
  <c r="I53" i="33"/>
  <c r="F16" i="33"/>
  <c r="F68" i="33"/>
  <c r="I42" i="33"/>
  <c r="F8" i="33"/>
  <c r="I105" i="33"/>
  <c r="F49" i="33"/>
  <c r="F22" i="33"/>
  <c r="F76" i="33"/>
  <c r="I103" i="33"/>
  <c r="F52" i="33"/>
  <c r="F39" i="33"/>
  <c r="F100" i="33"/>
  <c r="F160" i="33"/>
  <c r="F24" i="33"/>
  <c r="I95" i="33"/>
  <c r="F83" i="33"/>
  <c r="F70" i="33"/>
  <c r="F18" i="33"/>
  <c r="F67" i="33"/>
  <c r="F135" i="33"/>
  <c r="I38" i="33"/>
  <c r="F98" i="33"/>
  <c r="I152" i="33"/>
  <c r="I58" i="33"/>
  <c r="I11" i="33"/>
  <c r="F107" i="33"/>
  <c r="D7" i="16"/>
  <c r="F11" i="33"/>
  <c r="I39" i="33"/>
  <c r="F66" i="33"/>
  <c r="F40" i="33"/>
  <c r="I112" i="33"/>
  <c r="I124" i="33"/>
  <c r="I96" i="33"/>
  <c r="I83" i="33"/>
  <c r="F78" i="33"/>
  <c r="F146" i="33"/>
  <c r="I64" i="33"/>
  <c r="F21" i="33"/>
  <c r="I162" i="33"/>
  <c r="F139" i="33"/>
  <c r="F44" i="33"/>
  <c r="F117" i="33"/>
  <c r="I100" i="33"/>
  <c r="I154" i="33"/>
  <c r="F151" i="33"/>
  <c r="F111" i="33"/>
  <c r="F77" i="33"/>
  <c r="F106" i="33"/>
  <c r="F96" i="33"/>
  <c r="F42" i="33"/>
  <c r="I8" i="16"/>
  <c r="I75" i="33"/>
  <c r="F101" i="33"/>
  <c r="F85" i="33"/>
  <c r="F17" i="33"/>
  <c r="F7" i="33"/>
  <c r="I161" i="33"/>
  <c r="I106" i="33"/>
  <c r="F27" i="33"/>
  <c r="F155" i="33"/>
  <c r="F71" i="33"/>
  <c r="F34" i="33"/>
  <c r="F91" i="33"/>
  <c r="I123" i="33"/>
  <c r="I66" i="33"/>
  <c r="I19" i="33"/>
  <c r="I144" i="33"/>
  <c r="I67" i="33"/>
  <c r="I116" i="33"/>
  <c r="F45" i="33"/>
  <c r="F12" i="33"/>
  <c r="F120" i="33"/>
  <c r="I84" i="33"/>
  <c r="I160" i="33"/>
  <c r="F36" i="33"/>
  <c r="I24" i="33"/>
  <c r="I133" i="33"/>
  <c r="F128" i="33"/>
  <c r="F69" i="33"/>
  <c r="I45" i="33"/>
  <c r="I55" i="33"/>
  <c r="I5" i="33"/>
  <c r="F9" i="33"/>
  <c r="I87" i="33"/>
  <c r="F63" i="33"/>
  <c r="F105" i="33"/>
  <c r="F110" i="33"/>
  <c r="I51" i="33"/>
  <c r="F126" i="33"/>
  <c r="I73" i="33"/>
  <c r="F141" i="33"/>
  <c r="F81" i="33"/>
  <c r="F99" i="33"/>
  <c r="I17" i="33"/>
  <c r="F152" i="33"/>
  <c r="I146" i="33"/>
  <c r="I25" i="33"/>
  <c r="I48" i="33"/>
  <c r="I122" i="33"/>
  <c r="I71" i="33"/>
  <c r="I46" i="33"/>
  <c r="F108" i="33"/>
  <c r="F159" i="33"/>
  <c r="F37" i="33"/>
  <c r="F114" i="33"/>
  <c r="F125" i="33"/>
  <c r="I155" i="33"/>
  <c r="F84" i="33"/>
  <c r="I70" i="33"/>
  <c r="F65" i="33"/>
  <c r="I77" i="33"/>
  <c r="F132" i="33"/>
  <c r="F147" i="33"/>
  <c r="F32" i="33"/>
  <c r="F103" i="33"/>
  <c r="I121" i="33"/>
  <c r="F115" i="33"/>
  <c r="I63" i="33"/>
  <c r="I47" i="33"/>
  <c r="F35" i="33"/>
  <c r="F41" i="33"/>
  <c r="F156" i="33"/>
  <c r="F113" i="33"/>
  <c r="F3" i="33"/>
  <c r="I139" i="33"/>
  <c r="F150" i="33"/>
  <c r="I157" i="33"/>
  <c r="I94" i="33"/>
  <c r="I33" i="33"/>
  <c r="I107" i="33"/>
  <c r="I7" i="16"/>
  <c r="F130" i="33"/>
  <c r="I4" i="33"/>
  <c r="I40" i="33"/>
  <c r="I135" i="33"/>
  <c r="F23" i="33"/>
  <c r="I56" i="33"/>
  <c r="F53" i="33"/>
  <c r="F119" i="33"/>
  <c r="I14" i="33"/>
  <c r="F26" i="33"/>
  <c r="I91" i="33"/>
  <c r="F90" i="33"/>
  <c r="I3" i="33"/>
  <c r="I29" i="33"/>
  <c r="I108" i="33"/>
  <c r="I37" i="33"/>
  <c r="I60" i="33"/>
  <c r="F137" i="33"/>
  <c r="F118" i="33"/>
  <c r="I153" i="33"/>
  <c r="F89" i="33"/>
  <c r="I86" i="33"/>
  <c r="F79" i="33"/>
  <c r="I109" i="33"/>
  <c r="F54" i="33"/>
  <c r="F38" i="33"/>
  <c r="I22" i="33"/>
  <c r="I34" i="33"/>
  <c r="F131" i="33"/>
  <c r="D8" i="16"/>
  <c r="I158" i="33"/>
  <c r="I76" i="33"/>
  <c r="I113" i="33"/>
  <c r="I59" i="33"/>
  <c r="F94" i="33"/>
  <c r="I23" i="33"/>
  <c r="I13" i="33"/>
  <c r="I150" i="33"/>
  <c r="F82" i="33"/>
  <c r="F60" i="33"/>
  <c r="I114" i="33"/>
  <c r="I134" i="33"/>
  <c r="F50" i="33"/>
  <c r="F46" i="33"/>
  <c r="I27" i="33"/>
  <c r="F93" i="33"/>
  <c r="F13" i="33"/>
  <c r="F73" i="33"/>
  <c r="I102" i="33"/>
  <c r="F61" i="33"/>
  <c r="F145" i="33"/>
  <c r="F62" i="33"/>
  <c r="F154" i="33"/>
  <c r="F129" i="33"/>
  <c r="F123" i="33"/>
  <c r="M7" i="20" l="1"/>
  <c r="N7" i="20" s="1"/>
  <c r="O7" i="20"/>
  <c r="D17" i="20"/>
  <c r="C17" i="20"/>
  <c r="B17" i="20"/>
  <c r="E17" i="20"/>
  <c r="K20" i="20"/>
  <c r="L20" i="20" s="1"/>
  <c r="O20" i="20" s="1"/>
  <c r="O18" i="20"/>
  <c r="M18" i="20"/>
  <c r="N18" i="20" s="1"/>
  <c r="O19" i="20"/>
  <c r="M19" i="20"/>
  <c r="N19" i="20" s="1"/>
  <c r="O17" i="20"/>
  <c r="M17" i="20"/>
  <c r="N17" i="20" s="1"/>
  <c r="K21" i="20"/>
  <c r="L21" i="20" s="1"/>
  <c r="O21" i="20" s="1"/>
  <c r="K4" i="22"/>
  <c r="K3" i="22"/>
  <c r="K5" i="22"/>
  <c r="L4" i="22"/>
  <c r="K10" i="20"/>
  <c r="L10" i="20" s="1"/>
  <c r="M9" i="20"/>
  <c r="N9" i="20" s="1"/>
  <c r="O9" i="20"/>
  <c r="M8" i="20"/>
  <c r="N8" i="20" s="1"/>
  <c r="O8" i="20"/>
  <c r="K11" i="20"/>
  <c r="L11" i="20" s="1"/>
  <c r="L5" i="22"/>
  <c r="L3" i="22"/>
  <c r="L164" i="33"/>
  <c r="M164" i="33" s="1"/>
  <c r="N164" i="33" s="1"/>
  <c r="G164" i="33"/>
  <c r="H164" i="33" s="1"/>
  <c r="J164" i="33"/>
  <c r="K164" i="33" s="1"/>
  <c r="G123" i="33"/>
  <c r="H123" i="33" s="1"/>
  <c r="G129" i="33"/>
  <c r="H129" i="33" s="1"/>
  <c r="G154" i="33"/>
  <c r="H154" i="33" s="1"/>
  <c r="G62" i="33"/>
  <c r="H62" i="33" s="1"/>
  <c r="G145" i="33"/>
  <c r="H145" i="33" s="1"/>
  <c r="G61" i="33"/>
  <c r="H61" i="33" s="1"/>
  <c r="J102" i="33"/>
  <c r="K102" i="33" s="1"/>
  <c r="G73" i="33"/>
  <c r="H73" i="33" s="1"/>
  <c r="G13" i="33"/>
  <c r="H13" i="33" s="1"/>
  <c r="G93" i="33"/>
  <c r="H93" i="33" s="1"/>
  <c r="J27" i="33"/>
  <c r="K27" i="33" s="1"/>
  <c r="G46" i="33"/>
  <c r="H46" i="33" s="1"/>
  <c r="G50" i="33"/>
  <c r="H50" i="33" s="1"/>
  <c r="J134" i="33"/>
  <c r="K134" i="33" s="1"/>
  <c r="J114" i="33"/>
  <c r="K114" i="33" s="1"/>
  <c r="G60" i="33"/>
  <c r="H60" i="33" s="1"/>
  <c r="G82" i="33"/>
  <c r="H82" i="33" s="1"/>
  <c r="J150" i="33"/>
  <c r="K150" i="33" s="1"/>
  <c r="J13" i="33"/>
  <c r="K13" i="33" s="1"/>
  <c r="J23" i="33"/>
  <c r="K23" i="33" s="1"/>
  <c r="G94" i="33"/>
  <c r="H94" i="33" s="1"/>
  <c r="J59" i="33"/>
  <c r="K59" i="33" s="1"/>
  <c r="J113" i="33"/>
  <c r="K113" i="33" s="1"/>
  <c r="J76" i="33"/>
  <c r="K76" i="33" s="1"/>
  <c r="J158" i="33"/>
  <c r="K158" i="33" s="1"/>
  <c r="G131" i="33"/>
  <c r="H131" i="33" s="1"/>
  <c r="J34" i="33"/>
  <c r="K34" i="33" s="1"/>
  <c r="J22" i="33"/>
  <c r="K22" i="33" s="1"/>
  <c r="G38" i="33"/>
  <c r="H38" i="33" s="1"/>
  <c r="G54" i="33"/>
  <c r="H54" i="33" s="1"/>
  <c r="J109" i="33"/>
  <c r="K109" i="33" s="1"/>
  <c r="G79" i="33"/>
  <c r="H79" i="33" s="1"/>
  <c r="J86" i="33"/>
  <c r="K86" i="33" s="1"/>
  <c r="G89" i="33"/>
  <c r="H89" i="33" s="1"/>
  <c r="J153" i="33"/>
  <c r="K153" i="33" s="1"/>
  <c r="G118" i="33"/>
  <c r="H118" i="33" s="1"/>
  <c r="G137" i="33"/>
  <c r="H137" i="33" s="1"/>
  <c r="J60" i="33"/>
  <c r="K60" i="33" s="1"/>
  <c r="J37" i="33"/>
  <c r="K37" i="33" s="1"/>
  <c r="J108" i="33"/>
  <c r="K108" i="33" s="1"/>
  <c r="J29" i="33"/>
  <c r="K29" i="33" s="1"/>
  <c r="J3" i="33"/>
  <c r="K3" i="33" s="1"/>
  <c r="G90" i="33"/>
  <c r="H90" i="33" s="1"/>
  <c r="J91" i="33"/>
  <c r="K91" i="33" s="1"/>
  <c r="G26" i="33"/>
  <c r="H26" i="33" s="1"/>
  <c r="J14" i="33"/>
  <c r="K14" i="33" s="1"/>
  <c r="G119" i="33"/>
  <c r="H119" i="33" s="1"/>
  <c r="G53" i="33"/>
  <c r="H53" i="33" s="1"/>
  <c r="J56" i="33"/>
  <c r="K56" i="33" s="1"/>
  <c r="G23" i="33"/>
  <c r="H23" i="33" s="1"/>
  <c r="J135" i="33"/>
  <c r="K135" i="33" s="1"/>
  <c r="J40" i="33"/>
  <c r="K40" i="33" s="1"/>
  <c r="J4" i="33"/>
  <c r="K4" i="33" s="1"/>
  <c r="G130" i="33"/>
  <c r="H130" i="33" s="1"/>
  <c r="O7" i="16"/>
  <c r="J107" i="33"/>
  <c r="K107" i="33" s="1"/>
  <c r="J33" i="33"/>
  <c r="K33" i="33" s="1"/>
  <c r="J94" i="33"/>
  <c r="K94" i="33" s="1"/>
  <c r="J157" i="33"/>
  <c r="K157" i="33" s="1"/>
  <c r="G150" i="33"/>
  <c r="H150" i="33" s="1"/>
  <c r="J139" i="33"/>
  <c r="K139" i="33" s="1"/>
  <c r="G3" i="33"/>
  <c r="H3" i="33" s="1"/>
  <c r="G113" i="33"/>
  <c r="H113" i="33" s="1"/>
  <c r="G156" i="33"/>
  <c r="H156" i="33" s="1"/>
  <c r="G41" i="33"/>
  <c r="H41" i="33" s="1"/>
  <c r="G35" i="33"/>
  <c r="H35" i="33" s="1"/>
  <c r="J47" i="33"/>
  <c r="K47" i="33" s="1"/>
  <c r="J63" i="33"/>
  <c r="K63" i="33" s="1"/>
  <c r="G115" i="33"/>
  <c r="H115" i="33" s="1"/>
  <c r="J121" i="33"/>
  <c r="K121" i="33" s="1"/>
  <c r="G103" i="33"/>
  <c r="H103" i="33" s="1"/>
  <c r="G32" i="33"/>
  <c r="H32" i="33" s="1"/>
  <c r="G147" i="33"/>
  <c r="H147" i="33" s="1"/>
  <c r="G132" i="33"/>
  <c r="H132" i="33" s="1"/>
  <c r="J77" i="33"/>
  <c r="K77" i="33" s="1"/>
  <c r="G65" i="33"/>
  <c r="H65" i="33" s="1"/>
  <c r="J70" i="33"/>
  <c r="K70" i="33" s="1"/>
  <c r="G84" i="33"/>
  <c r="H84" i="33" s="1"/>
  <c r="J155" i="33"/>
  <c r="K155" i="33" s="1"/>
  <c r="G125" i="33"/>
  <c r="H125" i="33" s="1"/>
  <c r="G114" i="33"/>
  <c r="H114" i="33" s="1"/>
  <c r="G37" i="33"/>
  <c r="H37" i="33" s="1"/>
  <c r="G159" i="33"/>
  <c r="H159" i="33" s="1"/>
  <c r="G108" i="33"/>
  <c r="H108" i="33" s="1"/>
  <c r="J46" i="33"/>
  <c r="K46" i="33" s="1"/>
  <c r="J71" i="33"/>
  <c r="K71" i="33" s="1"/>
  <c r="J122" i="33"/>
  <c r="K122" i="33" s="1"/>
  <c r="J48" i="33"/>
  <c r="K48" i="33" s="1"/>
  <c r="J25" i="33"/>
  <c r="K25" i="33" s="1"/>
  <c r="J146" i="33"/>
  <c r="K146" i="33" s="1"/>
  <c r="G152" i="33"/>
  <c r="H152" i="33" s="1"/>
  <c r="J17" i="33"/>
  <c r="K17" i="33" s="1"/>
  <c r="G99" i="33"/>
  <c r="H99" i="33" s="1"/>
  <c r="G81" i="33"/>
  <c r="H81" i="33" s="1"/>
  <c r="G141" i="33"/>
  <c r="H141" i="33" s="1"/>
  <c r="J73" i="33"/>
  <c r="K73" i="33" s="1"/>
  <c r="G126" i="33"/>
  <c r="H126" i="33" s="1"/>
  <c r="J51" i="33"/>
  <c r="K51" i="33" s="1"/>
  <c r="G110" i="33"/>
  <c r="H110" i="33" s="1"/>
  <c r="G105" i="33"/>
  <c r="H105" i="33" s="1"/>
  <c r="G63" i="33"/>
  <c r="H63" i="33" s="1"/>
  <c r="J87" i="33"/>
  <c r="K87" i="33" s="1"/>
  <c r="G9" i="33"/>
  <c r="H9" i="33" s="1"/>
  <c r="J5" i="33"/>
  <c r="K5" i="33" s="1"/>
  <c r="J55" i="33"/>
  <c r="K55" i="33" s="1"/>
  <c r="J45" i="33"/>
  <c r="K45" i="33" s="1"/>
  <c r="G69" i="33"/>
  <c r="H69" i="33" s="1"/>
  <c r="G128" i="33"/>
  <c r="H128" i="33" s="1"/>
  <c r="J133" i="33"/>
  <c r="K133" i="33" s="1"/>
  <c r="J24" i="33"/>
  <c r="K24" i="33" s="1"/>
  <c r="G36" i="33"/>
  <c r="H36" i="33" s="1"/>
  <c r="J160" i="33"/>
  <c r="K160" i="33" s="1"/>
  <c r="J84" i="33"/>
  <c r="K84" i="33" s="1"/>
  <c r="G120" i="33"/>
  <c r="H120" i="33" s="1"/>
  <c r="G12" i="33"/>
  <c r="H12" i="33" s="1"/>
  <c r="G45" i="33"/>
  <c r="H45" i="33" s="1"/>
  <c r="J116" i="33"/>
  <c r="K116" i="33" s="1"/>
  <c r="J67" i="33"/>
  <c r="K67" i="33" s="1"/>
  <c r="J144" i="33"/>
  <c r="K144" i="33" s="1"/>
  <c r="J19" i="33"/>
  <c r="K19" i="33" s="1"/>
  <c r="J66" i="33"/>
  <c r="K66" i="33" s="1"/>
  <c r="J123" i="33"/>
  <c r="K123" i="33" s="1"/>
  <c r="G91" i="33"/>
  <c r="H91" i="33" s="1"/>
  <c r="G34" i="33"/>
  <c r="H34" i="33" s="1"/>
  <c r="G71" i="33"/>
  <c r="H71" i="33" s="1"/>
  <c r="G155" i="33"/>
  <c r="H155" i="33" s="1"/>
  <c r="G27" i="33"/>
  <c r="H27" i="33" s="1"/>
  <c r="J106" i="33"/>
  <c r="K106" i="33" s="1"/>
  <c r="J161" i="33"/>
  <c r="K161" i="33" s="1"/>
  <c r="G7" i="33"/>
  <c r="H7" i="33" s="1"/>
  <c r="G17" i="33"/>
  <c r="H17" i="33" s="1"/>
  <c r="G85" i="33"/>
  <c r="H85" i="33" s="1"/>
  <c r="G101" i="33"/>
  <c r="H101" i="33" s="1"/>
  <c r="J75" i="33"/>
  <c r="K75" i="33" s="1"/>
  <c r="O8" i="16"/>
  <c r="G42" i="33"/>
  <c r="H42" i="33" s="1"/>
  <c r="G96" i="33"/>
  <c r="H96" i="33" s="1"/>
  <c r="G106" i="33"/>
  <c r="H106" i="33" s="1"/>
  <c r="G77" i="33"/>
  <c r="H77" i="33" s="1"/>
  <c r="G111" i="33"/>
  <c r="H111" i="33" s="1"/>
  <c r="G151" i="33"/>
  <c r="H151" i="33" s="1"/>
  <c r="J154" i="33"/>
  <c r="K154" i="33" s="1"/>
  <c r="J100" i="33"/>
  <c r="K100" i="33" s="1"/>
  <c r="G117" i="33"/>
  <c r="H117" i="33" s="1"/>
  <c r="G44" i="33"/>
  <c r="H44" i="33" s="1"/>
  <c r="G139" i="33"/>
  <c r="H139" i="33" s="1"/>
  <c r="J162" i="33"/>
  <c r="K162" i="33" s="1"/>
  <c r="G21" i="33"/>
  <c r="H21" i="33" s="1"/>
  <c r="J64" i="33"/>
  <c r="K64" i="33" s="1"/>
  <c r="G146" i="33"/>
  <c r="H146" i="33" s="1"/>
  <c r="G78" i="33"/>
  <c r="H78" i="33" s="1"/>
  <c r="J83" i="33"/>
  <c r="K83" i="33" s="1"/>
  <c r="J96" i="33"/>
  <c r="K96" i="33" s="1"/>
  <c r="J124" i="33"/>
  <c r="K124" i="33" s="1"/>
  <c r="J112" i="33"/>
  <c r="K112" i="33" s="1"/>
  <c r="G40" i="33"/>
  <c r="H40" i="33" s="1"/>
  <c r="G66" i="33"/>
  <c r="H66" i="33" s="1"/>
  <c r="J39" i="33"/>
  <c r="K39" i="33" s="1"/>
  <c r="G11" i="33"/>
  <c r="H11" i="33" s="1"/>
  <c r="G107" i="33"/>
  <c r="H107" i="33" s="1"/>
  <c r="J11" i="33"/>
  <c r="K11" i="33" s="1"/>
  <c r="J58" i="33"/>
  <c r="K58" i="33" s="1"/>
  <c r="J152" i="33"/>
  <c r="K152" i="33" s="1"/>
  <c r="G98" i="33"/>
  <c r="H98" i="33" s="1"/>
  <c r="J38" i="33"/>
  <c r="K38" i="33" s="1"/>
  <c r="G135" i="33"/>
  <c r="H135" i="33" s="1"/>
  <c r="G67" i="33"/>
  <c r="H67" i="33" s="1"/>
  <c r="G18" i="33"/>
  <c r="H18" i="33" s="1"/>
  <c r="G70" i="33"/>
  <c r="H70" i="33" s="1"/>
  <c r="G83" i="33"/>
  <c r="H83" i="33" s="1"/>
  <c r="J95" i="33"/>
  <c r="K95" i="33" s="1"/>
  <c r="G24" i="33"/>
  <c r="H24" i="33" s="1"/>
  <c r="G160" i="33"/>
  <c r="H160" i="33" s="1"/>
  <c r="G100" i="33"/>
  <c r="H100" i="33" s="1"/>
  <c r="G39" i="33"/>
  <c r="H39" i="33" s="1"/>
  <c r="G52" i="33"/>
  <c r="H52" i="33" s="1"/>
  <c r="J103" i="33"/>
  <c r="K103" i="33" s="1"/>
  <c r="G76" i="33"/>
  <c r="H76" i="33" s="1"/>
  <c r="G22" i="33"/>
  <c r="H22" i="33" s="1"/>
  <c r="G49" i="33"/>
  <c r="H49" i="33" s="1"/>
  <c r="J105" i="33"/>
  <c r="K105" i="33" s="1"/>
  <c r="G8" i="33"/>
  <c r="H8" i="33" s="1"/>
  <c r="J42" i="33"/>
  <c r="K42" i="33" s="1"/>
  <c r="G68" i="33"/>
  <c r="H68" i="33" s="1"/>
  <c r="G16" i="33"/>
  <c r="H16" i="33" s="1"/>
  <c r="J53" i="33"/>
  <c r="K53" i="33" s="1"/>
  <c r="J81" i="33"/>
  <c r="K81" i="33" s="1"/>
  <c r="J97" i="33"/>
  <c r="K97" i="33" s="1"/>
  <c r="J92" i="33"/>
  <c r="K92" i="33" s="1"/>
  <c r="G109" i="33"/>
  <c r="H109" i="33" s="1"/>
  <c r="G104" i="33"/>
  <c r="H104" i="33" s="1"/>
  <c r="G121" i="33"/>
  <c r="H121" i="33" s="1"/>
  <c r="J120" i="33"/>
  <c r="K120" i="33" s="1"/>
  <c r="J128" i="33"/>
  <c r="K128" i="33" s="1"/>
  <c r="J127" i="33"/>
  <c r="K127" i="33" s="1"/>
  <c r="G127" i="33"/>
  <c r="H127" i="33" s="1"/>
  <c r="G149" i="33"/>
  <c r="H149" i="33" s="1"/>
  <c r="J41" i="33"/>
  <c r="K41" i="33" s="1"/>
  <c r="J78" i="33"/>
  <c r="K78" i="33" s="1"/>
  <c r="G161" i="33"/>
  <c r="H161" i="33" s="1"/>
  <c r="N7" i="16"/>
  <c r="G56" i="33"/>
  <c r="H56" i="33" s="1"/>
  <c r="G55" i="33"/>
  <c r="H55" i="33" s="1"/>
  <c r="J80" i="33"/>
  <c r="K80" i="33" s="1"/>
  <c r="J12" i="33"/>
  <c r="K12" i="33" s="1"/>
  <c r="J142" i="33"/>
  <c r="K142" i="33" s="1"/>
  <c r="J141" i="33"/>
  <c r="K141" i="33" s="1"/>
  <c r="J136" i="33"/>
  <c r="K136" i="33" s="1"/>
  <c r="J147" i="33"/>
  <c r="K147" i="33" s="1"/>
  <c r="J49" i="33"/>
  <c r="K49" i="33" s="1"/>
  <c r="J148" i="33"/>
  <c r="K148" i="33" s="1"/>
  <c r="J140" i="33"/>
  <c r="K140" i="33" s="1"/>
  <c r="J28" i="33"/>
  <c r="K28" i="33" s="1"/>
  <c r="J68" i="33"/>
  <c r="K68" i="33" s="1"/>
  <c r="J132" i="33"/>
  <c r="K132" i="33" s="1"/>
  <c r="G162" i="33"/>
  <c r="H162" i="33" s="1"/>
  <c r="J149" i="33"/>
  <c r="K149" i="33" s="1"/>
  <c r="G148" i="33"/>
  <c r="H148" i="33" s="1"/>
  <c r="J50" i="33"/>
  <c r="K50" i="33" s="1"/>
  <c r="G124" i="33"/>
  <c r="H124" i="33" s="1"/>
  <c r="G64" i="33"/>
  <c r="H64" i="33" s="1"/>
  <c r="G143" i="33"/>
  <c r="H143" i="33" s="1"/>
  <c r="G59" i="33"/>
  <c r="H59" i="33" s="1"/>
  <c r="J26" i="33"/>
  <c r="K26" i="33" s="1"/>
  <c r="J30" i="33"/>
  <c r="K30" i="33" s="1"/>
  <c r="G134" i="33"/>
  <c r="H134" i="33" s="1"/>
  <c r="J126" i="33"/>
  <c r="K126" i="33" s="1"/>
  <c r="G20" i="33"/>
  <c r="H20" i="33" s="1"/>
  <c r="G75" i="33"/>
  <c r="H75" i="33" s="1"/>
  <c r="J85" i="33"/>
  <c r="K85" i="33" s="1"/>
  <c r="J145" i="33"/>
  <c r="K145" i="33" s="1"/>
  <c r="G4" i="33"/>
  <c r="H4" i="33" s="1"/>
  <c r="G157" i="33"/>
  <c r="H157" i="33" s="1"/>
  <c r="G138" i="33"/>
  <c r="H138" i="33" s="1"/>
  <c r="J35" i="33"/>
  <c r="K35" i="33" s="1"/>
  <c r="J131" i="33"/>
  <c r="K131" i="33" s="1"/>
  <c r="N8" i="16"/>
  <c r="J31" i="33"/>
  <c r="K31" i="33" s="1"/>
  <c r="J159" i="33"/>
  <c r="K159" i="33" s="1"/>
  <c r="J16" i="33"/>
  <c r="K16" i="33" s="1"/>
  <c r="G136" i="33"/>
  <c r="H136" i="33" s="1"/>
  <c r="J7" i="33"/>
  <c r="K7" i="33" s="1"/>
  <c r="G80" i="33"/>
  <c r="H80" i="33" s="1"/>
  <c r="J99" i="33"/>
  <c r="K99" i="33" s="1"/>
  <c r="J143" i="33"/>
  <c r="K143" i="33" s="1"/>
  <c r="J115" i="33"/>
  <c r="K115" i="33" s="1"/>
  <c r="J137" i="33"/>
  <c r="K137" i="33" s="1"/>
  <c r="G28" i="33"/>
  <c r="H28" i="33" s="1"/>
  <c r="G25" i="33"/>
  <c r="H25" i="33" s="1"/>
  <c r="J104" i="33"/>
  <c r="K104" i="33" s="1"/>
  <c r="J74" i="33"/>
  <c r="K74" i="33" s="1"/>
  <c r="J72" i="33"/>
  <c r="K72" i="33" s="1"/>
  <c r="G95" i="33"/>
  <c r="H95" i="33" s="1"/>
  <c r="J151" i="33"/>
  <c r="K151" i="33" s="1"/>
  <c r="G122" i="33"/>
  <c r="H122" i="33" s="1"/>
  <c r="J90" i="33"/>
  <c r="K90" i="33" s="1"/>
  <c r="J20" i="33"/>
  <c r="K20" i="33" s="1"/>
  <c r="J57" i="33"/>
  <c r="K57" i="33" s="1"/>
  <c r="J82" i="33"/>
  <c r="K82" i="33" s="1"/>
  <c r="J79" i="33"/>
  <c r="K79" i="33" s="1"/>
  <c r="J15" i="33"/>
  <c r="K15" i="33" s="1"/>
  <c r="J98" i="33"/>
  <c r="K98" i="33" s="1"/>
  <c r="G140" i="33"/>
  <c r="H140" i="33" s="1"/>
  <c r="G10" i="33"/>
  <c r="H10" i="33" s="1"/>
  <c r="J32" i="33"/>
  <c r="K32" i="33" s="1"/>
  <c r="J125" i="33"/>
  <c r="K125" i="33" s="1"/>
  <c r="G14" i="33"/>
  <c r="H14" i="33" s="1"/>
  <c r="J10" i="33"/>
  <c r="K10" i="33" s="1"/>
  <c r="G142" i="33"/>
  <c r="H142" i="33" s="1"/>
  <c r="J69" i="33"/>
  <c r="K69" i="33" s="1"/>
  <c r="G88" i="33"/>
  <c r="H88" i="33" s="1"/>
  <c r="J65" i="33"/>
  <c r="K65" i="33" s="1"/>
  <c r="J101" i="33"/>
  <c r="K101" i="33" s="1"/>
  <c r="G19" i="33"/>
  <c r="H19" i="33" s="1"/>
  <c r="G43" i="33"/>
  <c r="H43" i="33" s="1"/>
  <c r="J9" i="33"/>
  <c r="K9" i="33" s="1"/>
  <c r="J111" i="33"/>
  <c r="K111" i="33" s="1"/>
  <c r="G153" i="33"/>
  <c r="H153" i="33" s="1"/>
  <c r="J119" i="33"/>
  <c r="K119" i="33" s="1"/>
  <c r="J8" i="33"/>
  <c r="K8" i="33" s="1"/>
  <c r="G51" i="33"/>
  <c r="H51" i="33" s="1"/>
  <c r="J89" i="33"/>
  <c r="K89" i="33" s="1"/>
  <c r="J61" i="33"/>
  <c r="K61" i="33" s="1"/>
  <c r="G158" i="33"/>
  <c r="H158" i="33" s="1"/>
  <c r="G6" i="33"/>
  <c r="H6" i="33" s="1"/>
  <c r="J18" i="33"/>
  <c r="K18" i="33" s="1"/>
  <c r="G116" i="33"/>
  <c r="H116" i="33" s="1"/>
  <c r="J156" i="33"/>
  <c r="K156" i="33" s="1"/>
  <c r="G87" i="33"/>
  <c r="H87" i="33" s="1"/>
  <c r="G15" i="33"/>
  <c r="H15" i="33" s="1"/>
  <c r="G92" i="33"/>
  <c r="H92" i="33" s="1"/>
  <c r="G47" i="33"/>
  <c r="H47" i="33" s="1"/>
  <c r="G5" i="33"/>
  <c r="H5" i="33" s="1"/>
  <c r="G144" i="33"/>
  <c r="H144" i="33" s="1"/>
  <c r="G102" i="33"/>
  <c r="H102" i="33" s="1"/>
  <c r="G97" i="33"/>
  <c r="H97" i="33" s="1"/>
  <c r="G86" i="33"/>
  <c r="H86" i="33" s="1"/>
  <c r="J6" i="33"/>
  <c r="K6" i="33" s="1"/>
  <c r="J54" i="33"/>
  <c r="K54" i="33" s="1"/>
  <c r="J36" i="33"/>
  <c r="K36" i="33" s="1"/>
  <c r="G31" i="33"/>
  <c r="H31" i="33" s="1"/>
  <c r="G30" i="33"/>
  <c r="H30" i="33" s="1"/>
  <c r="J118" i="33"/>
  <c r="K118" i="33" s="1"/>
  <c r="J88" i="33"/>
  <c r="K88" i="33" s="1"/>
  <c r="G74" i="33"/>
  <c r="H74" i="33" s="1"/>
  <c r="J44" i="33"/>
  <c r="K44" i="33" s="1"/>
  <c r="G48" i="33"/>
  <c r="H48" i="33" s="1"/>
  <c r="J62" i="33"/>
  <c r="K62" i="33" s="1"/>
  <c r="G29" i="33"/>
  <c r="H29" i="33" s="1"/>
  <c r="J138" i="33"/>
  <c r="K138" i="33" s="1"/>
  <c r="J93" i="33"/>
  <c r="K93" i="33" s="1"/>
  <c r="J52" i="33"/>
  <c r="K52" i="33" s="1"/>
  <c r="J43" i="33"/>
  <c r="K43" i="33" s="1"/>
  <c r="G33" i="33"/>
  <c r="H33" i="33" s="1"/>
  <c r="G58" i="33"/>
  <c r="H58" i="33" s="1"/>
  <c r="G133" i="33"/>
  <c r="H133" i="33" s="1"/>
  <c r="J117" i="33"/>
  <c r="K117" i="33" s="1"/>
  <c r="J129" i="33"/>
  <c r="K129" i="33" s="1"/>
  <c r="G72" i="33"/>
  <c r="H72" i="33" s="1"/>
  <c r="G57" i="33"/>
  <c r="H57" i="33" s="1"/>
  <c r="J21" i="33"/>
  <c r="K21" i="33" s="1"/>
  <c r="J110" i="33"/>
  <c r="K110" i="33" s="1"/>
  <c r="G112" i="33"/>
  <c r="H112" i="33" s="1"/>
  <c r="J130" i="33"/>
  <c r="K130" i="33" s="1"/>
  <c r="J163" i="33"/>
  <c r="K163" i="33" s="1"/>
  <c r="G163" i="33"/>
  <c r="H163" i="33" s="1"/>
  <c r="L4" i="18"/>
  <c r="L10" i="18"/>
  <c r="I12" i="18"/>
  <c r="J2" i="18"/>
  <c r="K3" i="18"/>
  <c r="M10" i="18"/>
  <c r="M6" i="18"/>
  <c r="L6" i="18"/>
  <c r="M2" i="18"/>
  <c r="L2" i="18"/>
  <c r="O2" i="18"/>
  <c r="G12" i="18"/>
  <c r="O12" i="18" s="1"/>
  <c r="N12" i="18"/>
  <c r="Q2" i="18"/>
  <c r="P2" i="18"/>
  <c r="N13" i="18"/>
  <c r="G5" i="18"/>
  <c r="O5" i="18" s="1"/>
  <c r="P5" i="18"/>
  <c r="K9" i="18"/>
  <c r="J9" i="18"/>
  <c r="J13" i="18" s="1"/>
  <c r="P9" i="18"/>
  <c r="K7" i="18"/>
  <c r="L11" i="18" s="1"/>
  <c r="J6" i="18"/>
  <c r="Q4" i="18"/>
  <c r="R4" i="18" s="1"/>
  <c r="K8" i="18"/>
  <c r="M4" i="18" s="1"/>
  <c r="M20" i="20" l="1"/>
  <c r="N20" i="20" s="1"/>
  <c r="M21" i="20"/>
  <c r="N21" i="20" s="1"/>
  <c r="O10" i="20"/>
  <c r="M10" i="20"/>
  <c r="N10" i="20" s="1"/>
  <c r="O11" i="20"/>
  <c r="M11" i="20"/>
  <c r="N11" i="20" s="1"/>
  <c r="M9" i="18"/>
  <c r="L9" i="18"/>
  <c r="P12" i="18"/>
  <c r="Q12" i="18"/>
  <c r="R2" i="18"/>
  <c r="R12" i="18" s="1"/>
  <c r="L5" i="18"/>
  <c r="M3" i="18"/>
  <c r="L3" i="18"/>
  <c r="M5" i="18"/>
  <c r="M11" i="18"/>
  <c r="L8" i="18"/>
  <c r="M8" i="18"/>
  <c r="J12" i="18"/>
  <c r="G13" i="18"/>
  <c r="O13" i="18" s="1"/>
  <c r="K12" i="18"/>
  <c r="K13" i="18"/>
  <c r="M7" i="18"/>
  <c r="L7" i="18"/>
</calcChain>
</file>

<file path=xl/sharedStrings.xml><?xml version="1.0" encoding="utf-8"?>
<sst xmlns="http://schemas.openxmlformats.org/spreadsheetml/2006/main" count="646" uniqueCount="198">
  <si>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</si>
  <si>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</si>
  <si>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</si>
  <si>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</si>
  <si>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</si>
  <si>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</si>
  <si>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</si>
  <si>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</si>
  <si>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</si>
  <si>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</si>
  <si>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</si>
  <si>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</si>
  <si>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</si>
  <si>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</si>
  <si>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</si>
  <si>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</si>
  <si>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</si>
  <si>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</si>
  <si>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</si>
  <si>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</si>
  <si>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</si>
  <si>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</si>
  <si>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</si>
  <si>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</si>
  <si>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</si>
  <si>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</si>
  <si>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</si>
  <si>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</si>
  <si>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</si>
  <si>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</si>
  <si>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</si>
  <si>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</si>
  <si>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</si>
  <si>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</si>
  <si>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</si>
  <si>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</si>
  <si>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</si>
  <si>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</si>
  <si>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</si>
  <si>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</si>
  <si>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</si>
  <si>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</si>
  <si>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</si>
  <si>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</si>
  <si>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</si>
  <si>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</si>
  <si>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</si>
  <si>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</si>
  <si>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</si>
  <si>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</si>
  <si>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</si>
  <si>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</si>
  <si>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</si>
  <si>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</si>
  <si>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</si>
  <si>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</si>
  <si>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</si>
  <si>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</si>
  <si>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</si>
  <si>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</si>
  <si>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</si>
  <si>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</si>
  <si>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</si>
  <si>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</si>
  <si>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</si>
  <si>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</si>
  <si>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</si>
  <si>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</si>
  <si>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</si>
  <si>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</si>
  <si>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</si>
  <si>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</si>
  <si>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</si>
  <si>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</si>
  <si>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</si>
  <si>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</si>
  <si>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</si>
  <si>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</si>
  <si>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</si>
  <si>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</si>
  <si>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</si>
  <si>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</si>
  <si>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</si>
  <si>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</si>
  <si>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</si>
  <si>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</si>
  <si>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</si>
  <si>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</si>
  <si>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</si>
  <si>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</si>
  <si>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</si>
  <si>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</si>
  <si>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</si>
  <si>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</si>
  <si>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</si>
  <si>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</si>
  <si>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</si>
  <si>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</si>
  <si>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</si>
  <si>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</si>
  <si>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</si>
  <si>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</si>
  <si>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</si>
  <si>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</si>
  <si>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</si>
  <si>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交換總量</t>
  </si>
  <si>
    <t>排位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</si>
  <si>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</si>
  <si>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</si>
  <si>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</si>
  <si>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</si>
  <si>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</si>
  <si>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</si>
  <si>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</si>
  <si>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</si>
  <si>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</si>
  <si>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</si>
  <si>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</si>
  <si>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</si>
  <si>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</si>
  <si>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</si>
  <si>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</si>
  <si>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</si>
  <si>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</si>
  <si>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</si>
  <si>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</si>
  <si>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</si>
  <si>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</si>
  <si>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</si>
  <si>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</si>
  <si>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</si>
  <si>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</si>
  <si>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</si>
  <si>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</si>
  <si>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</si>
  <si>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</si>
  <si>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</si>
  <si>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</si>
  <si>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</si>
  <si>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</si>
  <si>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</si>
  <si>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</si>
  <si>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</si>
  <si>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</si>
  <si>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</si>
  <si>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</si>
  <si>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</si>
  <si>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</si>
  <si>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</si>
  <si>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</si>
  <si>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</si>
  <si>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</si>
  <si>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</si>
  <si>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護符</t>
  </si>
  <si>
    <t>經過時長</t>
  </si>
  <si>
    <t>預估目標差距</t>
  </si>
  <si>
    <t>預期進度差距</t>
  </si>
  <si>
    <t>預期進度差距%</t>
  </si>
  <si>
    <t>預估日差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</si>
  <si>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</si>
  <si>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</si>
  <si>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</si>
  <si>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</si>
  <si>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</si>
  <si>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</si>
  <si>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</si>
  <si>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</si>
  <si>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</si>
  <si>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</si>
  <si>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</si>
  <si>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</si>
  <si>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</si>
  <si>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</si>
  <si>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</si>
  <si>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</si>
  <si>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</si>
  <si>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</si>
  <si>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</si>
  <si>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</si>
  <si>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</si>
  <si>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</si>
  <si>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</si>
  <si>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預估日差1/2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</si>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</sst>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mm\-dd\ hh:mm"/>
    <numFmt numFmtId="173" formatCode="[Color50]\+0.0,\ &quot;K&quot;;[Red]\-0.0,\ &quot;K&quot;"/>
    <numFmt numFmtId="174" formatCode="0.0000%"/>
    <numFmt numFmtId="175" formatCode="[&gt;3][h]\ \H;[&lt;=3][h]\ \H\ mm\ \M"/>
    <numFmt numFmtId="176" formatCode="[hh]\ \H"/>
    <numFmt numFmtId="177" formatCode="[Color50]\+0.00%;[Red]\-0.00%"/>
    <numFmt numFmtId="178" formatCode="0.00,\ &quot;K&quot;"/>
    <numFmt numFmtId="179" formatCode="\+0"/>
    <numFmt numFmtId="180" formatCode="0.000%"/>
    <numFmt numFmtId="181" formatCode="yyyy\-mm\-dd\ /\ hh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indexed="64"/>
      </right>
      <top style="thin">
        <color theme="2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2" tint="-0.249977111117893"/>
      </top>
      <bottom/>
      <diagonal/>
    </border>
    <border>
      <left/>
      <right style="medium">
        <color indexed="64"/>
      </right>
      <top style="thin">
        <color theme="2" tint="-0.24997711111789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7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8" borderId="1" xfId="0" applyNumberFormat="1" applyFon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8" fontId="0" fillId="17" borderId="6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8" fontId="0" fillId="18" borderId="8" xfId="1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" fontId="27" fillId="0" borderId="8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" fontId="27" fillId="0" borderId="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66" fontId="0" fillId="3" borderId="1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0" fontId="3" fillId="5" borderId="0" xfId="0" applyNumberFormat="1" applyFont="1" applyFill="1" applyBorder="1" applyAlignment="1">
      <alignment horizontal="center" vertical="center"/>
    </xf>
    <xf numFmtId="170" fontId="0" fillId="5" borderId="0" xfId="0" applyNumberFormat="1" applyFill="1" applyBorder="1" applyAlignment="1">
      <alignment horizontal="center" vertical="center"/>
    </xf>
    <xf numFmtId="170" fontId="3" fillId="4" borderId="0" xfId="0" applyNumberFormat="1" applyFont="1" applyFill="1" applyBorder="1" applyAlignment="1">
      <alignment horizontal="center" vertical="center"/>
    </xf>
    <xf numFmtId="170" fontId="0" fillId="4" borderId="0" xfId="0" applyNumberFormat="1" applyFill="1" applyBorder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70" fontId="3" fillId="6" borderId="0" xfId="0" applyNumberFormat="1" applyFont="1" applyFill="1" applyBorder="1" applyAlignment="1">
      <alignment horizontal="center" vertical="center"/>
    </xf>
    <xf numFmtId="170" fontId="0" fillId="6" borderId="0" xfId="0" applyNumberFormat="1" applyFill="1" applyBorder="1" applyAlignment="1">
      <alignment horizontal="center" vertical="center"/>
    </xf>
    <xf numFmtId="170" fontId="3" fillId="7" borderId="0" xfId="0" applyNumberFormat="1" applyFont="1" applyFill="1" applyBorder="1" applyAlignment="1">
      <alignment horizontal="center" vertical="center"/>
    </xf>
    <xf numFmtId="170" fontId="0" fillId="7" borderId="0" xfId="0" applyNumberFormat="1" applyFill="1" applyBorder="1" applyAlignment="1">
      <alignment horizontal="center" vertical="center"/>
    </xf>
    <xf numFmtId="170" fontId="3" fillId="7" borderId="0" xfId="0" applyNumberFormat="1" applyFont="1" applyFill="1" applyAlignment="1">
      <alignment horizontal="center" vertical="center"/>
    </xf>
    <xf numFmtId="170" fontId="0" fillId="7" borderId="0" xfId="0" applyNumberFormat="1" applyFill="1" applyAlignment="1">
      <alignment horizontal="center" vertical="center"/>
    </xf>
    <xf numFmtId="170" fontId="3" fillId="8" borderId="0" xfId="0" applyNumberFormat="1" applyFont="1" applyFill="1" applyAlignment="1">
      <alignment horizontal="center" vertical="center"/>
    </xf>
    <xf numFmtId="170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5" xfId="0" applyNumberForma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/>
    </xf>
    <xf numFmtId="0" fontId="31" fillId="6" borderId="8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/>
    </xf>
    <xf numFmtId="0" fontId="31" fillId="23" borderId="8" xfId="0" applyNumberFormat="1" applyFont="1" applyFill="1" applyBorder="1" applyAlignment="1">
      <alignment horizontal="center" vertical="center"/>
    </xf>
    <xf numFmtId="0" fontId="31" fillId="0" borderId="8" xfId="0" applyNumberFormat="1" applyFont="1" applyBorder="1" applyAlignment="1">
      <alignment horizontal="center" vertical="center"/>
    </xf>
    <xf numFmtId="0" fontId="31" fillId="23" borderId="9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0" fillId="18" borderId="21" xfId="0" applyNumberFormat="1" applyFill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" fontId="0" fillId="17" borderId="23" xfId="0" applyNumberFormat="1" applyFill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1" fontId="0" fillId="18" borderId="22" xfId="0" applyNumberFormat="1" applyFill="1" applyBorder="1" applyAlignment="1">
      <alignment horizontal="center" vertical="center"/>
    </xf>
    <xf numFmtId="1" fontId="0" fillId="17" borderId="24" xfId="0" applyNumberForma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8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1" fontId="3" fillId="0" borderId="6" xfId="0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3" fillId="8" borderId="0" xfId="0" applyFont="1" applyFill="1" applyAlignment="1">
      <alignment horizontal="center" vertical="center"/>
    </xf>
    <xf numFmtId="1" fontId="33" fillId="8" borderId="0" xfId="0" applyNumberFormat="1" applyFont="1" applyFill="1" applyAlignment="1">
      <alignment horizontal="center" vertical="center"/>
    </xf>
    <xf numFmtId="10" fontId="33" fillId="0" borderId="0" xfId="1" applyNumberFormat="1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1" fontId="33" fillId="10" borderId="0" xfId="0" applyNumberFormat="1" applyFont="1" applyFill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1" fontId="33" fillId="11" borderId="0" xfId="0" applyNumberFormat="1" applyFont="1" applyFill="1" applyAlignment="1">
      <alignment horizontal="center" vertical="center"/>
    </xf>
    <xf numFmtId="0" fontId="33" fillId="12" borderId="0" xfId="0" applyFont="1" applyFill="1" applyAlignment="1">
      <alignment horizontal="center" vertical="center"/>
    </xf>
    <xf numFmtId="1" fontId="33" fillId="12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1" fontId="33" fillId="4" borderId="0" xfId="0" applyNumberFormat="1" applyFont="1" applyFill="1" applyAlignment="1">
      <alignment horizontal="center" vertical="center"/>
    </xf>
    <xf numFmtId="0" fontId="33" fillId="0" borderId="0" xfId="0" applyNumberFormat="1" applyFont="1" applyBorder="1" applyAlignment="1">
      <alignment horizontal="center" vertical="center"/>
    </xf>
    <xf numFmtId="1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3" fillId="8" borderId="0" xfId="1" applyNumberFormat="1" applyFont="1" applyFill="1" applyBorder="1" applyAlignment="1">
      <alignment horizontal="center" vertical="center"/>
    </xf>
    <xf numFmtId="10" fontId="33" fillId="10" borderId="0" xfId="1" applyNumberFormat="1" applyFont="1" applyFill="1" applyBorder="1" applyAlignment="1">
      <alignment horizontal="center" vertical="center"/>
    </xf>
    <xf numFmtId="10" fontId="33" fillId="11" borderId="0" xfId="1" applyNumberFormat="1" applyFont="1" applyFill="1" applyBorder="1" applyAlignment="1">
      <alignment horizontal="center" vertical="center"/>
    </xf>
    <xf numFmtId="10" fontId="33" fillId="12" borderId="0" xfId="1" applyNumberFormat="1" applyFont="1" applyFill="1" applyBorder="1" applyAlignment="1">
      <alignment horizontal="center" vertical="center"/>
    </xf>
    <xf numFmtId="10" fontId="33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2" fontId="2" fillId="0" borderId="0" xfId="0" applyNumberFormat="1" applyFont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4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4" fillId="12" borderId="0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4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4" fillId="10" borderId="0" xfId="0" applyFont="1" applyFill="1" applyBorder="1" applyAlignment="1">
      <alignment horizontal="center" vertical="center"/>
    </xf>
    <xf numFmtId="10" fontId="35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C9C9C9"/>
      <color rgb="FFFFC000"/>
      <color rgb="FF00FF00"/>
      <color rgb="FFFFF2CC"/>
      <color rgb="FFD0B9FF"/>
      <color rgb="FFFF4B4B"/>
      <color rgb="FFFF9F9F"/>
      <color rgb="FFFFBDBD"/>
      <color rgb="FFCD7F32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calcChain" Target="calcChain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8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24" Type="http://schemas.openxmlformats.org/officeDocument/2006/relationships/styles" Target="styles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23" Type="http://schemas.openxmlformats.org/officeDocument/2006/relationships/theme" Target="theme/theme1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90132.786885589929</c:v>
                </c:pt>
                <c:pt idx="8">
                  <c:v>95356.007678011942</c:v>
                </c:pt>
                <c:pt idx="9">
                  <c:v>109368.28849488279</c:v>
                </c:pt>
                <c:pt idx="10">
                  <c:v>110640.54298639621</c:v>
                </c:pt>
                <c:pt idx="11">
                  <c:v>78944.288939072663</c:v>
                </c:pt>
                <c:pt idx="12">
                  <c:v>58967.826506007557</c:v>
                </c:pt>
                <c:pt idx="13">
                  <c:v>65158.341013789926</c:v>
                </c:pt>
                <c:pt idx="14">
                  <c:v>71749.702970297032</c:v>
                </c:pt>
                <c:pt idx="15">
                  <c:v>72830.817665059702</c:v>
                </c:pt>
                <c:pt idx="16">
                  <c:v>76809.489610622739</c:v>
                </c:pt>
                <c:pt idx="17">
                  <c:v>79479.527772480578</c:v>
                </c:pt>
                <c:pt idx="18">
                  <c:v>73303.02439027364</c:v>
                </c:pt>
                <c:pt idx="19">
                  <c:v>77984.437129783226</c:v>
                </c:pt>
                <c:pt idx="20">
                  <c:v>79930.092386089469</c:v>
                </c:pt>
                <c:pt idx="21">
                  <c:v>82982.57534246576</c:v>
                </c:pt>
                <c:pt idx="22">
                  <c:v>83574.727354655493</c:v>
                </c:pt>
                <c:pt idx="23">
                  <c:v>83817.730602478769</c:v>
                </c:pt>
                <c:pt idx="24">
                  <c:v>80315.737521050323</c:v>
                </c:pt>
                <c:pt idx="25">
                  <c:v>78361.274900380231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玩家EXP!$F$2</c15:sqref>
                        </c15:formulaRef>
                      </c:ext>
                    </c:extLst>
                    <c:strCache>
                      <c:ptCount val="1"/>
                      <c:pt idx="0">
                        <c:v>EXP/日 (1日)</c:v>
                      </c:pt>
                    </c:strCache>
                  </c:strRef>
                </c:tx>
                <c:spPr>
                  <a:ln w="22225" cap="rnd">
                    <a:solidFill>
                      <a:srgbClr val="FFC000"/>
                    </a:solidFill>
                  </a:ln>
                  <a:effectLst>
                    <a:glow rad="63500">
                      <a:srgbClr val="FFC000">
                        <a:alpha val="20000"/>
                      </a:srgb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rgbClr val="FFC000">
                        <a:alpha val="50000"/>
                      </a:srgbClr>
                    </a:solidFill>
                    <a:ln>
                      <a:noFill/>
                    </a:ln>
                    <a:effectLst>
                      <a:glow rad="63500">
                        <a:srgbClr val="FFC000">
                          <a:alpha val="20000"/>
                        </a:srgb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玩家EXP!$A$3:$A$9999</c15:sqref>
                        </c15:formulaRef>
                      </c:ext>
                    </c:extLst>
                    <c:numCache>
                      <c:formatCode>mm\-dd\ hh:mm</c:formatCode>
                      <c:ptCount val="9997"/>
                      <c:pt idx="0">
                        <c:v>43666.918750000004</c:v>
                      </c:pt>
                      <c:pt idx="1">
                        <c:v>43666.941666666666</c:v>
                      </c:pt>
                      <c:pt idx="2">
                        <c:v>43667.021527777782</c:v>
                      </c:pt>
                      <c:pt idx="3">
                        <c:v>43667.086805555555</c:v>
                      </c:pt>
                      <c:pt idx="4">
                        <c:v>43667.665277777778</c:v>
                      </c:pt>
                      <c:pt idx="5">
                        <c:v>43667.834722222222</c:v>
                      </c:pt>
                      <c:pt idx="6">
                        <c:v>43667.875694444447</c:v>
                      </c:pt>
                      <c:pt idx="7">
                        <c:v>43667.935416666667</c:v>
                      </c:pt>
                      <c:pt idx="8">
                        <c:v>43668.004166666666</c:v>
                      </c:pt>
                      <c:pt idx="9">
                        <c:v>43668.131944444445</c:v>
                      </c:pt>
                      <c:pt idx="10">
                        <c:v>43668.146527777782</c:v>
                      </c:pt>
                      <c:pt idx="11">
                        <c:v>43668.764583333337</c:v>
                      </c:pt>
                      <c:pt idx="12">
                        <c:v>43669.80069444445</c:v>
                      </c:pt>
                      <c:pt idx="13">
                        <c:v>43669.932638888895</c:v>
                      </c:pt>
                      <c:pt idx="14">
                        <c:v>43670.075000000004</c:v>
                      </c:pt>
                      <c:pt idx="15">
                        <c:v>43670.095138888893</c:v>
                      </c:pt>
                      <c:pt idx="16">
                        <c:v>43670.361111111117</c:v>
                      </c:pt>
                      <c:pt idx="17">
                        <c:v>43670.506944444445</c:v>
                      </c:pt>
                      <c:pt idx="18">
                        <c:v>43670.904861111114</c:v>
                      </c:pt>
                      <c:pt idx="19">
                        <c:v>43671.138194444444</c:v>
                      </c:pt>
                      <c:pt idx="20">
                        <c:v>43671.278472222228</c:v>
                      </c:pt>
                      <c:pt idx="21">
                        <c:v>43671.481250000004</c:v>
                      </c:pt>
                      <c:pt idx="22">
                        <c:v>43671.541666666672</c:v>
                      </c:pt>
                      <c:pt idx="23">
                        <c:v>43671.563888888893</c:v>
                      </c:pt>
                      <c:pt idx="24">
                        <c:v>43671.871527777781</c:v>
                      </c:pt>
                      <c:pt idx="25">
                        <c:v>43673.193750000006</c:v>
                      </c:pt>
                      <c:pt idx="26">
                        <c:v>43674.024305555555</c:v>
                      </c:pt>
                      <c:pt idx="27">
                        <c:v>43674.384027777778</c:v>
                      </c:pt>
                      <c:pt idx="28">
                        <c:v>43674.999305555561</c:v>
                      </c:pt>
                      <c:pt idx="29">
                        <c:v>43675.103472222225</c:v>
                      </c:pt>
                      <c:pt idx="30">
                        <c:v>43675.160416666666</c:v>
                      </c:pt>
                      <c:pt idx="31">
                        <c:v>43675.356250000004</c:v>
                      </c:pt>
                      <c:pt idx="32">
                        <c:v>43675.500694444447</c:v>
                      </c:pt>
                      <c:pt idx="33">
                        <c:v>43676.070138888892</c:v>
                      </c:pt>
                      <c:pt idx="34">
                        <c:v>43676.309027777781</c:v>
                      </c:pt>
                      <c:pt idx="35">
                        <c:v>43676.438194444447</c:v>
                      </c:pt>
                      <c:pt idx="36">
                        <c:v>43676.506250000006</c:v>
                      </c:pt>
                      <c:pt idx="37">
                        <c:v>43676.578472222223</c:v>
                      </c:pt>
                      <c:pt idx="38">
                        <c:v>43677.051388888889</c:v>
                      </c:pt>
                      <c:pt idx="39">
                        <c:v>43677.199305555558</c:v>
                      </c:pt>
                      <c:pt idx="40">
                        <c:v>43677.533333333333</c:v>
                      </c:pt>
                      <c:pt idx="41">
                        <c:v>43678.117361111115</c:v>
                      </c:pt>
                      <c:pt idx="42">
                        <c:v>43678.161805555559</c:v>
                      </c:pt>
                      <c:pt idx="43">
                        <c:v>43678.216666666667</c:v>
                      </c:pt>
                      <c:pt idx="44">
                        <c:v>43678.29791666667</c:v>
                      </c:pt>
                      <c:pt idx="45">
                        <c:v>43678.412500000006</c:v>
                      </c:pt>
                      <c:pt idx="46">
                        <c:v>43678.514583333337</c:v>
                      </c:pt>
                      <c:pt idx="47">
                        <c:v>43678.996527777781</c:v>
                      </c:pt>
                      <c:pt idx="48">
                        <c:v>43679.132638888892</c:v>
                      </c:pt>
                      <c:pt idx="49">
                        <c:v>43679.166666666672</c:v>
                      </c:pt>
                      <c:pt idx="50">
                        <c:v>43679.974305555559</c:v>
                      </c:pt>
                      <c:pt idx="51">
                        <c:v>43680.202777777777</c:v>
                      </c:pt>
                      <c:pt idx="52">
                        <c:v>43680.578472222223</c:v>
                      </c:pt>
                      <c:pt idx="53">
                        <c:v>43680.97152777778</c:v>
                      </c:pt>
                      <c:pt idx="54">
                        <c:v>43681.293055555558</c:v>
                      </c:pt>
                      <c:pt idx="55">
                        <c:v>43681.466666666667</c:v>
                      </c:pt>
                      <c:pt idx="56">
                        <c:v>43681.725000000006</c:v>
                      </c:pt>
                      <c:pt idx="57">
                        <c:v>43681.9</c:v>
                      </c:pt>
                      <c:pt idx="58">
                        <c:v>43682.024305555555</c:v>
                      </c:pt>
                      <c:pt idx="59">
                        <c:v>43682.135416666672</c:v>
                      </c:pt>
                      <c:pt idx="60">
                        <c:v>43682.183333333334</c:v>
                      </c:pt>
                      <c:pt idx="61">
                        <c:v>43682.317361111112</c:v>
                      </c:pt>
                      <c:pt idx="62">
                        <c:v>43682.372222222228</c:v>
                      </c:pt>
                      <c:pt idx="63">
                        <c:v>43682.470138888893</c:v>
                      </c:pt>
                      <c:pt idx="64">
                        <c:v>43682.546527777777</c:v>
                      </c:pt>
                      <c:pt idx="65">
                        <c:v>43682.586805555555</c:v>
                      </c:pt>
                      <c:pt idx="66">
                        <c:v>43682.931944444448</c:v>
                      </c:pt>
                      <c:pt idx="67">
                        <c:v>43682.96875</c:v>
                      </c:pt>
                      <c:pt idx="68">
                        <c:v>43683.018750000003</c:v>
                      </c:pt>
                      <c:pt idx="69">
                        <c:v>43683.190972222226</c:v>
                      </c:pt>
                      <c:pt idx="70">
                        <c:v>43683.255555555559</c:v>
                      </c:pt>
                      <c:pt idx="71">
                        <c:v>43683.352777777778</c:v>
                      </c:pt>
                      <c:pt idx="72">
                        <c:v>43683.452777777777</c:v>
                      </c:pt>
                      <c:pt idx="73">
                        <c:v>43683.760416666672</c:v>
                      </c:pt>
                      <c:pt idx="74">
                        <c:v>43684.124305555561</c:v>
                      </c:pt>
                      <c:pt idx="75">
                        <c:v>43684.243055555555</c:v>
                      </c:pt>
                      <c:pt idx="76">
                        <c:v>43684.358333333337</c:v>
                      </c:pt>
                      <c:pt idx="77">
                        <c:v>43684.490277777782</c:v>
                      </c:pt>
                      <c:pt idx="78">
                        <c:v>43684.535416666666</c:v>
                      </c:pt>
                      <c:pt idx="79">
                        <c:v>43684.581250000003</c:v>
                      </c:pt>
                      <c:pt idx="80">
                        <c:v>43685.039583333339</c:v>
                      </c:pt>
                      <c:pt idx="81">
                        <c:v>43685.32916666667</c:v>
                      </c:pt>
                      <c:pt idx="82">
                        <c:v>43685.415972222225</c:v>
                      </c:pt>
                      <c:pt idx="83">
                        <c:v>43685.504166666666</c:v>
                      </c:pt>
                      <c:pt idx="84">
                        <c:v>43685.577083333337</c:v>
                      </c:pt>
                      <c:pt idx="85">
                        <c:v>43686.179166666669</c:v>
                      </c:pt>
                      <c:pt idx="86">
                        <c:v>43686.44027777778</c:v>
                      </c:pt>
                      <c:pt idx="87">
                        <c:v>43686.808333333334</c:v>
                      </c:pt>
                      <c:pt idx="88">
                        <c:v>43687.155555555561</c:v>
                      </c:pt>
                      <c:pt idx="89">
                        <c:v>43687.426388888889</c:v>
                      </c:pt>
                      <c:pt idx="90">
                        <c:v>43687.495833333334</c:v>
                      </c:pt>
                      <c:pt idx="91">
                        <c:v>43687.976388888892</c:v>
                      </c:pt>
                      <c:pt idx="92">
                        <c:v>43688.018055555556</c:v>
                      </c:pt>
                      <c:pt idx="93">
                        <c:v>43688.25</c:v>
                      </c:pt>
                      <c:pt idx="94">
                        <c:v>43688.70694444445</c:v>
                      </c:pt>
                      <c:pt idx="95">
                        <c:v>43688.764583333337</c:v>
                      </c:pt>
                      <c:pt idx="96">
                        <c:v>43689.26666666667</c:v>
                      </c:pt>
                      <c:pt idx="97">
                        <c:v>43689.381944444445</c:v>
                      </c:pt>
                      <c:pt idx="98">
                        <c:v>43689.458333333336</c:v>
                      </c:pt>
                      <c:pt idx="99">
                        <c:v>43689.56527777778</c:v>
                      </c:pt>
                      <c:pt idx="100">
                        <c:v>43689.613888888889</c:v>
                      </c:pt>
                      <c:pt idx="101">
                        <c:v>43690.145138888889</c:v>
                      </c:pt>
                      <c:pt idx="102">
                        <c:v>43690.409722222226</c:v>
                      </c:pt>
                      <c:pt idx="103">
                        <c:v>43690.547222222223</c:v>
                      </c:pt>
                      <c:pt idx="104">
                        <c:v>43690.630555555559</c:v>
                      </c:pt>
                      <c:pt idx="105">
                        <c:v>43691.04791666667</c:v>
                      </c:pt>
                      <c:pt idx="106">
                        <c:v>43691.166666666672</c:v>
                      </c:pt>
                      <c:pt idx="107">
                        <c:v>43691.233333333337</c:v>
                      </c:pt>
                      <c:pt idx="108">
                        <c:v>43691.299305555556</c:v>
                      </c:pt>
                      <c:pt idx="109">
                        <c:v>43691.458333333336</c:v>
                      </c:pt>
                      <c:pt idx="110">
                        <c:v>43691.592361111114</c:v>
                      </c:pt>
                      <c:pt idx="111">
                        <c:v>43691.950000000004</c:v>
                      </c:pt>
                      <c:pt idx="112">
                        <c:v>43692.168750000004</c:v>
                      </c:pt>
                      <c:pt idx="113">
                        <c:v>43692.247222222228</c:v>
                      </c:pt>
                      <c:pt idx="114">
                        <c:v>43692.295833333337</c:v>
                      </c:pt>
                      <c:pt idx="115">
                        <c:v>43693.11319444445</c:v>
                      </c:pt>
                      <c:pt idx="116">
                        <c:v>43693.369444444448</c:v>
                      </c:pt>
                      <c:pt idx="117">
                        <c:v>43694.386805555558</c:v>
                      </c:pt>
                      <c:pt idx="118">
                        <c:v>43695.855555555558</c:v>
                      </c:pt>
                      <c:pt idx="119">
                        <c:v>43696.416666666672</c:v>
                      </c:pt>
                      <c:pt idx="120">
                        <c:v>43696.540972222225</c:v>
                      </c:pt>
                      <c:pt idx="121">
                        <c:v>43697.338888888895</c:v>
                      </c:pt>
                      <c:pt idx="122">
                        <c:v>43697.827083333337</c:v>
                      </c:pt>
                      <c:pt idx="123">
                        <c:v>43698.55</c:v>
                      </c:pt>
                      <c:pt idx="124">
                        <c:v>43698.892361111117</c:v>
                      </c:pt>
                      <c:pt idx="125">
                        <c:v>43699.05069444445</c:v>
                      </c:pt>
                      <c:pt idx="126">
                        <c:v>43699.563888888893</c:v>
                      </c:pt>
                      <c:pt idx="127">
                        <c:v>43700.182638888888</c:v>
                      </c:pt>
                      <c:pt idx="128">
                        <c:v>43700.598611111112</c:v>
                      </c:pt>
                      <c:pt idx="129">
                        <c:v>43700.984722222223</c:v>
                      </c:pt>
                      <c:pt idx="130">
                        <c:v>43701.518750000003</c:v>
                      </c:pt>
                      <c:pt idx="131">
                        <c:v>43701.775694444441</c:v>
                      </c:pt>
                      <c:pt idx="132">
                        <c:v>43703.731249999997</c:v>
                      </c:pt>
                      <c:pt idx="133">
                        <c:v>43704.039583333331</c:v>
                      </c:pt>
                      <c:pt idx="134">
                        <c:v>43704.647222222222</c:v>
                      </c:pt>
                      <c:pt idx="135">
                        <c:v>43706.906944444447</c:v>
                      </c:pt>
                      <c:pt idx="136">
                        <c:v>43707.510416666664</c:v>
                      </c:pt>
                      <c:pt idx="137">
                        <c:v>43707.730555555558</c:v>
                      </c:pt>
                      <c:pt idx="138">
                        <c:v>43708.020833333336</c:v>
                      </c:pt>
                      <c:pt idx="139">
                        <c:v>43708.252083333333</c:v>
                      </c:pt>
                      <c:pt idx="140">
                        <c:v>43708.755555555559</c:v>
                      </c:pt>
                      <c:pt idx="141">
                        <c:v>43708.856944444444</c:v>
                      </c:pt>
                      <c:pt idx="142">
                        <c:v>43709.65</c:v>
                      </c:pt>
                      <c:pt idx="143">
                        <c:v>43709.729861111111</c:v>
                      </c:pt>
                      <c:pt idx="144">
                        <c:v>43709.788888888892</c:v>
                      </c:pt>
                      <c:pt idx="145">
                        <c:v>43709.885416666664</c:v>
                      </c:pt>
                      <c:pt idx="146">
                        <c:v>43709.972916666666</c:v>
                      </c:pt>
                      <c:pt idx="147">
                        <c:v>43710.634722222225</c:v>
                      </c:pt>
                      <c:pt idx="148">
                        <c:v>43711.76666666667</c:v>
                      </c:pt>
                      <c:pt idx="149">
                        <c:v>43711.905555555553</c:v>
                      </c:pt>
                      <c:pt idx="150">
                        <c:v>43712.520833333336</c:v>
                      </c:pt>
                      <c:pt idx="151">
                        <c:v>43712.629166666666</c:v>
                      </c:pt>
                      <c:pt idx="152">
                        <c:v>43712.790972222225</c:v>
                      </c:pt>
                      <c:pt idx="153">
                        <c:v>43712.988194444442</c:v>
                      </c:pt>
                      <c:pt idx="154">
                        <c:v>43713.013888888891</c:v>
                      </c:pt>
                      <c:pt idx="155">
                        <c:v>43713.513194444444</c:v>
                      </c:pt>
                      <c:pt idx="156">
                        <c:v>43713.556944444441</c:v>
                      </c:pt>
                      <c:pt idx="157">
                        <c:v>43713.772222222222</c:v>
                      </c:pt>
                      <c:pt idx="158">
                        <c:v>43713.874305555553</c:v>
                      </c:pt>
                      <c:pt idx="159">
                        <c:v>43714.000694444447</c:v>
                      </c:pt>
                      <c:pt idx="160">
                        <c:v>43714.567361111112</c:v>
                      </c:pt>
                      <c:pt idx="161">
                        <c:v>43714.884722222225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玩家EXP!$F$3:$F$9999</c15:sqref>
                        </c15:formulaRef>
                      </c:ext>
                    </c:extLst>
                    <c:numCache>
                      <c:formatCode>0.00</c:formatCode>
                      <c:ptCount val="9997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81982.186636489219</c:v>
                      </c:pt>
                      <c:pt idx="8">
                        <c:v>84653.331953568995</c:v>
                      </c:pt>
                      <c:pt idx="9">
                        <c:v>95049.683539929334</c:v>
                      </c:pt>
                      <c:pt idx="10">
                        <c:v>103156.48358968433</c:v>
                      </c:pt>
                      <c:pt idx="11">
                        <c:v>85840.805016483093</c:v>
                      </c:pt>
                      <c:pt idx="12">
                        <c:v>23379.731903456068</c:v>
                      </c:pt>
                      <c:pt idx="13">
                        <c:v>35744.517552287689</c:v>
                      </c:pt>
                      <c:pt idx="14">
                        <c:v>49989.374076422886</c:v>
                      </c:pt>
                      <c:pt idx="15">
                        <c:v>57077.654723748972</c:v>
                      </c:pt>
                      <c:pt idx="16">
                        <c:v>68694.168389614249</c:v>
                      </c:pt>
                      <c:pt idx="17">
                        <c:v>78595.245663102149</c:v>
                      </c:pt>
                      <c:pt idx="18">
                        <c:v>112762.50443480143</c:v>
                      </c:pt>
                      <c:pt idx="19">
                        <c:v>82371.195561163724</c:v>
                      </c:pt>
                      <c:pt idx="20">
                        <c:v>88742.598114167908</c:v>
                      </c:pt>
                      <c:pt idx="21">
                        <c:v>94280.803588024355</c:v>
                      </c:pt>
                      <c:pt idx="22">
                        <c:v>104871.0027829872</c:v>
                      </c:pt>
                      <c:pt idx="23">
                        <c:v>108243.8769074406</c:v>
                      </c:pt>
                      <c:pt idx="24">
                        <c:v>99740.459604289557</c:v>
                      </c:pt>
                      <c:pt idx="25">
                        <c:v>71040.252100701342</c:v>
                      </c:pt>
                      <c:pt idx="26">
                        <c:v>63256.902996178353</c:v>
                      </c:pt>
                      <c:pt idx="27">
                        <c:v>85649.150418000805</c:v>
                      </c:pt>
                      <c:pt idx="28">
                        <c:v>81493.631896865845</c:v>
                      </c:pt>
                      <c:pt idx="29">
                        <c:v>91620.308921285628</c:v>
                      </c:pt>
                      <c:pt idx="30">
                        <c:v>90703.410095147672</c:v>
                      </c:pt>
                      <c:pt idx="31">
                        <c:v>90124.325614031812</c:v>
                      </c:pt>
                      <c:pt idx="32">
                        <c:v>69835.164545997744</c:v>
                      </c:pt>
                      <c:pt idx="33">
                        <c:v>69087.770889939682</c:v>
                      </c:pt>
                      <c:pt idx="34">
                        <c:v>74712.82566061632</c:v>
                      </c:pt>
                      <c:pt idx="35">
                        <c:v>81940.443022045438</c:v>
                      </c:pt>
                      <c:pt idx="36">
                        <c:v>89987.465138831234</c:v>
                      </c:pt>
                      <c:pt idx="37">
                        <c:v>97125.358004187932</c:v>
                      </c:pt>
                      <c:pt idx="38">
                        <c:v>84962.452476631719</c:v>
                      </c:pt>
                      <c:pt idx="39">
                        <c:v>85711.854609250615</c:v>
                      </c:pt>
                      <c:pt idx="40">
                        <c:v>70926.367068641877</c:v>
                      </c:pt>
                      <c:pt idx="41">
                        <c:v>70404.988318368472</c:v>
                      </c:pt>
                      <c:pt idx="42">
                        <c:v>68006.935160083711</c:v>
                      </c:pt>
                      <c:pt idx="43">
                        <c:v>59947.830184462204</c:v>
                      </c:pt>
                      <c:pt idx="44">
                        <c:v>62067.940781923971</c:v>
                      </c:pt>
                      <c:pt idx="45">
                        <c:v>66122.235515662105</c:v>
                      </c:pt>
                      <c:pt idx="46">
                        <c:v>71016.977697071343</c:v>
                      </c:pt>
                      <c:pt idx="47">
                        <c:v>65127.136359625722</c:v>
                      </c:pt>
                      <c:pt idx="48">
                        <c:v>79788.107295130409</c:v>
                      </c:pt>
                      <c:pt idx="49">
                        <c:v>79795.365453882216</c:v>
                      </c:pt>
                      <c:pt idx="50">
                        <c:v>65917.876480589053</c:v>
                      </c:pt>
                      <c:pt idx="51">
                        <c:v>72812.846265175205</c:v>
                      </c:pt>
                      <c:pt idx="52">
                        <c:v>93369.423853448243</c:v>
                      </c:pt>
                      <c:pt idx="53">
                        <c:v>92729.950879565149</c:v>
                      </c:pt>
                      <c:pt idx="54">
                        <c:v>99326.855135016987</c:v>
                      </c:pt>
                      <c:pt idx="55">
                        <c:v>108819.60038937855</c:v>
                      </c:pt>
                      <c:pt idx="56">
                        <c:v>114658.39328068083</c:v>
                      </c:pt>
                      <c:pt idx="57">
                        <c:v>117874.75349889205</c:v>
                      </c:pt>
                      <c:pt idx="58">
                        <c:v>139454.76436366205</c:v>
                      </c:pt>
                      <c:pt idx="59">
                        <c:v>139866.92006742011</c:v>
                      </c:pt>
                      <c:pt idx="60">
                        <c:v>140717.47913582891</c:v>
                      </c:pt>
                      <c:pt idx="61">
                        <c:v>143627.21967524628</c:v>
                      </c:pt>
                      <c:pt idx="62">
                        <c:v>145041.30720468902</c:v>
                      </c:pt>
                      <c:pt idx="63">
                        <c:v>139941.33542582259</c:v>
                      </c:pt>
                      <c:pt idx="64">
                        <c:v>140329.67390035282</c:v>
                      </c:pt>
                      <c:pt idx="65">
                        <c:v>141086.92291228496</c:v>
                      </c:pt>
                      <c:pt idx="66">
                        <c:v>125230.89399966605</c:v>
                      </c:pt>
                      <c:pt idx="67">
                        <c:v>118588.3619546689</c:v>
                      </c:pt>
                      <c:pt idx="68">
                        <c:v>116725.60715069942</c:v>
                      </c:pt>
                      <c:pt idx="69">
                        <c:v>104007.86468439556</c:v>
                      </c:pt>
                      <c:pt idx="70">
                        <c:v>109842.26175181783</c:v>
                      </c:pt>
                      <c:pt idx="71">
                        <c:v>114567.68237776282</c:v>
                      </c:pt>
                      <c:pt idx="72">
                        <c:v>122331.44924717413</c:v>
                      </c:pt>
                      <c:pt idx="73">
                        <c:v>142747.65785793294</c:v>
                      </c:pt>
                      <c:pt idx="74">
                        <c:v>157791.04254146936</c:v>
                      </c:pt>
                      <c:pt idx="75">
                        <c:v>156002.20282159341</c:v>
                      </c:pt>
                      <c:pt idx="76">
                        <c:v>150021.95727302562</c:v>
                      </c:pt>
                      <c:pt idx="77">
                        <c:v>149436.26831608711</c:v>
                      </c:pt>
                      <c:pt idx="78">
                        <c:v>149009.15896208482</c:v>
                      </c:pt>
                      <c:pt idx="79">
                        <c:v>149081.85821846777</c:v>
                      </c:pt>
                      <c:pt idx="80">
                        <c:v>136443.07967168337</c:v>
                      </c:pt>
                      <c:pt idx="81">
                        <c:v>116336.86083213052</c:v>
                      </c:pt>
                      <c:pt idx="82">
                        <c:v>115716.93467294933</c:v>
                      </c:pt>
                      <c:pt idx="83">
                        <c:v>114619.48086574778</c:v>
                      </c:pt>
                      <c:pt idx="84">
                        <c:v>115660.56855085674</c:v>
                      </c:pt>
                      <c:pt idx="85">
                        <c:v>110260.39361499237</c:v>
                      </c:pt>
                      <c:pt idx="86">
                        <c:v>110253.80070139472</c:v>
                      </c:pt>
                      <c:pt idx="87">
                        <c:v>114127.887393759</c:v>
                      </c:pt>
                      <c:pt idx="88">
                        <c:v>117096.68070407392</c:v>
                      </c:pt>
                      <c:pt idx="89">
                        <c:v>132002.42027478406</c:v>
                      </c:pt>
                      <c:pt idx="90">
                        <c:v>132658.6877548944</c:v>
                      </c:pt>
                      <c:pt idx="91">
                        <c:v>105191.38574055371</c:v>
                      </c:pt>
                      <c:pt idx="92">
                        <c:v>100511.6798993165</c:v>
                      </c:pt>
                      <c:pt idx="93">
                        <c:v>96782.131661400039</c:v>
                      </c:pt>
                      <c:pt idx="94">
                        <c:v>127928.73769606929</c:v>
                      </c:pt>
                      <c:pt idx="95">
                        <c:v>137092.5175265171</c:v>
                      </c:pt>
                      <c:pt idx="96">
                        <c:v>152759.93635594673</c:v>
                      </c:pt>
                      <c:pt idx="97">
                        <c:v>149760.758775936</c:v>
                      </c:pt>
                      <c:pt idx="98">
                        <c:v>148694.06008254565</c:v>
                      </c:pt>
                      <c:pt idx="99">
                        <c:v>149434.60540313675</c:v>
                      </c:pt>
                      <c:pt idx="100">
                        <c:v>150016.52940733664</c:v>
                      </c:pt>
                      <c:pt idx="101">
                        <c:v>104450.32604490203</c:v>
                      </c:pt>
                      <c:pt idx="102">
                        <c:v>67452.378943727643</c:v>
                      </c:pt>
                      <c:pt idx="103">
                        <c:v>71072.294190646076</c:v>
                      </c:pt>
                      <c:pt idx="104">
                        <c:v>77054.819067857403</c:v>
                      </c:pt>
                      <c:pt idx="105">
                        <c:v>91437.770573233953</c:v>
                      </c:pt>
                      <c:pt idx="106">
                        <c:v>129532.7173700898</c:v>
                      </c:pt>
                      <c:pt idx="107">
                        <c:v>131633.99751781696</c:v>
                      </c:pt>
                      <c:pt idx="108">
                        <c:v>133060.35250265643</c:v>
                      </c:pt>
                      <c:pt idx="109">
                        <c:v>138885.10331117013</c:v>
                      </c:pt>
                      <c:pt idx="110">
                        <c:v>141327.88112919315</c:v>
                      </c:pt>
                      <c:pt idx="111">
                        <c:v>125889.54293160973</c:v>
                      </c:pt>
                      <c:pt idx="112">
                        <c:v>105568.36917345885</c:v>
                      </c:pt>
                      <c:pt idx="113">
                        <c:v>97691.334551134511</c:v>
                      </c:pt>
                      <c:pt idx="114">
                        <c:v>97791.019123142381</c:v>
                      </c:pt>
                      <c:pt idx="115">
                        <c:v>53008.313416373603</c:v>
                      </c:pt>
                      <c:pt idx="116">
                        <c:v>72218.366410042247</c:v>
                      </c:pt>
                      <c:pt idx="117">
                        <c:v>164965.02389104717</c:v>
                      </c:pt>
                      <c:pt idx="118">
                        <c:v>42930.382978723406</c:v>
                      </c:pt>
                      <c:pt idx="119">
                        <c:v>47400.745719527476</c:v>
                      </c:pt>
                      <c:pt idx="120">
                        <c:v>50706.783967061579</c:v>
                      </c:pt>
                      <c:pt idx="121">
                        <c:v>89195.518477038568</c:v>
                      </c:pt>
                      <c:pt idx="122">
                        <c:v>115721.90723878205</c:v>
                      </c:pt>
                      <c:pt idx="123">
                        <c:v>101806.3861269942</c:v>
                      </c:pt>
                      <c:pt idx="124">
                        <c:v>96310.733712873363</c:v>
                      </c:pt>
                      <c:pt idx="125">
                        <c:v>103145.24923269781</c:v>
                      </c:pt>
                      <c:pt idx="126">
                        <c:v>112038.75261188895</c:v>
                      </c:pt>
                      <c:pt idx="127">
                        <c:v>110043.40181531686</c:v>
                      </c:pt>
                      <c:pt idx="128">
                        <c:v>112156.78916727155</c:v>
                      </c:pt>
                      <c:pt idx="129">
                        <c:v>114939.77432679766</c:v>
                      </c:pt>
                      <c:pt idx="130">
                        <c:v>101751.2557227895</c:v>
                      </c:pt>
                      <c:pt idx="131">
                        <c:v>110765.48438080249</c:v>
                      </c:pt>
                      <c:pt idx="132">
                        <c:v>115185.68181814373</c:v>
                      </c:pt>
                      <c:pt idx="133">
                        <c:v>113648.91542288719</c:v>
                      </c:pt>
                      <c:pt idx="134">
                        <c:v>110327.02332994599</c:v>
                      </c:pt>
                      <c:pt idx="135">
                        <c:v>104872.18192981233</c:v>
                      </c:pt>
                      <c:pt idx="136">
                        <c:v>101975.90982349377</c:v>
                      </c:pt>
                      <c:pt idx="137">
                        <c:v>102318.64696373147</c:v>
                      </c:pt>
                      <c:pt idx="138">
                        <c:v>104992.46555009212</c:v>
                      </c:pt>
                      <c:pt idx="139">
                        <c:v>108324.12315950931</c:v>
                      </c:pt>
                      <c:pt idx="140">
                        <c:v>85521.383434978299</c:v>
                      </c:pt>
                      <c:pt idx="141">
                        <c:v>84911.14416370925</c:v>
                      </c:pt>
                      <c:pt idx="142">
                        <c:v>85025.774901254466</c:v>
                      </c:pt>
                      <c:pt idx="143">
                        <c:v>89387.787438649699</c:v>
                      </c:pt>
                      <c:pt idx="144">
                        <c:v>103217.88274243085</c:v>
                      </c:pt>
                      <c:pt idx="145">
                        <c:v>105292.10849968468</c:v>
                      </c:pt>
                      <c:pt idx="146">
                        <c:v>108605.86180135183</c:v>
                      </c:pt>
                      <c:pt idx="147">
                        <c:v>98728.638740137962</c:v>
                      </c:pt>
                      <c:pt idx="148">
                        <c:v>124938.99386494145</c:v>
                      </c:pt>
                      <c:pt idx="149">
                        <c:v>121545.41771173901</c:v>
                      </c:pt>
                      <c:pt idx="150">
                        <c:v>110454.41089434452</c:v>
                      </c:pt>
                      <c:pt idx="151">
                        <c:v>108844.19085054069</c:v>
                      </c:pt>
                      <c:pt idx="152">
                        <c:v>100923.29986575861</c:v>
                      </c:pt>
                      <c:pt idx="153">
                        <c:v>118768.04703146801</c:v>
                      </c:pt>
                      <c:pt idx="154">
                        <c:v>123943.23507637085</c:v>
                      </c:pt>
                      <c:pt idx="155">
                        <c:v>117463.27370709059</c:v>
                      </c:pt>
                      <c:pt idx="156">
                        <c:v>121969.26490257519</c:v>
                      </c:pt>
                      <c:pt idx="157">
                        <c:v>113260.12634497177</c:v>
                      </c:pt>
                      <c:pt idx="158">
                        <c:v>107316.20245065942</c:v>
                      </c:pt>
                      <c:pt idx="159">
                        <c:v>110299.58571450882</c:v>
                      </c:pt>
                      <c:pt idx="160">
                        <c:v>123029.90770888126</c:v>
                      </c:pt>
                      <c:pt idx="161">
                        <c:v>103373.39727241007</c:v>
                      </c:pt>
                      <c:pt idx="162">
                        <c:v>#N/A</c:v>
                      </c:pt>
                      <c:pt idx="163">
                        <c:v>#N/A</c:v>
                      </c:pt>
                      <c:pt idx="164">
                        <c:v>#N/A</c:v>
                      </c:pt>
                      <c:pt idx="165">
                        <c:v>#N/A</c:v>
                      </c:pt>
                      <c:pt idx="166">
                        <c:v>#N/A</c:v>
                      </c:pt>
                      <c:pt idx="167">
                        <c:v>#N/A</c:v>
                      </c:pt>
                      <c:pt idx="168">
                        <c:v>#N/A</c:v>
                      </c:pt>
                      <c:pt idx="169">
                        <c:v>#N/A</c:v>
                      </c:pt>
                      <c:pt idx="170">
                        <c:v>#N/A</c:v>
                      </c:pt>
                      <c:pt idx="171">
                        <c:v>#N/A</c:v>
                      </c:pt>
                      <c:pt idx="172">
                        <c:v>#N/A</c:v>
                      </c:pt>
                      <c:pt idx="173">
                        <c:v>#N/A</c:v>
                      </c:pt>
                      <c:pt idx="174">
                        <c:v>#N/A</c:v>
                      </c:pt>
                      <c:pt idx="175">
                        <c:v>#N/A</c:v>
                      </c:pt>
                      <c:pt idx="176">
                        <c:v>#N/A</c:v>
                      </c:pt>
                      <c:pt idx="177">
                        <c:v>#N/A</c:v>
                      </c:pt>
                      <c:pt idx="178">
                        <c:v>#N/A</c:v>
                      </c:pt>
                      <c:pt idx="179">
                        <c:v>#N/A</c:v>
                      </c:pt>
                      <c:pt idx="180">
                        <c:v>#N/A</c:v>
                      </c:pt>
                      <c:pt idx="181">
                        <c:v>#N/A</c:v>
                      </c:pt>
                      <c:pt idx="182">
                        <c:v>#N/A</c:v>
                      </c:pt>
                      <c:pt idx="183">
                        <c:v>#N/A</c:v>
                      </c:pt>
                      <c:pt idx="184">
                        <c:v>#N/A</c:v>
                      </c:pt>
                      <c:pt idx="185">
                        <c:v>#N/A</c:v>
                      </c:pt>
                      <c:pt idx="186">
                        <c:v>#N/A</c:v>
                      </c:pt>
                      <c:pt idx="187">
                        <c:v>#N/A</c:v>
                      </c:pt>
                      <c:pt idx="188">
                        <c:v>#N/A</c:v>
                      </c:pt>
                      <c:pt idx="189">
                        <c:v>#N/A</c:v>
                      </c:pt>
                      <c:pt idx="190">
                        <c:v>#N/A</c:v>
                      </c:pt>
                      <c:pt idx="191">
                        <c:v>#N/A</c:v>
                      </c:pt>
                      <c:pt idx="192">
                        <c:v>#N/A</c:v>
                      </c:pt>
                      <c:pt idx="193">
                        <c:v>#N/A</c:v>
                      </c:pt>
                      <c:pt idx="194">
                        <c:v>#N/A</c:v>
                      </c:pt>
                      <c:pt idx="195">
                        <c:v>#N/A</c:v>
                      </c:pt>
                      <c:pt idx="196">
                        <c:v>#N/A</c:v>
                      </c:pt>
                      <c:pt idx="197">
                        <c:v>#N/A</c:v>
                      </c:pt>
                      <c:pt idx="198">
                        <c:v>#N/A</c:v>
                      </c:pt>
                      <c:pt idx="199">
                        <c:v>#N/A</c:v>
                      </c:pt>
                      <c:pt idx="200">
                        <c:v>#N/A</c:v>
                      </c:pt>
                      <c:pt idx="201">
                        <c:v>#N/A</c:v>
                      </c:pt>
                      <c:pt idx="202">
                        <c:v>#N/A</c:v>
                      </c:pt>
                      <c:pt idx="203">
                        <c:v>#N/A</c:v>
                      </c:pt>
                      <c:pt idx="204">
                        <c:v>#N/A</c:v>
                      </c:pt>
                      <c:pt idx="205">
                        <c:v>#N/A</c:v>
                      </c:pt>
                      <c:pt idx="206">
                        <c:v>#N/A</c:v>
                      </c:pt>
                      <c:pt idx="207">
                        <c:v>#N/A</c:v>
                      </c:pt>
                      <c:pt idx="208">
                        <c:v>#N/A</c:v>
                      </c:pt>
                      <c:pt idx="209">
                        <c:v>#N/A</c:v>
                      </c:pt>
                      <c:pt idx="210">
                        <c:v>#N/A</c:v>
                      </c:pt>
                      <c:pt idx="211">
                        <c:v>#N/A</c:v>
                      </c:pt>
                      <c:pt idx="212">
                        <c:v>#N/A</c:v>
                      </c:pt>
                      <c:pt idx="213">
                        <c:v>#N/A</c:v>
                      </c:pt>
                      <c:pt idx="214">
                        <c:v>#N/A</c:v>
                      </c:pt>
                      <c:pt idx="215">
                        <c:v>#N/A</c:v>
                      </c:pt>
                      <c:pt idx="216">
                        <c:v>#N/A</c:v>
                      </c:pt>
                      <c:pt idx="217">
                        <c:v>#N/A</c:v>
                      </c:pt>
                      <c:pt idx="218">
                        <c:v>#N/A</c:v>
                      </c:pt>
                      <c:pt idx="219">
                        <c:v>#N/A</c:v>
                      </c:pt>
                      <c:pt idx="220">
                        <c:v>#N/A</c:v>
                      </c:pt>
                      <c:pt idx="221">
                        <c:v>#N/A</c:v>
                      </c:pt>
                      <c:pt idx="222">
                        <c:v>#N/A</c:v>
                      </c:pt>
                      <c:pt idx="223">
                        <c:v>#N/A</c:v>
                      </c:pt>
                      <c:pt idx="224">
                        <c:v>#N/A</c:v>
                      </c:pt>
                      <c:pt idx="225">
                        <c:v>#N/A</c:v>
                      </c:pt>
                      <c:pt idx="226">
                        <c:v>#N/A</c:v>
                      </c:pt>
                      <c:pt idx="227">
                        <c:v>#N/A</c:v>
                      </c:pt>
                      <c:pt idx="228">
                        <c:v>#N/A</c:v>
                      </c:pt>
                      <c:pt idx="229">
                        <c:v>#N/A</c:v>
                      </c:pt>
                      <c:pt idx="230">
                        <c:v>#N/A</c:v>
                      </c:pt>
                      <c:pt idx="231">
                        <c:v>#N/A</c:v>
                      </c:pt>
                      <c:pt idx="232">
                        <c:v>#N/A</c:v>
                      </c:pt>
                      <c:pt idx="233">
                        <c:v>#N/A</c:v>
                      </c:pt>
                      <c:pt idx="234">
                        <c:v>#N/A</c:v>
                      </c:pt>
                      <c:pt idx="235">
                        <c:v>#N/A</c:v>
                      </c:pt>
                      <c:pt idx="236">
                        <c:v>#N/A</c:v>
                      </c:pt>
                      <c:pt idx="237">
                        <c:v>#N/A</c:v>
                      </c:pt>
                      <c:pt idx="238">
                        <c:v>#N/A</c:v>
                      </c:pt>
                      <c:pt idx="239">
                        <c:v>#N/A</c:v>
                      </c:pt>
                      <c:pt idx="240">
                        <c:v>#N/A</c:v>
                      </c:pt>
                      <c:pt idx="241">
                        <c:v>#N/A</c:v>
                      </c:pt>
                      <c:pt idx="242">
                        <c:v>#N/A</c:v>
                      </c:pt>
                      <c:pt idx="243">
                        <c:v>#N/A</c:v>
                      </c:pt>
                      <c:pt idx="244">
                        <c:v>#N/A</c:v>
                      </c:pt>
                      <c:pt idx="245">
                        <c:v>#N/A</c:v>
                      </c:pt>
                      <c:pt idx="246">
                        <c:v>#N/A</c:v>
                      </c:pt>
                      <c:pt idx="247">
                        <c:v>#N/A</c:v>
                      </c:pt>
                      <c:pt idx="248">
                        <c:v>#N/A</c:v>
                      </c:pt>
                      <c:pt idx="249">
                        <c:v>#N/A</c:v>
                      </c:pt>
                      <c:pt idx="250">
                        <c:v>#N/A</c:v>
                      </c:pt>
                      <c:pt idx="251">
                        <c:v>#N/A</c:v>
                      </c:pt>
                      <c:pt idx="252">
                        <c:v>#N/A</c:v>
                      </c:pt>
                      <c:pt idx="253">
                        <c:v>#N/A</c:v>
                      </c:pt>
                      <c:pt idx="254">
                        <c:v>#N/A</c:v>
                      </c:pt>
                      <c:pt idx="255">
                        <c:v>#N/A</c:v>
                      </c:pt>
                      <c:pt idx="256">
                        <c:v>#N/A</c:v>
                      </c:pt>
                      <c:pt idx="257">
                        <c:v>#N/A</c:v>
                      </c:pt>
                      <c:pt idx="258">
                        <c:v>#N/A</c:v>
                      </c:pt>
                      <c:pt idx="259">
                        <c:v>#N/A</c:v>
                      </c:pt>
                      <c:pt idx="260">
                        <c:v>#N/A</c:v>
                      </c:pt>
                      <c:pt idx="261">
                        <c:v>#N/A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#N/A</c:v>
                      </c:pt>
                      <c:pt idx="272">
                        <c:v>#N/A</c:v>
                      </c:pt>
                      <c:pt idx="273">
                        <c:v>#N/A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#N/A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#N/A</c:v>
                      </c:pt>
                      <c:pt idx="304">
                        <c:v>#N/A</c:v>
                      </c:pt>
                      <c:pt idx="305">
                        <c:v>#N/A</c:v>
                      </c:pt>
                      <c:pt idx="306">
                        <c:v>#N/A</c:v>
                      </c:pt>
                      <c:pt idx="307">
                        <c:v>#N/A</c:v>
                      </c:pt>
                      <c:pt idx="308">
                        <c:v>#N/A</c:v>
                      </c:pt>
                      <c:pt idx="309">
                        <c:v>#N/A</c:v>
                      </c:pt>
                      <c:pt idx="310">
                        <c:v>#N/A</c:v>
                      </c:pt>
                      <c:pt idx="311">
                        <c:v>#N/A</c:v>
                      </c:pt>
                      <c:pt idx="312">
                        <c:v>#N/A</c:v>
                      </c:pt>
                      <c:pt idx="313">
                        <c:v>#N/A</c:v>
                      </c:pt>
                      <c:pt idx="314">
                        <c:v>#N/A</c:v>
                      </c:pt>
                      <c:pt idx="315">
                        <c:v>#N/A</c:v>
                      </c:pt>
                      <c:pt idx="316">
                        <c:v>#N/A</c:v>
                      </c:pt>
                      <c:pt idx="317">
                        <c:v>#N/A</c:v>
                      </c:pt>
                      <c:pt idx="318">
                        <c:v>#N/A</c:v>
                      </c:pt>
                      <c:pt idx="319">
                        <c:v>#N/A</c:v>
                      </c:pt>
                      <c:pt idx="320">
                        <c:v>#N/A</c:v>
                      </c:pt>
                      <c:pt idx="321">
                        <c:v>#N/A</c:v>
                      </c:pt>
                      <c:pt idx="322">
                        <c:v>#N/A</c:v>
                      </c:pt>
                      <c:pt idx="323">
                        <c:v>#N/A</c:v>
                      </c:pt>
                      <c:pt idx="324">
                        <c:v>#N/A</c:v>
                      </c:pt>
                      <c:pt idx="325">
                        <c:v>#N/A</c:v>
                      </c:pt>
                      <c:pt idx="326">
                        <c:v>#N/A</c:v>
                      </c:pt>
                      <c:pt idx="327">
                        <c:v>#N/A</c:v>
                      </c:pt>
                      <c:pt idx="328">
                        <c:v>#N/A</c:v>
                      </c:pt>
                      <c:pt idx="329">
                        <c:v>#N/A</c:v>
                      </c:pt>
                      <c:pt idx="330">
                        <c:v>#N/A</c:v>
                      </c:pt>
                      <c:pt idx="331">
                        <c:v>#N/A</c:v>
                      </c:pt>
                      <c:pt idx="332">
                        <c:v>#N/A</c:v>
                      </c:pt>
                      <c:pt idx="333">
                        <c:v>#N/A</c:v>
                      </c:pt>
                      <c:pt idx="334">
                        <c:v>#N/A</c:v>
                      </c:pt>
                      <c:pt idx="335">
                        <c:v>#N/A</c:v>
                      </c:pt>
                      <c:pt idx="336">
                        <c:v>#N/A</c:v>
                      </c:pt>
                      <c:pt idx="337">
                        <c:v>#N/A</c:v>
                      </c:pt>
                      <c:pt idx="338">
                        <c:v>#N/A</c:v>
                      </c:pt>
                      <c:pt idx="339">
                        <c:v>#N/A</c:v>
                      </c:pt>
                      <c:pt idx="340">
                        <c:v>#N/A</c:v>
                      </c:pt>
                      <c:pt idx="341">
                        <c:v>#N/A</c:v>
                      </c:pt>
                      <c:pt idx="342">
                        <c:v>#N/A</c:v>
                      </c:pt>
                      <c:pt idx="343">
                        <c:v>#N/A</c:v>
                      </c:pt>
                      <c:pt idx="344">
                        <c:v>#N/A</c:v>
                      </c:pt>
                      <c:pt idx="345">
                        <c:v>#N/A</c:v>
                      </c:pt>
                      <c:pt idx="346">
                        <c:v>#N/A</c:v>
                      </c:pt>
                      <c:pt idx="347">
                        <c:v>#N/A</c:v>
                      </c:pt>
                      <c:pt idx="348">
                        <c:v>#N/A</c:v>
                      </c:pt>
                      <c:pt idx="349">
                        <c:v>#N/A</c:v>
                      </c:pt>
                      <c:pt idx="350">
                        <c:v>#N/A</c:v>
                      </c:pt>
                      <c:pt idx="351">
                        <c:v>#N/A</c:v>
                      </c:pt>
                      <c:pt idx="352">
                        <c:v>#N/A</c:v>
                      </c:pt>
                      <c:pt idx="353">
                        <c:v>#N/A</c:v>
                      </c:pt>
                      <c:pt idx="354">
                        <c:v>#N/A</c:v>
                      </c:pt>
                      <c:pt idx="355">
                        <c:v>#N/A</c:v>
                      </c:pt>
                      <c:pt idx="356">
                        <c:v>#N/A</c:v>
                      </c:pt>
                      <c:pt idx="357">
                        <c:v>#N/A</c:v>
                      </c:pt>
                      <c:pt idx="358">
                        <c:v>#N/A</c:v>
                      </c:pt>
                      <c:pt idx="359">
                        <c:v>#N/A</c:v>
                      </c:pt>
                      <c:pt idx="360">
                        <c:v>#N/A</c:v>
                      </c:pt>
                      <c:pt idx="361">
                        <c:v>#N/A</c:v>
                      </c:pt>
                      <c:pt idx="362">
                        <c:v>#N/A</c:v>
                      </c:pt>
                      <c:pt idx="363">
                        <c:v>#N/A</c:v>
                      </c:pt>
                      <c:pt idx="364">
                        <c:v>#N/A</c:v>
                      </c:pt>
                      <c:pt idx="365">
                        <c:v>#N/A</c:v>
                      </c:pt>
                      <c:pt idx="366">
                        <c:v>#N/A</c:v>
                      </c:pt>
                      <c:pt idx="367">
                        <c:v>#N/A</c:v>
                      </c:pt>
                      <c:pt idx="368">
                        <c:v>#N/A</c:v>
                      </c:pt>
                      <c:pt idx="369">
                        <c:v>#N/A</c:v>
                      </c:pt>
                      <c:pt idx="370">
                        <c:v>#N/A</c:v>
                      </c:pt>
                      <c:pt idx="371">
                        <c:v>#N/A</c:v>
                      </c:pt>
                      <c:pt idx="372">
                        <c:v>#N/A</c:v>
                      </c:pt>
                      <c:pt idx="373">
                        <c:v>#N/A</c:v>
                      </c:pt>
                      <c:pt idx="374">
                        <c:v>#N/A</c:v>
                      </c:pt>
                      <c:pt idx="375">
                        <c:v>#N/A</c:v>
                      </c:pt>
                      <c:pt idx="376">
                        <c:v>#N/A</c:v>
                      </c:pt>
                      <c:pt idx="377">
                        <c:v>#N/A</c:v>
                      </c:pt>
                      <c:pt idx="378">
                        <c:v>#N/A</c:v>
                      </c:pt>
                      <c:pt idx="379">
                        <c:v>#N/A</c:v>
                      </c:pt>
                      <c:pt idx="380">
                        <c:v>#N/A</c:v>
                      </c:pt>
                      <c:pt idx="381">
                        <c:v>#N/A</c:v>
                      </c:pt>
                      <c:pt idx="382">
                        <c:v>#N/A</c:v>
                      </c:pt>
                      <c:pt idx="383">
                        <c:v>#N/A</c:v>
                      </c:pt>
                      <c:pt idx="384">
                        <c:v>#N/A</c:v>
                      </c:pt>
                      <c:pt idx="385">
                        <c:v>#N/A</c:v>
                      </c:pt>
                      <c:pt idx="386">
                        <c:v>#N/A</c:v>
                      </c:pt>
                      <c:pt idx="387">
                        <c:v>#N/A</c:v>
                      </c:pt>
                      <c:pt idx="388">
                        <c:v>#N/A</c:v>
                      </c:pt>
                      <c:pt idx="389">
                        <c:v>#N/A</c:v>
                      </c:pt>
                      <c:pt idx="390">
                        <c:v>#N/A</c:v>
                      </c:pt>
                      <c:pt idx="391">
                        <c:v>#N/A</c:v>
                      </c:pt>
                      <c:pt idx="392">
                        <c:v>#N/A</c:v>
                      </c:pt>
                      <c:pt idx="393">
                        <c:v>#N/A</c:v>
                      </c:pt>
                      <c:pt idx="394">
                        <c:v>#N/A</c:v>
                      </c:pt>
                      <c:pt idx="395">
                        <c:v>#N/A</c:v>
                      </c:pt>
                      <c:pt idx="396">
                        <c:v>#N/A</c:v>
                      </c:pt>
                      <c:pt idx="397">
                        <c:v>#N/A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EE1-4626-8AAE-45F2E4EDA16D}"/>
                  </c:ext>
                </c:extLst>
              </c15:ser>
            </c15:filteredScatterSeries>
          </c:ext>
        </c:extLst>
      </c:scatterChart>
      <c:valAx>
        <c:axId val="838420544"/>
        <c:scaling>
          <c:orientation val="minMax"/>
          <c:min val="436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  <c:max val="120000"/>
          <c:min val="80000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400"/>
  <sheetViews>
    <sheetView workbookViewId="0">
      <pane xSplit="1" ySplit="2" topLeftCell="B147" activePane="bottomRight" state="frozen"/>
      <selection activeCell="C51" sqref="C51"/>
      <selection pane="topRight" activeCell="E1" sqref="E1"/>
      <selection pane="bottomLeft" activeCell="A42" sqref="A42"/>
      <selection pane="bottomRight" activeCell="C165" sqref="C165"/>
    </sheetView>
  </sheetViews>
  <sheetFormatPr defaultColWidth="9.28515625" defaultRowHeight="14.65" customHeight="1" x14ac:dyDescent="0.25"/>
  <cols>
    <col min="1" max="1" width="14" style="31" customWidth="1"/>
    <col min="2" max="2" width="6.28515625" style="395" customWidth="1"/>
    <col min="3" max="4" width="9.28515625" style="395"/>
    <col min="5" max="5" width="32.85546875" style="395" customWidth="1"/>
    <col min="6" max="6" width="10.85546875" style="405" customWidth="1"/>
    <col min="7" max="7" width="14.7109375" style="418" customWidth="1"/>
    <col min="8" max="8" width="11.42578125" style="308" customWidth="1"/>
    <col min="9" max="9" width="10.85546875" style="405" customWidth="1"/>
    <col min="10" max="10" width="14.7109375" style="418" customWidth="1"/>
    <col min="11" max="11" width="11.42578125" style="308" customWidth="1"/>
    <col min="12" max="12" width="10.85546875" style="405" customWidth="1"/>
    <col min="13" max="13" width="14.7109375" style="418" customWidth="1"/>
    <col min="14" max="14" width="11.42578125" style="308" customWidth="1"/>
    <col min="15" max="16384" width="9.28515625" style="395"/>
  </cols>
  <sheetData>
    <row r="1" spans="1:14" s="416" customFormat="1" ht="14.65" customHeight="1" x14ac:dyDescent="0.25">
      <c r="A1" s="416" t="s">
        <v>182</v>
      </c>
      <c r="B1" s="416">
        <v>1</v>
      </c>
      <c r="C1" s="416">
        <v>7</v>
      </c>
      <c r="F1" s="468" t="str">
        <f>B1&amp; "日"</f>
        <v>1日</v>
      </c>
      <c r="G1" s="469"/>
      <c r="H1" s="469"/>
      <c r="I1" s="468" t="str">
        <f>C1 &amp; "日"</f>
        <v>7日</v>
      </c>
      <c r="J1" s="469"/>
      <c r="K1" s="469"/>
      <c r="L1" s="468" t="s">
        <v>180</v>
      </c>
      <c r="M1" s="469"/>
      <c r="N1" s="469"/>
    </row>
    <row r="2" spans="1:14" s="416" customFormat="1" ht="14.65" customHeight="1" x14ac:dyDescent="0.25">
      <c r="A2" s="414" t="s">
        <v>21</v>
      </c>
      <c r="B2" s="416" t="s">
        <v>39</v>
      </c>
      <c r="C2" s="416" t="s">
        <v>177</v>
      </c>
      <c r="D2" s="416" t="s">
        <v>176</v>
      </c>
      <c r="E2" s="416" t="s">
        <v>24</v>
      </c>
      <c r="F2" s="415" t="str">
        <f xml:space="preserve"> "EXP/日 (" &amp; B1 &amp; "日)"</f>
        <v>EXP/日 (1日)</v>
      </c>
      <c r="G2" s="417" t="str">
        <f xml:space="preserve"> "滿等日 (" &amp; B1 &amp; "日)"</f>
        <v>滿等日 (1日)</v>
      </c>
      <c r="H2" s="416" t="s">
        <v>178</v>
      </c>
      <c r="I2" s="415" t="str">
        <f xml:space="preserve"> "EXP/日 (" &amp; C1 &amp; "日)"</f>
        <v>EXP/日 (7日)</v>
      </c>
      <c r="J2" s="417" t="str">
        <f xml:space="preserve"> "滿等日 (" &amp; C1 &amp; "日)"</f>
        <v>滿等日 (7日)</v>
      </c>
      <c r="K2" s="416" t="s">
        <v>178</v>
      </c>
      <c r="L2" s="415" t="str">
        <f>"EXP/日 (" &amp; L1 &amp; ")"</f>
        <v>EXP/日 (累進)</v>
      </c>
      <c r="M2" s="417" t="str">
        <f>"滿等日 (" &amp; L1 &amp; ")"</f>
        <v>滿等日 (累進)</v>
      </c>
      <c r="N2" s="416" t="s">
        <v>178</v>
      </c>
    </row>
    <row r="3" spans="1:14" ht="14.65" customHeight="1" x14ac:dyDescent="0.25">
      <c r="A3" s="31">
        <v>43666.918750000004</v>
      </c>
      <c r="B3" s="395">
        <v>164</v>
      </c>
      <c r="C3" s="395">
        <v>38379</v>
      </c>
      <c r="D3" s="395">
        <f t="shared" ref="D3:D66" si="0">IF(ISBLANK(A3),"-",INDEX(DATA_PLAYER_EXP, B3, 3) + INDEX(DATA_PLAYER_EXP, B3, 2) - C3)</f>
        <v>4680111</v>
      </c>
      <c r="E3" s="399">
        <f>IF(ISBLANK(A3),"-",D3/PLAYER_EXP_MAX)</f>
        <v>0.40936938579166793</v>
      </c>
      <c r="F3" s="405" t="e">
        <f ca="1">IF(ISBLANK(A3),NA(),IFERROR(SLOPE(INDIRECT("D" &amp; MATCH(A3-$B$1,A:A,1)):D3, INDIRECT("A" &amp; MATCH(A3-$B$1,A:A,1)):A3),NA()))</f>
        <v>#N/A</v>
      </c>
      <c r="G3" s="418" t="e">
        <f ca="1">IF(ISBLANK(A3),NA(),IFERROR(A3+(PLAYER_EXP_MAX-D3)/F3,NA()))</f>
        <v>#N/A</v>
      </c>
      <c r="H3" s="317" t="e">
        <f ca="1">IF(ISBLANK(#REF!),NA(),IFERROR(TEXT(TRUNC(G3-NOW()),"000") &amp; " D " &amp; TEXT(TRUNC(ABS(G3-NOW()-TRUNC(G3-NOW()))*24),"00") &amp; " H", NA()))</f>
        <v>#N/A</v>
      </c>
      <c r="I3" s="405" t="e">
        <f ca="1">IF(ISBLANK(A3),NA(),IFERROR(SLOPE(INDIRECT("D" &amp; MATCH(A3-$C$1,A:A,1)):D3, INDIRECT("A" &amp; MATCH(A3-$C$1,A:A,1)):A3),NA()))</f>
        <v>#N/A</v>
      </c>
      <c r="J3" s="418" t="e">
        <f ca="1">IF(ISBLANK(A3),NA(),IFERROR(A3+(PLAYER_EXP_MAX-D3)/I3,NA()))</f>
        <v>#N/A</v>
      </c>
      <c r="K3" s="317" t="e">
        <f t="shared" ref="K3:K66" ca="1" si="1">IF(ISBLANK(A3),NA(),IFERROR(TEXT(TRUNC(J3-NOW()),"000") &amp; " D " &amp; TEXT(TRUNC(ABS(J3-NOW()-TRUNC(J3-NOW()))*24),"00") &amp; " H", NA()))</f>
        <v>#N/A</v>
      </c>
      <c r="L3" s="405" t="e">
        <f t="shared" ref="L3:L66" si="2">IFERROR(IF(OR(ISBLANK($A3),$A3-$A$3 &lt; $B$1),NA(),($D3-$D$3)/($A3-$A$3)),NA())</f>
        <v>#N/A</v>
      </c>
      <c r="M3" s="418" t="e">
        <f>IF(ISBLANK(A3),NA(),IFERROR(A3+(PLAYER_EXP_MAX-D3)/L3,NA()))</f>
        <v>#N/A</v>
      </c>
      <c r="N3" s="317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1">
        <v>43666.941666666666</v>
      </c>
      <c r="B4" s="395">
        <v>164</v>
      </c>
      <c r="C4" s="395">
        <v>34945</v>
      </c>
      <c r="D4" s="395">
        <f t="shared" si="0"/>
        <v>4683545</v>
      </c>
      <c r="E4" s="399">
        <f>IF(ISBLANK(A4),"-",D4/PLAYER_EXP_MAX)</f>
        <v>0.40966975782788856</v>
      </c>
      <c r="F4" s="405" t="e">
        <f ca="1">IF(ISBLANK(A4),NA(),IFERROR(SLOPE(INDIRECT("D" &amp; MATCH(A4-$B$1,A:A,1)):D4, INDIRECT("A" &amp; MATCH(A4-$B$1,A:A,1)):A4),NA()))</f>
        <v>#N/A</v>
      </c>
      <c r="G4" s="418" t="e">
        <f ca="1">IF(ISBLANK(A4),NA(),IFERROR(A4+(PLAYER_EXP_MAX-D4)/F4,NA()))</f>
        <v>#N/A</v>
      </c>
      <c r="H4" s="317" t="e">
        <f ca="1">IF(ISBLANK(#REF!),NA(),IFERROR(TEXT(TRUNC(G4-NOW()),"000") &amp; " D " &amp; TEXT(TRUNC(ABS(G4-NOW()-TRUNC(G4-NOW()))*24),"00") &amp; " H", NA()))</f>
        <v>#N/A</v>
      </c>
      <c r="I4" s="405" t="e">
        <f ca="1">IF(ISBLANK(A4),NA(),IFERROR(SLOPE(INDIRECT("D" &amp; MATCH(A4-$C$1,A:A,1)):D4, INDIRECT("A" &amp; MATCH(A4-$C$1,A:A,1)):A4),NA()))</f>
        <v>#N/A</v>
      </c>
      <c r="J4" s="418" t="e">
        <f ca="1">IF(ISBLANK(A4),NA(),IFERROR(A4+(PLAYER_EXP_MAX-D4)/I4,NA()))</f>
        <v>#N/A</v>
      </c>
      <c r="K4" s="317" t="e">
        <f t="shared" ca="1" si="1"/>
        <v>#N/A</v>
      </c>
      <c r="L4" s="405" t="e">
        <f t="shared" si="2"/>
        <v>#N/A</v>
      </c>
      <c r="M4" s="418" t="e">
        <f>IF(ISBLANK(A4),NA(),IFERROR(A4+(PLAYER_EXP_MAX-D4)/L4,NA()))</f>
        <v>#N/A</v>
      </c>
      <c r="N4" s="317" t="e">
        <f t="shared" ca="1" si="3"/>
        <v>#N/A</v>
      </c>
    </row>
    <row r="5" spans="1:14" ht="14.65" customHeight="1" x14ac:dyDescent="0.25">
      <c r="A5" s="31">
        <v>43667.021527777782</v>
      </c>
      <c r="B5" s="395">
        <v>164</v>
      </c>
      <c r="C5" s="395">
        <v>28047</v>
      </c>
      <c r="D5" s="395">
        <f t="shared" si="0"/>
        <v>4690443</v>
      </c>
      <c r="E5" s="399">
        <f>IF(ISBLANK(A5),"-",D5/PLAYER_EXP_MAX)</f>
        <v>0.410273126000821</v>
      </c>
      <c r="F5" s="405" t="e">
        <f ca="1">IF(ISBLANK(A5),NA(),IFERROR(SLOPE(INDIRECT("D" &amp; MATCH(A5-$B$1,A:A,1)):D5, INDIRECT("A" &amp; MATCH(A5-$B$1,A:A,1)):A5),NA()))</f>
        <v>#N/A</v>
      </c>
      <c r="G5" s="418" t="e">
        <f ca="1">IF(ISBLANK(A5),NA(),IFERROR(A5+(PLAYER_EXP_MAX-D5)/F5,NA()))</f>
        <v>#N/A</v>
      </c>
      <c r="H5" s="317" t="e">
        <f ca="1">IF(ISBLANK(#REF!),NA(),IFERROR(TEXT(TRUNC(G5-NOW()),"000") &amp; " D " &amp; TEXT(TRUNC(ABS(G5-NOW()-TRUNC(G5-NOW()))*24),"00") &amp; " H", NA()))</f>
        <v>#N/A</v>
      </c>
      <c r="I5" s="405" t="e">
        <f ca="1">IF(ISBLANK(A5),NA(),IFERROR(SLOPE(INDIRECT("D" &amp; MATCH(A5-$C$1,A:A,1)):D5, INDIRECT("A" &amp; MATCH(A5-$C$1,A:A,1)):A5),NA()))</f>
        <v>#N/A</v>
      </c>
      <c r="J5" s="418" t="e">
        <f ca="1">IF(ISBLANK(A5),NA(),IFERROR(A5+(PLAYER_EXP_MAX-D5)/I5,NA()))</f>
        <v>#N/A</v>
      </c>
      <c r="K5" s="317" t="e">
        <f t="shared" ca="1" si="1"/>
        <v>#N/A</v>
      </c>
      <c r="L5" s="405" t="e">
        <f t="shared" si="2"/>
        <v>#N/A</v>
      </c>
      <c r="M5" s="418" t="e">
        <f>IF(ISBLANK(A5),NA(),IFERROR(A5+(PLAYER_EXP_MAX-D5)/L5,NA()))</f>
        <v>#N/A</v>
      </c>
      <c r="N5" s="317" t="e">
        <f t="shared" ca="1" si="3"/>
        <v>#N/A</v>
      </c>
    </row>
    <row r="6" spans="1:14" ht="14.65" customHeight="1" x14ac:dyDescent="0.25">
      <c r="A6" s="31">
        <v>43667.086805555555</v>
      </c>
      <c r="B6" s="395">
        <v>164</v>
      </c>
      <c r="C6" s="395">
        <v>13277</v>
      </c>
      <c r="D6" s="395">
        <f t="shared" si="0"/>
        <v>4705213</v>
      </c>
      <c r="E6" s="399">
        <f>IF(ISBLANK(A6),"-",D6/PLAYER_EXP_MAX)</f>
        <v>0.41156505814263195</v>
      </c>
      <c r="F6" s="405" t="e">
        <f ca="1">IF(ISBLANK(A6),NA(),IFERROR(SLOPE(INDIRECT("D" &amp; MATCH(A6-$B$1,A:A,1)):D6, INDIRECT("A" &amp; MATCH(A6-$B$1,A:A,1)):A6),NA()))</f>
        <v>#N/A</v>
      </c>
      <c r="G6" s="418" t="e">
        <f ca="1">IF(ISBLANK(A6),NA(),IFERROR(A6+(PLAYER_EXP_MAX-D6)/F6,NA()))</f>
        <v>#N/A</v>
      </c>
      <c r="H6" s="317" t="e">
        <f ca="1">IF(ISBLANK(#REF!),NA(),IFERROR(TEXT(TRUNC(G6-NOW()),"000") &amp; " D " &amp; TEXT(TRUNC(ABS(G6-NOW()-TRUNC(G6-NOW()))*24),"00") &amp; " H", NA()))</f>
        <v>#N/A</v>
      </c>
      <c r="I6" s="405" t="e">
        <f ca="1">IF(ISBLANK(A6),NA(),IFERROR(SLOPE(INDIRECT("D" &amp; MATCH(A6-$C$1,A:A,1)):D6, INDIRECT("A" &amp; MATCH(A6-$C$1,A:A,1)):A6),NA()))</f>
        <v>#N/A</v>
      </c>
      <c r="J6" s="418" t="e">
        <f ca="1">IF(ISBLANK(A6),NA(),IFERROR(A6+(PLAYER_EXP_MAX-D6)/I6,NA()))</f>
        <v>#N/A</v>
      </c>
      <c r="K6" s="317" t="e">
        <f t="shared" ca="1" si="1"/>
        <v>#N/A</v>
      </c>
      <c r="L6" s="405" t="e">
        <f t="shared" si="2"/>
        <v>#N/A</v>
      </c>
      <c r="M6" s="418" t="e">
        <f>IF(ISBLANK(A6),NA(),IFERROR(A6+(PLAYER_EXP_MAX-D6)/L6,NA()))</f>
        <v>#N/A</v>
      </c>
      <c r="N6" s="317" t="e">
        <f t="shared" ca="1" si="3"/>
        <v>#N/A</v>
      </c>
    </row>
    <row r="7" spans="1:14" ht="14.65" customHeight="1" x14ac:dyDescent="0.25">
      <c r="A7" s="31">
        <v>43667.665277777778</v>
      </c>
      <c r="B7" s="395">
        <v>165</v>
      </c>
      <c r="C7" s="395">
        <v>119607</v>
      </c>
      <c r="D7" s="395">
        <f t="shared" si="0"/>
        <v>4732883</v>
      </c>
      <c r="E7" s="399">
        <f>IF(ISBLANK(A7),"-",D7/PLAYER_EXP_MAX)</f>
        <v>0.41398535349563859</v>
      </c>
      <c r="F7" s="405" t="e">
        <f ca="1">IF(ISBLANK(A7),NA(),IFERROR(SLOPE(INDIRECT("D" &amp; MATCH(A7-$B$1,A:A,1)):D7, INDIRECT("A" &amp; MATCH(A7-$B$1,A:A,1)):A7),NA()))</f>
        <v>#N/A</v>
      </c>
      <c r="G7" s="418" t="e">
        <f ca="1">IF(ISBLANK(A7),NA(),IFERROR(A7+(PLAYER_EXP_MAX-D7)/F7,NA()))</f>
        <v>#N/A</v>
      </c>
      <c r="H7" s="317" t="e">
        <f ca="1">IF(ISBLANK(#REF!),NA(),IFERROR(TEXT(TRUNC(G7-NOW()),"000") &amp; " D " &amp; TEXT(TRUNC(ABS(G7-NOW()-TRUNC(G7-NOW()))*24),"00") &amp; " H", NA()))</f>
        <v>#N/A</v>
      </c>
      <c r="I7" s="405" t="e">
        <f ca="1">IF(ISBLANK(A7),NA(),IFERROR(SLOPE(INDIRECT("D" &amp; MATCH(A7-$C$1,A:A,1)):D7, INDIRECT("A" &amp; MATCH(A7-$C$1,A:A,1)):A7),NA()))</f>
        <v>#N/A</v>
      </c>
      <c r="J7" s="418" t="e">
        <f ca="1">IF(ISBLANK(A7),NA(),IFERROR(A7+(PLAYER_EXP_MAX-D7)/I7,NA()))</f>
        <v>#N/A</v>
      </c>
      <c r="K7" s="317" t="e">
        <f t="shared" ca="1" si="1"/>
        <v>#N/A</v>
      </c>
      <c r="L7" s="405" t="e">
        <f t="shared" si="2"/>
        <v>#N/A</v>
      </c>
      <c r="M7" s="418" t="e">
        <f>IF(ISBLANK(A7),NA(),IFERROR(A7+(PLAYER_EXP_MAX-D7)/L7,NA()))</f>
        <v>#N/A</v>
      </c>
      <c r="N7" s="317" t="e">
        <f t="shared" ca="1" si="3"/>
        <v>#N/A</v>
      </c>
    </row>
    <row r="8" spans="1:14" ht="14.65" customHeight="1" x14ac:dyDescent="0.25">
      <c r="A8" s="31">
        <v>43667.834722222222</v>
      </c>
      <c r="B8" s="395">
        <v>165</v>
      </c>
      <c r="C8" s="395">
        <v>95094</v>
      </c>
      <c r="D8" s="395">
        <f t="shared" si="0"/>
        <v>4757396</v>
      </c>
      <c r="E8" s="399">
        <f>IF(ISBLANK(A8),"-",D8/PLAYER_EXP_MAX)</f>
        <v>0.41612950600695964</v>
      </c>
      <c r="F8" s="405" t="e">
        <f ca="1">IF(ISBLANK(A8),NA(),IFERROR(SLOPE(INDIRECT("D" &amp; MATCH(A8-$B$1,A:A,1)):D8, INDIRECT("A" &amp; MATCH(A8-$B$1,A:A,1)):A8),NA()))</f>
        <v>#N/A</v>
      </c>
      <c r="G8" s="418" t="e">
        <f ca="1">IF(ISBLANK(A8),NA(),IFERROR(A8+(PLAYER_EXP_MAX-D8)/F8,NA()))</f>
        <v>#N/A</v>
      </c>
      <c r="H8" s="317" t="e">
        <f ca="1">IF(ISBLANK(#REF!),NA(),IFERROR(TEXT(TRUNC(G8-NOW()),"000") &amp; " D " &amp; TEXT(TRUNC(ABS(G8-NOW()-TRUNC(G8-NOW()))*24),"00") &amp; " H", NA()))</f>
        <v>#N/A</v>
      </c>
      <c r="I8" s="405" t="e">
        <f ca="1">IF(ISBLANK(A8),NA(),IFERROR(SLOPE(INDIRECT("D" &amp; MATCH(A8-$C$1,A:A,1)):D8, INDIRECT("A" &amp; MATCH(A8-$C$1,A:A,1)):A8),NA()))</f>
        <v>#N/A</v>
      </c>
      <c r="J8" s="418" t="e">
        <f ca="1">IF(ISBLANK(A8),NA(),IFERROR(A8+(PLAYER_EXP_MAX-D8)/I8,NA()))</f>
        <v>#N/A</v>
      </c>
      <c r="K8" s="317" t="e">
        <f t="shared" ca="1" si="1"/>
        <v>#N/A</v>
      </c>
      <c r="L8" s="405" t="e">
        <f t="shared" si="2"/>
        <v>#N/A</v>
      </c>
      <c r="M8" s="418" t="e">
        <f>IF(ISBLANK(A8),NA(),IFERROR(A8+(PLAYER_EXP_MAX-D8)/L8,NA()))</f>
        <v>#N/A</v>
      </c>
      <c r="N8" s="317" t="e">
        <f t="shared" ca="1" si="3"/>
        <v>#N/A</v>
      </c>
    </row>
    <row r="9" spans="1:14" ht="14.65" customHeight="1" x14ac:dyDescent="0.25">
      <c r="A9" s="31">
        <v>43667.875694444447</v>
      </c>
      <c r="B9" s="395">
        <v>165</v>
      </c>
      <c r="C9" s="395">
        <v>89641</v>
      </c>
      <c r="D9" s="395">
        <f t="shared" si="0"/>
        <v>4762849</v>
      </c>
      <c r="E9" s="399">
        <f>IF(ISBLANK(A9),"-",D9/PLAYER_EXP_MAX)</f>
        <v>0.41660648000623485</v>
      </c>
      <c r="F9" s="405" t="e">
        <f ca="1">IF(ISBLANK(A9),NA(),IFERROR(SLOPE(INDIRECT("D" &amp; MATCH(A9-$B$1,A:A,1)):D9, INDIRECT("A" &amp; MATCH(A9-$B$1,A:A,1)):A9),NA()))</f>
        <v>#N/A</v>
      </c>
      <c r="G9" s="418" t="e">
        <f ca="1">IF(ISBLANK(A9),NA(),IFERROR(A9+(PLAYER_EXP_MAX-D9)/F9,NA()))</f>
        <v>#N/A</v>
      </c>
      <c r="H9" s="317" t="e">
        <f ca="1">IF(ISBLANK(#REF!),NA(),IFERROR(TEXT(TRUNC(G9-NOW()),"000") &amp; " D " &amp; TEXT(TRUNC(ABS(G9-NOW()-TRUNC(G9-NOW()))*24),"00") &amp; " H", NA()))</f>
        <v>#N/A</v>
      </c>
      <c r="I9" s="405" t="e">
        <f ca="1">IF(ISBLANK(A9),NA(),IFERROR(SLOPE(INDIRECT("D" &amp; MATCH(A9-$C$1,A:A,1)):D9, INDIRECT("A" &amp; MATCH(A9-$C$1,A:A,1)):A9),NA()))</f>
        <v>#N/A</v>
      </c>
      <c r="J9" s="418" t="e">
        <f ca="1">IF(ISBLANK(A9),NA(),IFERROR(A9+(PLAYER_EXP_MAX-D9)/I9,NA()))</f>
        <v>#N/A</v>
      </c>
      <c r="K9" s="317" t="e">
        <f t="shared" ca="1" si="1"/>
        <v>#N/A</v>
      </c>
      <c r="L9" s="405" t="e">
        <f t="shared" si="2"/>
        <v>#N/A</v>
      </c>
      <c r="M9" s="418" t="e">
        <f>IF(ISBLANK(A9),NA(),IFERROR(A9+(PLAYER_EXP_MAX-D9)/L9,NA()))</f>
        <v>#N/A</v>
      </c>
      <c r="N9" s="317" t="e">
        <f t="shared" ca="1" si="3"/>
        <v>#N/A</v>
      </c>
    </row>
    <row r="10" spans="1:14" ht="14.65" customHeight="1" x14ac:dyDescent="0.25">
      <c r="A10" s="31">
        <v>43667.935416666667</v>
      </c>
      <c r="B10" s="395">
        <v>165</v>
      </c>
      <c r="C10" s="395">
        <v>80744</v>
      </c>
      <c r="D10" s="395">
        <f t="shared" si="0"/>
        <v>4771746</v>
      </c>
      <c r="E10" s="399">
        <f>IF(ISBLANK(A10),"-",D10/PLAYER_EXP_MAX)</f>
        <v>0.41738470074189443</v>
      </c>
      <c r="F10" s="405">
        <f ca="1">IF(ISBLANK(A10),NA(),IFERROR(SLOPE(INDIRECT("D" &amp; MATCH(A10-$B$1,A:A,1)):D10, INDIRECT("A" &amp; MATCH(A10-$B$1,A:A,1)):A10),NA()))</f>
        <v>81982.186636489219</v>
      </c>
      <c r="G10" s="418">
        <f ca="1">IF(ISBLANK(A10),NA(),IFERROR(A10+(PLAYER_EXP_MAX-D10)/F10,NA()))</f>
        <v>43749.181639453258</v>
      </c>
      <c r="H10" s="317" t="str">
        <f ca="1">IF(ISBLANK(#REF!),NA(),IFERROR(TEXT(TRUNC(G10-NOW()),"000") &amp; " D " &amp; TEXT(TRUNC(ABS(G10-NOW()-TRUNC(G10-NOW()))*24),"00") &amp; " H", NA()))</f>
        <v>034 D 05 H</v>
      </c>
      <c r="I10" s="405" t="e">
        <f ca="1">IF(ISBLANK(A10),NA(),IFERROR(SLOPE(INDIRECT("D" &amp; MATCH(A10-$C$1,A:A,1)):D10, INDIRECT("A" &amp; MATCH(A10-$C$1,A:A,1)):A10),NA()))</f>
        <v>#N/A</v>
      </c>
      <c r="J10" s="418" t="e">
        <f ca="1">IF(ISBLANK(A10),NA(),IFERROR(A10+(PLAYER_EXP_MAX-D10)/I10,NA()))</f>
        <v>#N/A</v>
      </c>
      <c r="K10" s="317" t="e">
        <f t="shared" ca="1" si="1"/>
        <v>#N/A</v>
      </c>
      <c r="L10" s="405">
        <f t="shared" si="2"/>
        <v>90132.786885589929</v>
      </c>
      <c r="M10" s="418">
        <f>IF(ISBLANK(A10),NA(),IFERROR(A10+(PLAYER_EXP_MAX-D10)/L10,NA()))</f>
        <v>43741.834640580098</v>
      </c>
      <c r="N10" s="317" t="str">
        <f t="shared" ca="1" si="3"/>
        <v>026 D 20 H</v>
      </c>
    </row>
    <row r="11" spans="1:14" ht="14.65" customHeight="1" x14ac:dyDescent="0.25">
      <c r="A11" s="31">
        <v>43668.004166666666</v>
      </c>
      <c r="B11" s="395">
        <v>165</v>
      </c>
      <c r="C11" s="395">
        <v>68878</v>
      </c>
      <c r="D11" s="395">
        <f t="shared" si="0"/>
        <v>4783612</v>
      </c>
      <c r="E11" s="399">
        <f>IF(ISBLANK(A11),"-",D11/PLAYER_EXP_MAX)</f>
        <v>0.41842261995616176</v>
      </c>
      <c r="F11" s="405">
        <f ca="1">IF(ISBLANK(A11),NA(),IFERROR(SLOPE(INDIRECT("D" &amp; MATCH(A11-$B$1,A:A,1)):D11, INDIRECT("A" &amp; MATCH(A11-$B$1,A:A,1)):A11),NA()))</f>
        <v>84653.331953568995</v>
      </c>
      <c r="G11" s="418">
        <f ca="1">IF(ISBLANK(A11),NA(),IFERROR(A11+(PLAYER_EXP_MAX-D11)/F11,NA()))</f>
        <v>43746.546580137721</v>
      </c>
      <c r="H11" s="317" t="str">
        <f ca="1">IF(ISBLANK(#REF!),NA(),IFERROR(TEXT(TRUNC(G11-NOW()),"000") &amp; " D " &amp; TEXT(TRUNC(ABS(G11-NOW()-TRUNC(G11-NOW()))*24),"00") &amp; " H", NA()))</f>
        <v>031 D 14 H</v>
      </c>
      <c r="I11" s="405" t="e">
        <f ca="1">IF(ISBLANK(A11),NA(),IFERROR(SLOPE(INDIRECT("D" &amp; MATCH(A11-$C$1,A:A,1)):D11, INDIRECT("A" &amp; MATCH(A11-$C$1,A:A,1)):A11),NA()))</f>
        <v>#N/A</v>
      </c>
      <c r="J11" s="418" t="e">
        <f ca="1">IF(ISBLANK(A11),NA(),IFERROR(A11+(PLAYER_EXP_MAX-D11)/I11,NA()))</f>
        <v>#N/A</v>
      </c>
      <c r="K11" s="317" t="e">
        <f t="shared" ca="1" si="1"/>
        <v>#N/A</v>
      </c>
      <c r="L11" s="405">
        <f t="shared" si="2"/>
        <v>95356.007678011942</v>
      </c>
      <c r="M11" s="418">
        <f>IF(ISBLANK(A11),NA(),IFERROR(A11+(PLAYER_EXP_MAX-D11)/L11,NA()))</f>
        <v>43737.731047666668</v>
      </c>
      <c r="N11" s="317" t="str">
        <f t="shared" ca="1" si="3"/>
        <v>022 D 18 H</v>
      </c>
    </row>
    <row r="12" spans="1:14" ht="14.65" customHeight="1" x14ac:dyDescent="0.25">
      <c r="A12" s="31">
        <v>43668.131944444445</v>
      </c>
      <c r="B12" s="395">
        <v>165</v>
      </c>
      <c r="C12" s="395">
        <v>39694</v>
      </c>
      <c r="D12" s="395">
        <f t="shared" si="0"/>
        <v>4812796</v>
      </c>
      <c r="E12" s="399">
        <f>IF(ISBLANK(A12),"-",D12/PLAYER_EXP_MAX)</f>
        <v>0.42097534491395533</v>
      </c>
      <c r="F12" s="405">
        <f ca="1">IF(ISBLANK(A12),NA(),IFERROR(SLOPE(INDIRECT("D" &amp; MATCH(A12-$B$1,A:A,1)):D12, INDIRECT("A" &amp; MATCH(A12-$B$1,A:A,1)):A12),NA()))</f>
        <v>95049.683539929334</v>
      </c>
      <c r="G12" s="418">
        <f ca="1">IF(ISBLANK(A12),NA(),IFERROR(A12+(PLAYER_EXP_MAX-D12)/F12,NA()))</f>
        <v>43737.776500359447</v>
      </c>
      <c r="H12" s="317" t="str">
        <f ca="1">IF(ISBLANK(#REF!),NA(),IFERROR(TEXT(TRUNC(G12-NOW()),"000") &amp; " D " &amp; TEXT(TRUNC(ABS(G12-NOW()-TRUNC(G12-NOW()))*24),"00") &amp; " H", NA()))</f>
        <v>022 D 19 H</v>
      </c>
      <c r="I12" s="405" t="e">
        <f ca="1">IF(ISBLANK(A12),NA(),IFERROR(SLOPE(INDIRECT("D" &amp; MATCH(A12-$C$1,A:A,1)):D12, INDIRECT("A" &amp; MATCH(A12-$C$1,A:A,1)):A12),NA()))</f>
        <v>#N/A</v>
      </c>
      <c r="J12" s="418" t="e">
        <f ca="1">IF(ISBLANK(A12),NA(),IFERROR(A12+(PLAYER_EXP_MAX-D12)/I12,NA()))</f>
        <v>#N/A</v>
      </c>
      <c r="K12" s="317" t="e">
        <f t="shared" ca="1" si="1"/>
        <v>#N/A</v>
      </c>
      <c r="L12" s="405">
        <f t="shared" si="2"/>
        <v>109368.28849488279</v>
      </c>
      <c r="M12" s="418">
        <f>IF(ISBLANK(A12),NA(),IFERROR(A12+(PLAYER_EXP_MAX-D12)/L12,NA()))</f>
        <v>43728.65856592769</v>
      </c>
      <c r="N12" s="317" t="str">
        <f t="shared" ca="1" si="3"/>
        <v>013 D 16 H</v>
      </c>
    </row>
    <row r="13" spans="1:14" ht="14.65" customHeight="1" x14ac:dyDescent="0.25">
      <c r="A13" s="31">
        <v>43668.146527777782</v>
      </c>
      <c r="B13" s="395">
        <v>165</v>
      </c>
      <c r="C13" s="395">
        <v>36537</v>
      </c>
      <c r="D13" s="395">
        <f t="shared" si="0"/>
        <v>4815953</v>
      </c>
      <c r="E13" s="399">
        <f>IF(ISBLANK(A13),"-",D13/PLAYER_EXP_MAX)</f>
        <v>0.42125148775564097</v>
      </c>
      <c r="F13" s="405">
        <f ca="1">IF(ISBLANK(A13),NA(),IFERROR(SLOPE(INDIRECT("D" &amp; MATCH(A13-$B$1,A:A,1)):D13, INDIRECT("A" &amp; MATCH(A13-$B$1,A:A,1)):A13),NA()))</f>
        <v>103156.48358968433</v>
      </c>
      <c r="G13" s="418">
        <f ca="1">IF(ISBLANK(A13),NA(),IFERROR(A13+(PLAYER_EXP_MAX-D13)/F13,NA()))</f>
        <v>43732.287294986541</v>
      </c>
      <c r="H13" s="317" t="str">
        <f ca="1">IF(ISBLANK(#REF!),NA(),IFERROR(TEXT(TRUNC(G13-NOW()),"000") &amp; " D " &amp; TEXT(TRUNC(ABS(G13-NOW()-TRUNC(G13-NOW()))*24),"00") &amp; " H", NA()))</f>
        <v>017 D 07 H</v>
      </c>
      <c r="I13" s="405" t="e">
        <f ca="1">IF(ISBLANK(A13),NA(),IFERROR(SLOPE(INDIRECT("D" &amp; MATCH(A13-$C$1,A:A,1)):D13, INDIRECT("A" &amp; MATCH(A13-$C$1,A:A,1)):A13),NA()))</f>
        <v>#N/A</v>
      </c>
      <c r="J13" s="418" t="e">
        <f ca="1">IF(ISBLANK(A13),NA(),IFERROR(A13+(PLAYER_EXP_MAX-D13)/I13,NA()))</f>
        <v>#N/A</v>
      </c>
      <c r="K13" s="317" t="e">
        <f t="shared" ca="1" si="1"/>
        <v>#N/A</v>
      </c>
      <c r="L13" s="405">
        <f t="shared" si="2"/>
        <v>110640.54298639621</v>
      </c>
      <c r="M13" s="418">
        <f>IF(ISBLANK(A13),NA(),IFERROR(A13+(PLAYER_EXP_MAX-D13)/L13,NA()))</f>
        <v>43727.948620405019</v>
      </c>
      <c r="N13" s="317" t="str">
        <f t="shared" ca="1" si="3"/>
        <v>012 D 23 H</v>
      </c>
    </row>
    <row r="14" spans="1:14" ht="14.65" customHeight="1" x14ac:dyDescent="0.25">
      <c r="A14" s="31">
        <v>43668.764583333337</v>
      </c>
      <c r="B14" s="395">
        <v>165</v>
      </c>
      <c r="C14" s="395">
        <v>26661</v>
      </c>
      <c r="D14" s="395">
        <f t="shared" si="0"/>
        <v>4825829</v>
      </c>
      <c r="E14" s="399">
        <f>IF(ISBLANK(A14),"-",D14/PLAYER_EXP_MAX)</f>
        <v>0.4221153416373285</v>
      </c>
      <c r="F14" s="405">
        <f ca="1">IF(ISBLANK(A14),NA(),IFERROR(SLOPE(INDIRECT("D" &amp; MATCH(A14-$B$1,A:A,1)):D14, INDIRECT("A" &amp; MATCH(A14-$B$1,A:A,1)):A14),NA()))</f>
        <v>85840.805016483093</v>
      </c>
      <c r="G14" s="418">
        <f ca="1">IF(ISBLANK(A14),NA(),IFERROR(A14+(PLAYER_EXP_MAX-D14)/F14,NA()))</f>
        <v>43745.728679822547</v>
      </c>
      <c r="H14" s="317" t="str">
        <f ca="1">IF(ISBLANK(#REF!),NA(),IFERROR(TEXT(TRUNC(G14-NOW()),"000") &amp; " D " &amp; TEXT(TRUNC(ABS(G14-NOW()-TRUNC(G14-NOW()))*24),"00") &amp; " H", NA()))</f>
        <v>030 D 18 H</v>
      </c>
      <c r="I14" s="405" t="e">
        <f ca="1">IF(ISBLANK(A14),NA(),IFERROR(SLOPE(INDIRECT("D" &amp; MATCH(A14-$C$1,A:A,1)):D14, INDIRECT("A" &amp; MATCH(A14-$C$1,A:A,1)):A14),NA()))</f>
        <v>#N/A</v>
      </c>
      <c r="J14" s="418" t="e">
        <f ca="1">IF(ISBLANK(A14),NA(),IFERROR(A14+(PLAYER_EXP_MAX-D14)/I14,NA()))</f>
        <v>#N/A</v>
      </c>
      <c r="K14" s="317" t="e">
        <f t="shared" ca="1" si="1"/>
        <v>#N/A</v>
      </c>
      <c r="L14" s="405">
        <f t="shared" si="2"/>
        <v>78944.288939072663</v>
      </c>
      <c r="M14" s="418">
        <f>IF(ISBLANK(A14),NA(),IFERROR(A14+(PLAYER_EXP_MAX-D14)/L14,NA()))</f>
        <v>43752.452207717397</v>
      </c>
      <c r="N14" s="317" t="str">
        <f t="shared" ca="1" si="3"/>
        <v>037 D 11 H</v>
      </c>
    </row>
    <row r="15" spans="1:14" ht="14.65" customHeight="1" x14ac:dyDescent="0.25">
      <c r="A15" s="31">
        <v>43669.80069444445</v>
      </c>
      <c r="B15" s="395">
        <v>165</v>
      </c>
      <c r="C15" s="395">
        <v>2437</v>
      </c>
      <c r="D15" s="395">
        <f t="shared" si="0"/>
        <v>4850053</v>
      </c>
      <c r="E15" s="399">
        <f>IF(ISBLANK(A15),"-",D15/PLAYER_EXP_MAX)</f>
        <v>0.42423421531391808</v>
      </c>
      <c r="F15" s="405">
        <f ca="1">IF(ISBLANK(A15),NA(),IFERROR(SLOPE(INDIRECT("D" &amp; MATCH(A15-$B$1,A:A,1)):D15, INDIRECT("A" &amp; MATCH(A15-$B$1,A:A,1)):A15),NA()))</f>
        <v>23379.731903456068</v>
      </c>
      <c r="G15" s="418">
        <f ca="1">IF(ISBLANK(A15),NA(),IFERROR(A15+(PLAYER_EXP_MAX-D15)/F15,NA()))</f>
        <v>43951.34524025795</v>
      </c>
      <c r="H15" s="317" t="str">
        <f ca="1">IF(ISBLANK(#REF!),NA(),IFERROR(TEXT(TRUNC(G15-NOW()),"000") &amp; " D " &amp; TEXT(TRUNC(ABS(G15-NOW()-TRUNC(G15-NOW()))*24),"00") &amp; " H", NA()))</f>
        <v>236 D 09 H</v>
      </c>
      <c r="I15" s="405" t="e">
        <f ca="1">IF(ISBLANK(A15),NA(),IFERROR(SLOPE(INDIRECT("D" &amp; MATCH(A15-$C$1,A:A,1)):D15, INDIRECT("A" &amp; MATCH(A15-$C$1,A:A,1)):A15),NA()))</f>
        <v>#N/A</v>
      </c>
      <c r="J15" s="418" t="e">
        <f ca="1">IF(ISBLANK(A15),NA(),IFERROR(A15+(PLAYER_EXP_MAX-D15)/I15,NA()))</f>
        <v>#N/A</v>
      </c>
      <c r="K15" s="317" t="e">
        <f t="shared" ca="1" si="1"/>
        <v>#N/A</v>
      </c>
      <c r="L15" s="405">
        <f t="shared" si="2"/>
        <v>58967.826506007557</v>
      </c>
      <c r="M15" s="418">
        <f>IF(ISBLANK(A15),NA(),IFERROR(A15+(PLAYER_EXP_MAX-D15)/L15,NA()))</f>
        <v>43781.428278332576</v>
      </c>
      <c r="N15" s="317" t="str">
        <f t="shared" ca="1" si="3"/>
        <v>066 D 11 H</v>
      </c>
    </row>
    <row r="16" spans="1:14" ht="14.65" customHeight="1" x14ac:dyDescent="0.25">
      <c r="A16" s="31">
        <v>43669.932638888895</v>
      </c>
      <c r="B16" s="395">
        <v>166</v>
      </c>
      <c r="C16" s="395">
        <v>112999</v>
      </c>
      <c r="D16" s="400">
        <f t="shared" si="0"/>
        <v>4876491</v>
      </c>
      <c r="E16" s="399">
        <f>IF(ISBLANK(A16),"-",D16/PLAYER_EXP_MAX)</f>
        <v>0.42654674760675476</v>
      </c>
      <c r="F16" s="405">
        <f ca="1">IF(ISBLANK(A16),NA(),IFERROR(SLOPE(INDIRECT("D" &amp; MATCH(A16-$B$1,A:A,1)):D16, INDIRECT("A" &amp; MATCH(A16-$B$1,A:A,1)):A16),NA()))</f>
        <v>35744.517552287689</v>
      </c>
      <c r="G16" s="418">
        <f ca="1">IF(ISBLANK(A16),NA(),IFERROR(A16+(PLAYER_EXP_MAX-D16)/F16,NA()))</f>
        <v>43853.345325615184</v>
      </c>
      <c r="H16" s="317" t="str">
        <f ca="1">IF(ISBLANK(#REF!),NA(),IFERROR(TEXT(TRUNC(G16-NOW()),"000") &amp; " D " &amp; TEXT(TRUNC(ABS(G16-NOW()-TRUNC(G16-NOW()))*24),"00") &amp; " H", NA()))</f>
        <v>138 D 09 H</v>
      </c>
      <c r="I16" s="405" t="e">
        <f ca="1">IF(ISBLANK(A16),NA(),IFERROR(SLOPE(INDIRECT("D" &amp; MATCH(A16-$C$1,A:A,1)):D16, INDIRECT("A" &amp; MATCH(A16-$C$1,A:A,1)):A16),NA()))</f>
        <v>#N/A</v>
      </c>
      <c r="J16" s="418" t="e">
        <f ca="1">IF(ISBLANK(A16),NA(),IFERROR(A16+(PLAYER_EXP_MAX-D16)/I16,NA()))</f>
        <v>#N/A</v>
      </c>
      <c r="K16" s="317" t="e">
        <f t="shared" ca="1" si="1"/>
        <v>#N/A</v>
      </c>
      <c r="L16" s="405">
        <f t="shared" si="2"/>
        <v>65158.341013789926</v>
      </c>
      <c r="M16" s="418">
        <f>IF(ISBLANK(A16),NA(),IFERROR(A16+(PLAYER_EXP_MAX-D16)/L16,NA()))</f>
        <v>43770.549043450403</v>
      </c>
      <c r="N16" s="317" t="str">
        <f t="shared" ca="1" si="3"/>
        <v>055 D 14 H</v>
      </c>
    </row>
    <row r="17" spans="1:14" ht="14.65" customHeight="1" x14ac:dyDescent="0.25">
      <c r="A17" s="31">
        <v>43670.075000000004</v>
      </c>
      <c r="B17" s="395">
        <v>166</v>
      </c>
      <c r="C17" s="395">
        <v>82919</v>
      </c>
      <c r="D17" s="400">
        <f t="shared" si="0"/>
        <v>4906571</v>
      </c>
      <c r="E17" s="399">
        <f>IF(ISBLANK(A17),"-",D17/PLAYER_EXP_MAX)</f>
        <v>0.42917784569921735</v>
      </c>
      <c r="F17" s="405">
        <f ca="1">IF(ISBLANK(A17),NA(),IFERROR(SLOPE(INDIRECT("D" &amp; MATCH(A17-$B$1,A:A,1)):D17, INDIRECT("A" &amp; MATCH(A17-$B$1,A:A,1)):A17),NA()))</f>
        <v>49989.374076422886</v>
      </c>
      <c r="G17" s="418">
        <f ca="1">IF(ISBLANK(A17),NA(),IFERROR(A17+(PLAYER_EXP_MAX-D17)/F17,NA()))</f>
        <v>43800.621103458376</v>
      </c>
      <c r="H17" s="317" t="str">
        <f ca="1">IF(ISBLANK(#REF!),NA(),IFERROR(TEXT(TRUNC(G17-NOW()),"000") &amp; " D " &amp; TEXT(TRUNC(ABS(G17-NOW()-TRUNC(G17-NOW()))*24),"00") &amp; " H", NA()))</f>
        <v>085 D 15 H</v>
      </c>
      <c r="I17" s="405" t="e">
        <f ca="1">IF(ISBLANK(A17),NA(),IFERROR(SLOPE(INDIRECT("D" &amp; MATCH(A17-$C$1,A:A,1)):D17, INDIRECT("A" &amp; MATCH(A17-$C$1,A:A,1)):A17),NA()))</f>
        <v>#N/A</v>
      </c>
      <c r="J17" s="418" t="e">
        <f ca="1">IF(ISBLANK(A17),NA(),IFERROR(A17+(PLAYER_EXP_MAX-D17)/I17,NA()))</f>
        <v>#N/A</v>
      </c>
      <c r="K17" s="317" t="e">
        <f t="shared" ca="1" si="1"/>
        <v>#N/A</v>
      </c>
      <c r="L17" s="405">
        <f t="shared" si="2"/>
        <v>71749.702970297032</v>
      </c>
      <c r="M17" s="418">
        <f>IF(ISBLANK(A17),NA(),IFERROR(A17+(PLAYER_EXP_MAX-D17)/L17,NA()))</f>
        <v>43761.028937505522</v>
      </c>
      <c r="N17" s="317" t="str">
        <f t="shared" ca="1" si="3"/>
        <v>046 D 01 H</v>
      </c>
    </row>
    <row r="18" spans="1:14" ht="14.65" customHeight="1" x14ac:dyDescent="0.25">
      <c r="A18" s="31">
        <v>43670.095138888893</v>
      </c>
      <c r="B18" s="395">
        <v>166</v>
      </c>
      <c r="C18" s="395">
        <v>78040</v>
      </c>
      <c r="D18" s="400">
        <f t="shared" si="0"/>
        <v>4911450</v>
      </c>
      <c r="E18" s="399">
        <f>IF(ISBLANK(A18),"-",D18/PLAYER_EXP_MAX)</f>
        <v>0.42960461190909521</v>
      </c>
      <c r="F18" s="405">
        <f ca="1">IF(ISBLANK(A18),NA(),IFERROR(SLOPE(INDIRECT("D" &amp; MATCH(A18-$B$1,A:A,1)):D18, INDIRECT("A" &amp; MATCH(A18-$B$1,A:A,1)):A18),NA()))</f>
        <v>57077.654723748972</v>
      </c>
      <c r="G18" s="418">
        <f ca="1">IF(ISBLANK(A18),NA(),IFERROR(A18+(PLAYER_EXP_MAX-D18)/F18,NA()))</f>
        <v>43784.343683815299</v>
      </c>
      <c r="H18" s="317" t="str">
        <f ca="1">IF(ISBLANK(#REF!),NA(),IFERROR(TEXT(TRUNC(G18-NOW()),"000") &amp; " D " &amp; TEXT(TRUNC(ABS(G18-NOW()-TRUNC(G18-NOW()))*24),"00") &amp; " H", NA()))</f>
        <v>069 D 09 H</v>
      </c>
      <c r="I18" s="405" t="e">
        <f ca="1">IF(ISBLANK(A18),NA(),IFERROR(SLOPE(INDIRECT("D" &amp; MATCH(A18-$C$1,A:A,1)):D18, INDIRECT("A" &amp; MATCH(A18-$C$1,A:A,1)):A18),NA()))</f>
        <v>#N/A</v>
      </c>
      <c r="J18" s="418" t="e">
        <f ca="1">IF(ISBLANK(A18),NA(),IFERROR(A18+(PLAYER_EXP_MAX-D18)/I18,NA()))</f>
        <v>#N/A</v>
      </c>
      <c r="K18" s="317" t="e">
        <f t="shared" ca="1" si="1"/>
        <v>#N/A</v>
      </c>
      <c r="L18" s="405">
        <f t="shared" si="2"/>
        <v>72830.817665059702</v>
      </c>
      <c r="M18" s="418">
        <f>IF(ISBLANK(A18),NA(),IFERROR(A18+(PLAYER_EXP_MAX-D18)/L18,NA()))</f>
        <v>43759.631947743481</v>
      </c>
      <c r="N18" s="317" t="str">
        <f t="shared" ca="1" si="3"/>
        <v>044 D 16 H</v>
      </c>
    </row>
    <row r="19" spans="1:14" ht="14.65" customHeight="1" x14ac:dyDescent="0.25">
      <c r="A19" s="31">
        <v>43670.361111111117</v>
      </c>
      <c r="B19" s="395">
        <v>166</v>
      </c>
      <c r="C19" s="395">
        <v>44973</v>
      </c>
      <c r="D19" s="400">
        <f t="shared" si="0"/>
        <v>4944517</v>
      </c>
      <c r="E19" s="399">
        <f>IF(ISBLANK(A19),"-",D19/PLAYER_EXP_MAX)</f>
        <v>0.4324969829404603</v>
      </c>
      <c r="F19" s="405">
        <f ca="1">IF(ISBLANK(A19),NA(),IFERROR(SLOPE(INDIRECT("D" &amp; MATCH(A19-$B$1,A:A,1)):D19, INDIRECT("A" &amp; MATCH(A19-$B$1,A:A,1)):A19),NA()))</f>
        <v>68694.168389614249</v>
      </c>
      <c r="G19" s="418">
        <f ca="1">IF(ISBLANK(A19),NA(),IFERROR(A19+(PLAYER_EXP_MAX-D19)/F19,NA()))</f>
        <v>43764.808313138543</v>
      </c>
      <c r="H19" s="317" t="str">
        <f ca="1">IF(ISBLANK(#REF!),NA(),IFERROR(TEXT(TRUNC(G19-NOW()),"000") &amp; " D " &amp; TEXT(TRUNC(ABS(G19-NOW()-TRUNC(G19-NOW()))*24),"00") &amp; " H", NA()))</f>
        <v>049 D 20 H</v>
      </c>
      <c r="I19" s="405" t="e">
        <f ca="1">IF(ISBLANK(A19),NA(),IFERROR(SLOPE(INDIRECT("D" &amp; MATCH(A19-$C$1,A:A,1)):D19, INDIRECT("A" &amp; MATCH(A19-$C$1,A:A,1)):A19),NA()))</f>
        <v>#N/A</v>
      </c>
      <c r="J19" s="418" t="e">
        <f ca="1">IF(ISBLANK(A19),NA(),IFERROR(A19+(PLAYER_EXP_MAX-D19)/I19,NA()))</f>
        <v>#N/A</v>
      </c>
      <c r="K19" s="317" t="e">
        <f t="shared" ca="1" si="1"/>
        <v>#N/A</v>
      </c>
      <c r="L19" s="405">
        <f t="shared" si="2"/>
        <v>76809.489610622739</v>
      </c>
      <c r="M19" s="418">
        <f>IF(ISBLANK(A19),NA(),IFERROR(A19+(PLAYER_EXP_MAX-D19)/L19,NA()))</f>
        <v>43754.829476060426</v>
      </c>
      <c r="N19" s="317" t="str">
        <f t="shared" ca="1" si="3"/>
        <v>039 D 20 H</v>
      </c>
    </row>
    <row r="20" spans="1:14" ht="14.65" customHeight="1" x14ac:dyDescent="0.25">
      <c r="A20" s="31">
        <v>43670.506944444445</v>
      </c>
      <c r="B20" s="395">
        <v>166</v>
      </c>
      <c r="C20" s="395">
        <v>24191</v>
      </c>
      <c r="D20" s="400">
        <f t="shared" si="0"/>
        <v>4965299</v>
      </c>
      <c r="E20" s="399">
        <f>IF(ISBLANK(A20),"-",D20/PLAYER_EXP_MAX)</f>
        <v>0.4343147848206983</v>
      </c>
      <c r="F20" s="405">
        <f ca="1">IF(ISBLANK(A20),NA(),IFERROR(SLOPE(INDIRECT("D" &amp; MATCH(A20-$B$1,A:A,1)):D20, INDIRECT("A" &amp; MATCH(A20-$B$1,A:A,1)):A20),NA()))</f>
        <v>78595.245663102149</v>
      </c>
      <c r="G20" s="418">
        <f ca="1">IF(ISBLANK(A20),NA(),IFERROR(A20+(PLAYER_EXP_MAX-D20)/F20,NA()))</f>
        <v>43752.791692655825</v>
      </c>
      <c r="H20" s="317" t="str">
        <f ca="1">IF(ISBLANK(#REF!),NA(),IFERROR(TEXT(TRUNC(G20-NOW()),"000") &amp; " D " &amp; TEXT(TRUNC(ABS(G20-NOW()-TRUNC(G20-NOW()))*24),"00") &amp; " H", NA()))</f>
        <v>037 D 19 H</v>
      </c>
      <c r="I20" s="405" t="e">
        <f ca="1">IF(ISBLANK(A20),NA(),IFERROR(SLOPE(INDIRECT("D" &amp; MATCH(A20-$C$1,A:A,1)):D20, INDIRECT("A" &amp; MATCH(A20-$C$1,A:A,1)):A20),NA()))</f>
        <v>#N/A</v>
      </c>
      <c r="J20" s="418" t="e">
        <f ca="1">IF(ISBLANK(A20),NA(),IFERROR(A20+(PLAYER_EXP_MAX-D20)/I20,NA()))</f>
        <v>#N/A</v>
      </c>
      <c r="K20" s="317" t="e">
        <f t="shared" ca="1" si="1"/>
        <v>#N/A</v>
      </c>
      <c r="L20" s="405">
        <f t="shared" si="2"/>
        <v>79479.527772480578</v>
      </c>
      <c r="M20" s="418">
        <f>IF(ISBLANK(A20),NA(),IFERROR(A20+(PLAYER_EXP_MAX-D20)/L20,NA()))</f>
        <v>43751.876199915023</v>
      </c>
      <c r="N20" s="317" t="str">
        <f t="shared" ca="1" si="3"/>
        <v>036 D 21 H</v>
      </c>
    </row>
    <row r="21" spans="1:14" ht="14.65" customHeight="1" x14ac:dyDescent="0.25">
      <c r="A21" s="31">
        <v>43670.904861111114</v>
      </c>
      <c r="B21" s="395">
        <v>166</v>
      </c>
      <c r="C21" s="395">
        <v>17185</v>
      </c>
      <c r="D21" s="400">
        <f t="shared" si="0"/>
        <v>4972305</v>
      </c>
      <c r="E21" s="399">
        <f>IF(ISBLANK(A21),"-",D21/PLAYER_EXP_MAX)</f>
        <v>0.43492759975539885</v>
      </c>
      <c r="F21" s="405">
        <f ca="1">IF(ISBLANK(A21),NA(),IFERROR(SLOPE(INDIRECT("D" &amp; MATCH(A21-$B$1,A:A,1)):D21, INDIRECT("A" &amp; MATCH(A21-$B$1,A:A,1)):A21),NA()))</f>
        <v>112762.50443480143</v>
      </c>
      <c r="G21" s="418">
        <f ca="1">IF(ISBLANK(A21),NA(),IFERROR(A21+(PLAYER_EXP_MAX-D21)/F21,NA()))</f>
        <v>43728.195039547471</v>
      </c>
      <c r="H21" s="317" t="str">
        <f ca="1">IF(ISBLANK(#REF!),NA(),IFERROR(TEXT(TRUNC(G21-NOW()),"000") &amp; " D " &amp; TEXT(TRUNC(ABS(G21-NOW()-TRUNC(G21-NOW()))*24),"00") &amp; " H", NA()))</f>
        <v>013 D 05 H</v>
      </c>
      <c r="I21" s="405" t="e">
        <f ca="1">IF(ISBLANK(A21),NA(),IFERROR(SLOPE(INDIRECT("D" &amp; MATCH(A21-$C$1,A:A,1)):D21, INDIRECT("A" &amp; MATCH(A21-$C$1,A:A,1)):A21),NA()))</f>
        <v>#N/A</v>
      </c>
      <c r="J21" s="418" t="e">
        <f ca="1">IF(ISBLANK(A21),NA(),IFERROR(A21+(PLAYER_EXP_MAX-D21)/I21,NA()))</f>
        <v>#N/A</v>
      </c>
      <c r="K21" s="317" t="e">
        <f t="shared" ca="1" si="1"/>
        <v>#N/A</v>
      </c>
      <c r="L21" s="405">
        <f t="shared" si="2"/>
        <v>73303.02439027364</v>
      </c>
      <c r="M21" s="418">
        <f>IF(ISBLANK(A21),NA(),IFERROR(A21+(PLAYER_EXP_MAX-D21)/L21,NA()))</f>
        <v>43759.034703689031</v>
      </c>
      <c r="N21" s="317" t="str">
        <f t="shared" ca="1" si="3"/>
        <v>044 D 01 H</v>
      </c>
    </row>
    <row r="22" spans="1:14" ht="14.65" customHeight="1" x14ac:dyDescent="0.25">
      <c r="A22" s="31">
        <v>43671.138194444444</v>
      </c>
      <c r="B22" s="395">
        <v>167</v>
      </c>
      <c r="C22" s="395">
        <v>120328</v>
      </c>
      <c r="D22" s="400">
        <f t="shared" si="0"/>
        <v>5009162</v>
      </c>
      <c r="E22" s="399">
        <f>IF(ISBLANK(A22),"-",D22/PLAYER_EXP_MAX)</f>
        <v>0.43815148214881289</v>
      </c>
      <c r="F22" s="405">
        <f ca="1">IF(ISBLANK(A22),NA(),IFERROR(SLOPE(INDIRECT("D" &amp; MATCH(A22-$B$1,A:A,1)):D22, INDIRECT("A" &amp; MATCH(A22-$B$1,A:A,1)):A22),NA()))</f>
        <v>82371.195561163724</v>
      </c>
      <c r="G22" s="418">
        <f ca="1">IF(ISBLANK(A22),NA(),IFERROR(A22+(PLAYER_EXP_MAX-D22)/F22,NA()))</f>
        <v>43749.118451453469</v>
      </c>
      <c r="H22" s="317" t="str">
        <f ca="1">IF(ISBLANK(#REF!),NA(),IFERROR(TEXT(TRUNC(G22-NOW()),"000") &amp; " D " &amp; TEXT(TRUNC(ABS(G22-NOW()-TRUNC(G22-NOW()))*24),"00") &amp; " H", NA()))</f>
        <v>034 D 03 H</v>
      </c>
      <c r="I22" s="405" t="e">
        <f ca="1">IF(ISBLANK(A22),NA(),IFERROR(SLOPE(INDIRECT("D" &amp; MATCH(A22-$C$1,A:A,1)):D22, INDIRECT("A" &amp; MATCH(A22-$C$1,A:A,1)):A22),NA()))</f>
        <v>#N/A</v>
      </c>
      <c r="J22" s="418" t="e">
        <f ca="1">IF(ISBLANK(A22),NA(),IFERROR(A22+(PLAYER_EXP_MAX-D22)/I22,NA()))</f>
        <v>#N/A</v>
      </c>
      <c r="K22" s="317" t="e">
        <f t="shared" ca="1" si="1"/>
        <v>#N/A</v>
      </c>
      <c r="L22" s="405">
        <f t="shared" si="2"/>
        <v>77984.437129783226</v>
      </c>
      <c r="M22" s="418">
        <f>IF(ISBLANK(A22),NA(),IFERROR(A22+(PLAYER_EXP_MAX-D22)/L22,NA()))</f>
        <v>43753.504974745883</v>
      </c>
      <c r="N22" s="317" t="str">
        <f t="shared" ca="1" si="3"/>
        <v>038 D 13 H</v>
      </c>
    </row>
    <row r="23" spans="1:14" ht="14.65" customHeight="1" x14ac:dyDescent="0.25">
      <c r="A23" s="31">
        <v>43671.278472222228</v>
      </c>
      <c r="B23" s="395">
        <v>167</v>
      </c>
      <c r="C23" s="395">
        <v>100906</v>
      </c>
      <c r="D23" s="400">
        <f t="shared" si="0"/>
        <v>5028584</v>
      </c>
      <c r="E23" s="399">
        <f>IF(ISBLANK(A23),"-",D23/PLAYER_EXP_MAX)</f>
        <v>0.43985032480678532</v>
      </c>
      <c r="F23" s="405">
        <f ca="1">IF(ISBLANK(A23),NA(),IFERROR(SLOPE(INDIRECT("D" &amp; MATCH(A23-$B$1,A:A,1)):D23, INDIRECT("A" &amp; MATCH(A23-$B$1,A:A,1)):A23),NA()))</f>
        <v>88742.598114167908</v>
      </c>
      <c r="G23" s="418">
        <f ca="1">IF(ISBLANK(A23),NA(),IFERROR(A23+(PLAYER_EXP_MAX-D23)/F23,NA()))</f>
        <v>43743.441166757737</v>
      </c>
      <c r="H23" s="317" t="str">
        <f ca="1">IF(ISBLANK(#REF!),NA(),IFERROR(TEXT(TRUNC(G23-NOW()),"000") &amp; " D " &amp; TEXT(TRUNC(ABS(G23-NOW()-TRUNC(G23-NOW()))*24),"00") &amp; " H", NA()))</f>
        <v>028 D 11 H</v>
      </c>
      <c r="I23" s="405" t="e">
        <f ca="1">IF(ISBLANK(A23),NA(),IFERROR(SLOPE(INDIRECT("D" &amp; MATCH(A23-$C$1,A:A,1)):D23, INDIRECT("A" &amp; MATCH(A23-$C$1,A:A,1)):A23),NA()))</f>
        <v>#N/A</v>
      </c>
      <c r="J23" s="418" t="e">
        <f ca="1">IF(ISBLANK(A23),NA(),IFERROR(A23+(PLAYER_EXP_MAX-D23)/I23,NA()))</f>
        <v>#N/A</v>
      </c>
      <c r="K23" s="317" t="e">
        <f t="shared" ca="1" si="1"/>
        <v>#N/A</v>
      </c>
      <c r="L23" s="405">
        <f t="shared" si="2"/>
        <v>79930.092386089469</v>
      </c>
      <c r="M23" s="418">
        <f>IF(ISBLANK(A23),NA(),IFERROR(A23+(PLAYER_EXP_MAX-D23)/L23,NA()))</f>
        <v>43751.397296169875</v>
      </c>
      <c r="N23" s="317" t="str">
        <f t="shared" ca="1" si="3"/>
        <v>036 D 10 H</v>
      </c>
    </row>
    <row r="24" spans="1:14" ht="14.65" customHeight="1" x14ac:dyDescent="0.25">
      <c r="A24" s="31">
        <v>43671.481250000004</v>
      </c>
      <c r="B24" s="395">
        <v>167</v>
      </c>
      <c r="C24" s="395">
        <v>70771</v>
      </c>
      <c r="D24" s="400">
        <f t="shared" si="0"/>
        <v>5058719</v>
      </c>
      <c r="E24" s="399">
        <f>IF(ISBLANK(A24),"-",D24/PLAYER_EXP_MAX)</f>
        <v>0.44248623375014839</v>
      </c>
      <c r="F24" s="405">
        <f ca="1">IF(ISBLANK(A24),NA(),IFERROR(SLOPE(INDIRECT("D" &amp; MATCH(A24-$B$1,A:A,1)):D24, INDIRECT("A" &amp; MATCH(A24-$B$1,A:A,1)):A24),NA()))</f>
        <v>94280.803588024355</v>
      </c>
      <c r="G24" s="418">
        <f ca="1">IF(ISBLANK(A24),NA(),IFERROR(A24+(PLAYER_EXP_MAX-D24)/F24,NA()))</f>
        <v>43739.085361944693</v>
      </c>
      <c r="H24" s="317" t="str">
        <f ca="1">IF(ISBLANK(#REF!),NA(),IFERROR(TEXT(TRUNC(G24-NOW()),"000") &amp; " D " &amp; TEXT(TRUNC(ABS(G24-NOW()-TRUNC(G24-NOW()))*24),"00") &amp; " H", NA()))</f>
        <v>024 D 02 H</v>
      </c>
      <c r="I24" s="405" t="e">
        <f ca="1">IF(ISBLANK(A24),NA(),IFERROR(SLOPE(INDIRECT("D" &amp; MATCH(A24-$C$1,A:A,1)):D24, INDIRECT("A" &amp; MATCH(A24-$C$1,A:A,1)):A24),NA()))</f>
        <v>#N/A</v>
      </c>
      <c r="J24" s="418" t="e">
        <f ca="1">IF(ISBLANK(A24),NA(),IFERROR(A24+(PLAYER_EXP_MAX-D24)/I24,NA()))</f>
        <v>#N/A</v>
      </c>
      <c r="K24" s="317" t="e">
        <f t="shared" ca="1" si="1"/>
        <v>#N/A</v>
      </c>
      <c r="L24" s="405">
        <f t="shared" si="2"/>
        <v>82982.57534246576</v>
      </c>
      <c r="M24" s="418">
        <f>IF(ISBLANK(A24),NA(),IFERROR(A24+(PLAYER_EXP_MAX-D24)/L24,NA()))</f>
        <v>43748.289784486864</v>
      </c>
      <c r="N24" s="317" t="str">
        <f t="shared" ca="1" si="3"/>
        <v>033 D 07 H</v>
      </c>
    </row>
    <row r="25" spans="1:14" ht="14.65" customHeight="1" x14ac:dyDescent="0.25">
      <c r="A25" s="31">
        <v>43671.541666666672</v>
      </c>
      <c r="B25" s="395">
        <v>167</v>
      </c>
      <c r="C25" s="395">
        <v>63020</v>
      </c>
      <c r="D25" s="402">
        <f t="shared" si="0"/>
        <v>5066470</v>
      </c>
      <c r="E25" s="399">
        <f>IF(ISBLANK(A25),"-",D25/PLAYER_EXP_MAX)</f>
        <v>0.44316421384704591</v>
      </c>
      <c r="F25" s="405">
        <f ca="1">IF(ISBLANK(A25),NA(),IFERROR(SLOPE(INDIRECT("D" &amp; MATCH(A25-$B$1,A:A,1)):D25, INDIRECT("A" &amp; MATCH(A25-$B$1,A:A,1)):A25),NA()))</f>
        <v>104871.0027829872</v>
      </c>
      <c r="G25" s="418">
        <f ca="1">IF(ISBLANK(A25),NA(),IFERROR(A25+(PLAYER_EXP_MAX-D25)/F25,NA()))</f>
        <v>43732.244995814515</v>
      </c>
      <c r="H25" s="317" t="str">
        <f ca="1">IF(ISBLANK(#REF!),NA(),IFERROR(TEXT(TRUNC(G25-NOW()),"000") &amp; " D " &amp; TEXT(TRUNC(ABS(G25-NOW()-TRUNC(G25-NOW()))*24),"00") &amp; " H", NA()))</f>
        <v>017 D 06 H</v>
      </c>
      <c r="I25" s="405" t="e">
        <f ca="1">IF(ISBLANK(A25),NA(),IFERROR(SLOPE(INDIRECT("D" &amp; MATCH(A25-$C$1,A:A,1)):D25, INDIRECT("A" &amp; MATCH(A25-$C$1,A:A,1)):A25),NA()))</f>
        <v>#N/A</v>
      </c>
      <c r="J25" s="418" t="e">
        <f ca="1">IF(ISBLANK(A25),NA(),IFERROR(A25+(PLAYER_EXP_MAX-D25)/I25,NA()))</f>
        <v>#N/A</v>
      </c>
      <c r="K25" s="317" t="e">
        <f t="shared" ca="1" si="1"/>
        <v>#N/A</v>
      </c>
      <c r="L25" s="405">
        <f t="shared" si="2"/>
        <v>83574.727354655493</v>
      </c>
      <c r="M25" s="418">
        <f>IF(ISBLANK(A25),NA(),IFERROR(A25+(PLAYER_EXP_MAX-D25)/L25,NA()))</f>
        <v>43747.713246299652</v>
      </c>
      <c r="N25" s="317" t="str">
        <f t="shared" ca="1" si="3"/>
        <v>032 D 18 H</v>
      </c>
    </row>
    <row r="26" spans="1:14" ht="14.65" customHeight="1" x14ac:dyDescent="0.25">
      <c r="A26" s="31">
        <v>43671.563888888893</v>
      </c>
      <c r="B26" s="395">
        <v>167</v>
      </c>
      <c r="C26" s="395">
        <v>60034</v>
      </c>
      <c r="D26" s="402">
        <f t="shared" si="0"/>
        <v>5069456</v>
      </c>
      <c r="E26" s="399">
        <f>IF(ISBLANK(A26),"-",D26/PLAYER_EXP_MAX)</f>
        <v>0.443425399315932</v>
      </c>
      <c r="F26" s="405">
        <f ca="1">IF(ISBLANK(A26),NA(),IFERROR(SLOPE(INDIRECT("D" &amp; MATCH(A26-$B$1,A:A,1)):D26, INDIRECT("A" &amp; MATCH(A26-$B$1,A:A,1)):A26),NA()))</f>
        <v>108243.8769074406</v>
      </c>
      <c r="G26" s="418">
        <f ca="1">IF(ISBLANK(A26),NA(),IFERROR(A26+(PLAYER_EXP_MAX-D26)/F26,NA()))</f>
        <v>43730.348119293361</v>
      </c>
      <c r="H26" s="317" t="str">
        <f ca="1">IF(ISBLANK(#REF!),NA(),IFERROR(TEXT(TRUNC(G26-NOW()),"000") &amp; " D " &amp; TEXT(TRUNC(ABS(G26-NOW()-TRUNC(G26-NOW()))*24),"00") &amp; " H", NA()))</f>
        <v>015 D 09 H</v>
      </c>
      <c r="I26" s="405" t="e">
        <f ca="1">IF(ISBLANK(A26),NA(),IFERROR(SLOPE(INDIRECT("D" &amp; MATCH(A26-$C$1,A:A,1)):D26, INDIRECT("A" &amp; MATCH(A26-$C$1,A:A,1)):A26),NA()))</f>
        <v>#N/A</v>
      </c>
      <c r="J26" s="418" t="e">
        <f ca="1">IF(ISBLANK(A26),NA(),IFERROR(A26+(PLAYER_EXP_MAX-D26)/I26,NA()))</f>
        <v>#N/A</v>
      </c>
      <c r="K26" s="317" t="e">
        <f t="shared" ca="1" si="1"/>
        <v>#N/A</v>
      </c>
      <c r="L26" s="405">
        <f t="shared" si="2"/>
        <v>83817.730602478769</v>
      </c>
      <c r="M26" s="418">
        <f>IF(ISBLANK(A26),NA(),IFERROR(A26+(PLAYER_EXP_MAX-D26)/L26,NA()))</f>
        <v>43747.479007972441</v>
      </c>
      <c r="N26" s="317" t="str">
        <f t="shared" ca="1" si="3"/>
        <v>032 D 12 H</v>
      </c>
    </row>
    <row r="27" spans="1:14" ht="14.65" customHeight="1" x14ac:dyDescent="0.25">
      <c r="A27" s="31">
        <v>43671.871527777781</v>
      </c>
      <c r="B27" s="395">
        <v>167</v>
      </c>
      <c r="C27" s="395">
        <v>51593</v>
      </c>
      <c r="D27" s="402">
        <f t="shared" si="0"/>
        <v>5077897</v>
      </c>
      <c r="E27" s="399">
        <f>IF(ISBLANK(A27),"-",D27/PLAYER_EXP_MAX)</f>
        <v>0.44416373372412604</v>
      </c>
      <c r="F27" s="405">
        <f ca="1">IF(ISBLANK(A27),NA(),IFERROR(SLOPE(INDIRECT("D" &amp; MATCH(A27-$B$1,A:A,1)):D27, INDIRECT("A" &amp; MATCH(A27-$B$1,A:A,1)):A27),NA()))</f>
        <v>99740.459604289557</v>
      </c>
      <c r="G27" s="418">
        <f ca="1">IF(ISBLANK(A27),NA(),IFERROR(A27+(PLAYER_EXP_MAX-D27)/F27,NA()))</f>
        <v>43735.582804276921</v>
      </c>
      <c r="H27" s="317" t="str">
        <f ca="1">IF(ISBLANK(#REF!),NA(),IFERROR(TEXT(TRUNC(G27-NOW()),"000") &amp; " D " &amp; TEXT(TRUNC(ABS(G27-NOW()-TRUNC(G27-NOW()))*24),"00") &amp; " H", NA()))</f>
        <v>020 D 14 H</v>
      </c>
      <c r="I27" s="405" t="e">
        <f ca="1">IF(ISBLANK(A27),NA(),IFERROR(SLOPE(INDIRECT("D" &amp; MATCH(A27-$C$1,A:A,1)):D27, INDIRECT("A" &amp; MATCH(A27-$C$1,A:A,1)):A27),NA()))</f>
        <v>#N/A</v>
      </c>
      <c r="J27" s="418" t="e">
        <f ca="1">IF(ISBLANK(A27),NA(),IFERROR(A27+(PLAYER_EXP_MAX-D27)/I27,NA()))</f>
        <v>#N/A</v>
      </c>
      <c r="K27" s="317" t="e">
        <f t="shared" ca="1" si="1"/>
        <v>#N/A</v>
      </c>
      <c r="L27" s="405">
        <f t="shared" si="2"/>
        <v>80315.737521050323</v>
      </c>
      <c r="M27" s="418">
        <f>IF(ISBLANK(A27),NA(),IFERROR(A27+(PLAYER_EXP_MAX-D27)/L27,NA()))</f>
        <v>43750.991662836423</v>
      </c>
      <c r="N27" s="317" t="str">
        <f t="shared" ca="1" si="3"/>
        <v>036 D 00 H</v>
      </c>
    </row>
    <row r="28" spans="1:14" ht="14.65" customHeight="1" x14ac:dyDescent="0.25">
      <c r="A28" s="31">
        <v>43673.193750000006</v>
      </c>
      <c r="B28" s="395">
        <v>168</v>
      </c>
      <c r="C28" s="395">
        <v>100662</v>
      </c>
      <c r="D28" s="402">
        <f t="shared" si="0"/>
        <v>5171828</v>
      </c>
      <c r="E28" s="399">
        <f>IF(ISBLANK(A28),"-",D28/PLAYER_EXP_MAX)</f>
        <v>0.45237987983194211</v>
      </c>
      <c r="F28" s="405">
        <f ca="1">IF(ISBLANK(A28),NA(),IFERROR(SLOPE(INDIRECT("D" &amp; MATCH(A28-$B$1,A:A,1)):D28, INDIRECT("A" &amp; MATCH(A28-$B$1,A:A,1)):A28),NA()))</f>
        <v>71040.252100701342</v>
      </c>
      <c r="G28" s="418">
        <f ca="1">IF(ISBLANK(A28),NA(),IFERROR(A28+(PLAYER_EXP_MAX-D28)/F28,NA()))</f>
        <v>43761.322111244073</v>
      </c>
      <c r="H28" s="317" t="str">
        <f ca="1">IF(ISBLANK(#REF!),NA(),IFERROR(TEXT(TRUNC(G28-NOW()),"000") &amp; " D " &amp; TEXT(TRUNC(ABS(G28-NOW()-TRUNC(G28-NOW()))*24),"00") &amp; " H", NA()))</f>
        <v>046 D 08 H</v>
      </c>
      <c r="I28" s="405" t="e">
        <f ca="1">IF(ISBLANK(A28),NA(),IFERROR(SLOPE(INDIRECT("D" &amp; MATCH(A28-$C$1,A:A,1)):D28, INDIRECT("A" &amp; MATCH(A28-$C$1,A:A,1)):A28),NA()))</f>
        <v>#N/A</v>
      </c>
      <c r="J28" s="418" t="e">
        <f ca="1">IF(ISBLANK(A28),NA(),IFERROR(A28+(PLAYER_EXP_MAX-D28)/I28,NA()))</f>
        <v>#N/A</v>
      </c>
      <c r="K28" s="317" t="e">
        <f t="shared" ca="1" si="1"/>
        <v>#N/A</v>
      </c>
      <c r="L28" s="405">
        <f t="shared" si="2"/>
        <v>78361.274900380231</v>
      </c>
      <c r="M28" s="418">
        <f>IF(ISBLANK(A28),NA(),IFERROR(A28+(PLAYER_EXP_MAX-D28)/L28,NA()))</f>
        <v>43753.088583359458</v>
      </c>
      <c r="N28" s="317" t="str">
        <f t="shared" ca="1" si="3"/>
        <v>038 D 03 H</v>
      </c>
    </row>
    <row r="29" spans="1:14" ht="14.65" customHeight="1" x14ac:dyDescent="0.25">
      <c r="A29" s="31">
        <v>43674.024305555555</v>
      </c>
      <c r="B29" s="395">
        <v>168</v>
      </c>
      <c r="C29" s="395">
        <v>60111</v>
      </c>
      <c r="D29" s="402">
        <f t="shared" si="0"/>
        <v>5212379</v>
      </c>
      <c r="E29" s="399">
        <f>IF(ISBLANK(A29),"-",D29/PLAYER_EXP_MAX)</f>
        <v>0.45592687646583346</v>
      </c>
      <c r="F29" s="405">
        <f ca="1">IF(ISBLANK(A29),NA(),IFERROR(SLOPE(INDIRECT("D" &amp; MATCH(A29-$B$1,A:A,1)):D29, INDIRECT("A" &amp; MATCH(A29-$B$1,A:A,1)):A29),NA()))</f>
        <v>63256.902996178353</v>
      </c>
      <c r="G29" s="418">
        <f ca="1">IF(ISBLANK(A29),NA(),IFERROR(A29+(PLAYER_EXP_MAX-D29)/F29,NA()))</f>
        <v>43772.355233966256</v>
      </c>
      <c r="H29" s="317" t="str">
        <f ca="1">IF(ISBLANK(#REF!),NA(),IFERROR(TEXT(TRUNC(G29-NOW()),"000") &amp; " D " &amp; TEXT(TRUNC(ABS(G29-NOW()-TRUNC(G29-NOW()))*24),"00") &amp; " H", NA()))</f>
        <v>057 D 09 H</v>
      </c>
      <c r="I29" s="405">
        <f ca="1">IF(ISBLANK(A29),NA(),IFERROR(SLOPE(INDIRECT("D" &amp; MATCH(A29-$C$1,A:A,1)):D29, INDIRECT("A" &amp; MATCH(A29-$C$1,A:A,1)):A29),NA()))</f>
        <v>75773.419627475188</v>
      </c>
      <c r="J29" s="418">
        <f ca="1">IF(ISBLANK(A29),NA(),IFERROR(A29+(PLAYER_EXP_MAX-D29)/I29,NA()))</f>
        <v>43756.112589687116</v>
      </c>
      <c r="K29" s="317" t="str">
        <f t="shared" ca="1" si="1"/>
        <v>041 D 03 H</v>
      </c>
      <c r="L29" s="405">
        <f t="shared" si="2"/>
        <v>74908.709929687073</v>
      </c>
      <c r="M29" s="418">
        <f>IF(ISBLANK(A29),NA(),IFERROR(A29+(PLAYER_EXP_MAX-D29)/L29,NA()))</f>
        <v>43757.060176895997</v>
      </c>
      <c r="N29" s="317" t="str">
        <f t="shared" ca="1" si="3"/>
        <v>042 D 02 H</v>
      </c>
    </row>
    <row r="30" spans="1:14" ht="14.65" customHeight="1" x14ac:dyDescent="0.25">
      <c r="A30" s="31">
        <v>43674.384027777778</v>
      </c>
      <c r="B30" s="395">
        <v>169</v>
      </c>
      <c r="C30" s="395">
        <v>135425</v>
      </c>
      <c r="D30" s="402">
        <f t="shared" si="0"/>
        <v>5283065</v>
      </c>
      <c r="E30" s="399">
        <f>IF(ISBLANK(A30),"-",D30/PLAYER_EXP_MAX)</f>
        <v>0.46210978204308789</v>
      </c>
      <c r="F30" s="405">
        <f ca="1">IF(ISBLANK(A30),NA(),IFERROR(SLOPE(INDIRECT("D" &amp; MATCH(A30-$B$1,A:A,1)):D30, INDIRECT("A" &amp; MATCH(A30-$B$1,A:A,1)):A30),NA()))</f>
        <v>85649.150418000805</v>
      </c>
      <c r="G30" s="418">
        <f ca="1">IF(ISBLANK(A30),NA(),IFERROR(A30+(PLAYER_EXP_MAX-D30)/F30,NA()))</f>
        <v>43746.181867802909</v>
      </c>
      <c r="H30" s="317" t="str">
        <f ca="1">IF(ISBLANK(#REF!),NA(),IFERROR(TEXT(TRUNC(G30-NOW()),"000") &amp; " D " &amp; TEXT(TRUNC(ABS(G30-NOW()-TRUNC(G30-NOW()))*24),"00") &amp; " H", NA()))</f>
        <v>031 D 05 H</v>
      </c>
      <c r="I30" s="405">
        <f ca="1">IF(ISBLANK(A30),NA(),IFERROR(SLOPE(INDIRECT("D" &amp; MATCH(A30-$C$1,A:A,1)):D30, INDIRECT("A" &amp; MATCH(A30-$C$1,A:A,1)):A30),NA()))</f>
        <v>76773.454083775578</v>
      </c>
      <c r="J30" s="418">
        <f ca="1">IF(ISBLANK(A30),NA(),IFERROR(A30+(PLAYER_EXP_MAX-D30)/I30,NA()))</f>
        <v>43754.482338755028</v>
      </c>
      <c r="K30" s="317" t="str">
        <f t="shared" ca="1" si="1"/>
        <v>039 D 12 H</v>
      </c>
      <c r="L30" s="405">
        <f t="shared" si="2"/>
        <v>80767.791627950704</v>
      </c>
      <c r="M30" s="418">
        <f>IF(ISBLANK(A30),NA(),IFERROR(A30+(PLAYER_EXP_MAX-D30)/L30,NA()))</f>
        <v>43750.521110098001</v>
      </c>
      <c r="N30" s="317" t="str">
        <f t="shared" ca="1" si="3"/>
        <v>035 D 13 H</v>
      </c>
    </row>
    <row r="31" spans="1:14" ht="14.65" customHeight="1" x14ac:dyDescent="0.25">
      <c r="A31" s="31">
        <v>43674.999305555561</v>
      </c>
      <c r="B31" s="395">
        <v>169</v>
      </c>
      <c r="C31" s="395">
        <v>107468</v>
      </c>
      <c r="D31" s="402">
        <f t="shared" si="0"/>
        <v>5311022</v>
      </c>
      <c r="E31" s="399">
        <f>IF(ISBLANK(A31),"-",D31/PLAYER_EXP_MAX)</f>
        <v>0.46455518129079326</v>
      </c>
      <c r="F31" s="405">
        <f ca="1">IF(ISBLANK(A31),NA(),IFERROR(SLOPE(INDIRECT("D" &amp; MATCH(A31-$B$1,A:A,1)):D31, INDIRECT("A" &amp; MATCH(A31-$B$1,A:A,1)):A31),NA()))</f>
        <v>81493.631896865845</v>
      </c>
      <c r="G31" s="418">
        <f ca="1">IF(ISBLANK(A31),NA(),IFERROR(A31+(PLAYER_EXP_MAX-D31)/F31,NA()))</f>
        <v>43750.115199368549</v>
      </c>
      <c r="H31" s="317" t="str">
        <f ca="1">IF(ISBLANK(#REF!),NA(),IFERROR(TEXT(TRUNC(G31-NOW()),"000") &amp; " D " &amp; TEXT(TRUNC(ABS(G31-NOW()-TRUNC(G31-NOW()))*24),"00") &amp; " H", NA()))</f>
        <v>035 D 03 H</v>
      </c>
      <c r="I31" s="405">
        <f ca="1">IF(ISBLANK(A31),NA(),IFERROR(SLOPE(INDIRECT("D" &amp; MATCH(A31-$C$1,A:A,1)):D31, INDIRECT("A" &amp; MATCH(A31-$C$1,A:A,1)):A31),NA()))</f>
        <v>76787.908598536815</v>
      </c>
      <c r="J31" s="418">
        <f ca="1">IF(ISBLANK(A31),NA(),IFERROR(A31+(PLAYER_EXP_MAX-D31)/I31,NA()))</f>
        <v>43754.71845811126</v>
      </c>
      <c r="K31" s="317" t="str">
        <f t="shared" ca="1" si="1"/>
        <v>039 D 18 H</v>
      </c>
      <c r="L31" s="405">
        <f t="shared" si="2"/>
        <v>78077.676177374291</v>
      </c>
      <c r="M31" s="418">
        <f>IF(ISBLANK(A31),NA(),IFERROR(A31+(PLAYER_EXP_MAX-D31)/L31,NA()))</f>
        <v>43753.401574932708</v>
      </c>
      <c r="N31" s="317" t="str">
        <f t="shared" ca="1" si="3"/>
        <v>038 D 10 H</v>
      </c>
    </row>
    <row r="32" spans="1:14" ht="14.65" customHeight="1" x14ac:dyDescent="0.25">
      <c r="A32" s="31">
        <v>43675.103472222225</v>
      </c>
      <c r="B32" s="395">
        <v>169</v>
      </c>
      <c r="C32" s="395">
        <v>95179</v>
      </c>
      <c r="D32" s="402">
        <f t="shared" si="0"/>
        <v>5323311</v>
      </c>
      <c r="E32" s="399">
        <f>IF(ISBLANK(A32),"-",D32/PLAYER_EXP_MAX)</f>
        <v>0.46563010032198587</v>
      </c>
      <c r="F32" s="405">
        <f ca="1">IF(ISBLANK(A32),NA(),IFERROR(SLOPE(INDIRECT("D" &amp; MATCH(A32-$B$1,A:A,1)):D32, INDIRECT("A" &amp; MATCH(A32-$B$1,A:A,1)):A32),NA()))</f>
        <v>91620.308921285628</v>
      </c>
      <c r="G32" s="418">
        <f ca="1">IF(ISBLANK(A32),NA(),IFERROR(A32+(PLAYER_EXP_MAX-D32)/F32,NA()))</f>
        <v>43741.78277151654</v>
      </c>
      <c r="H32" s="317" t="str">
        <f ca="1">IF(ISBLANK(#REF!),NA(),IFERROR(TEXT(TRUNC(G32-NOW()),"000") &amp; " D " &amp; TEXT(TRUNC(ABS(G32-NOW()-TRUNC(G32-NOW()))*24),"00") &amp; " H", NA()))</f>
        <v>026 D 19 H</v>
      </c>
      <c r="I32" s="405">
        <f ca="1">IF(ISBLANK(A32),NA(),IFERROR(SLOPE(INDIRECT("D" &amp; MATCH(A32-$C$1,A:A,1)):D32, INDIRECT("A" &amp; MATCH(A32-$C$1,A:A,1)):A32),NA()))</f>
        <v>77295.231211640712</v>
      </c>
      <c r="J32" s="418">
        <f ca="1">IF(ISBLANK(A32),NA(),IFERROR(A32+(PLAYER_EXP_MAX-D32)/I32,NA()))</f>
        <v>43754.140405086458</v>
      </c>
      <c r="K32" s="317" t="str">
        <f t="shared" ca="1" si="1"/>
        <v>039 D 04 H</v>
      </c>
      <c r="L32" s="405">
        <f t="shared" si="2"/>
        <v>78585.440352978214</v>
      </c>
      <c r="M32" s="418">
        <f>IF(ISBLANK(A32),NA(),IFERROR(A32+(PLAYER_EXP_MAX-D32)/L32,NA()))</f>
        <v>43752.842783379099</v>
      </c>
      <c r="N32" s="317" t="str">
        <f t="shared" ca="1" si="3"/>
        <v>037 D 21 H</v>
      </c>
    </row>
    <row r="33" spans="1:14" ht="14.65" customHeight="1" x14ac:dyDescent="0.25">
      <c r="A33" s="31">
        <v>43675.160416666666</v>
      </c>
      <c r="B33" s="395">
        <v>169</v>
      </c>
      <c r="C33" s="395">
        <v>89429</v>
      </c>
      <c r="D33" s="402">
        <f t="shared" si="0"/>
        <v>5329061</v>
      </c>
      <c r="E33" s="399">
        <f>IF(ISBLANK(A33),"-",D33/PLAYER_EXP_MAX)</f>
        <v>0.4661330529161235</v>
      </c>
      <c r="F33" s="405">
        <f ca="1">IF(ISBLANK(A33),NA(),IFERROR(SLOPE(INDIRECT("D" &amp; MATCH(A33-$B$1,A:A,1)):D33, INDIRECT("A" &amp; MATCH(A33-$B$1,A:A,1)):A33),NA()))</f>
        <v>90703.410095147672</v>
      </c>
      <c r="G33" s="418">
        <f ca="1">IF(ISBLANK(A33),NA(),IFERROR(A33+(PLAYER_EXP_MAX-D33)/F33,NA()))</f>
        <v>43742.450367436955</v>
      </c>
      <c r="H33" s="317" t="str">
        <f ca="1">IF(ISBLANK(#REF!),NA(),IFERROR(TEXT(TRUNC(G33-NOW()),"000") &amp; " D " &amp; TEXT(TRUNC(ABS(G33-NOW()-TRUNC(G33-NOW()))*24),"00") &amp; " H", NA()))</f>
        <v>027 D 11 H</v>
      </c>
      <c r="I33" s="405">
        <f ca="1">IF(ISBLANK(A33),NA(),IFERROR(SLOPE(INDIRECT("D" &amp; MATCH(A33-$C$1,A:A,1)):D33, INDIRECT("A" &amp; MATCH(A33-$C$1,A:A,1)):A33),NA()))</f>
        <v>79504.604664771658</v>
      </c>
      <c r="J33" s="418">
        <f ca="1">IF(ISBLANK(A33),NA(),IFERROR(A33+(PLAYER_EXP_MAX-D33)/I33,NA()))</f>
        <v>43751.928649471985</v>
      </c>
      <c r="K33" s="317" t="str">
        <f t="shared" ca="1" si="1"/>
        <v>036 D 23 H</v>
      </c>
      <c r="L33" s="405">
        <f t="shared" si="2"/>
        <v>78740.141557179391</v>
      </c>
      <c r="M33" s="418">
        <f>IF(ISBLANK(A33),NA(),IFERROR(A33+(PLAYER_EXP_MAX-D33)/L33,NA()))</f>
        <v>43752.673967941751</v>
      </c>
      <c r="N33" s="317" t="str">
        <f t="shared" ca="1" si="3"/>
        <v>037 D 17 H</v>
      </c>
    </row>
    <row r="34" spans="1:14" ht="14.65" customHeight="1" x14ac:dyDescent="0.25">
      <c r="A34" s="31">
        <v>43675.356250000004</v>
      </c>
      <c r="B34" s="395">
        <v>169</v>
      </c>
      <c r="C34" s="395">
        <v>71804</v>
      </c>
      <c r="D34" s="402">
        <f t="shared" si="0"/>
        <v>5346686</v>
      </c>
      <c r="E34" s="399">
        <f>IF(ISBLANK(A34),"-",D34/PLAYER_EXP_MAX)</f>
        <v>0.46767471195467586</v>
      </c>
      <c r="F34" s="405">
        <f ca="1">IF(ISBLANK(A34),NA(),IFERROR(SLOPE(INDIRECT("D" &amp; MATCH(A34-$B$1,A:A,1)):D34, INDIRECT("A" &amp; MATCH(A34-$B$1,A:A,1)):A34),NA()))</f>
        <v>90124.325614031812</v>
      </c>
      <c r="G34" s="418">
        <f ca="1">IF(ISBLANK(A34),NA(),IFERROR(A34+(PLAYER_EXP_MAX-D34)/F34,NA()))</f>
        <v>43742.883002167488</v>
      </c>
      <c r="H34" s="317" t="str">
        <f ca="1">IF(ISBLANK(#REF!),NA(),IFERROR(TEXT(TRUNC(G34-NOW()),"000") &amp; " D " &amp; TEXT(TRUNC(ABS(G34-NOW()-TRUNC(G34-NOW()))*24),"00") &amp; " H", NA()))</f>
        <v>027 D 22 H</v>
      </c>
      <c r="I34" s="405">
        <f ca="1">IF(ISBLANK(A34),NA(),IFERROR(SLOPE(INDIRECT("D" &amp; MATCH(A34-$C$1,A:A,1)):D34, INDIRECT("A" &amp; MATCH(A34-$C$1,A:A,1)):A34),NA()))</f>
        <v>79601.679759733262</v>
      </c>
      <c r="J34" s="418">
        <f ca="1">IF(ISBLANK(A34),NA(),IFERROR(A34+(PLAYER_EXP_MAX-D34)/I34,NA()))</f>
        <v>43751.809448203472</v>
      </c>
      <c r="K34" s="317" t="str">
        <f t="shared" ca="1" si="1"/>
        <v>036 D 20 H</v>
      </c>
      <c r="L34" s="405">
        <f t="shared" si="2"/>
        <v>79001.481481481474</v>
      </c>
      <c r="M34" s="418">
        <f>IF(ISBLANK(A34),NA(),IFERROR(A34+(PLAYER_EXP_MAX-D34)/L34,NA()))</f>
        <v>43752.390286398761</v>
      </c>
      <c r="N34" s="317" t="str">
        <f t="shared" ca="1" si="3"/>
        <v>037 D 10 H</v>
      </c>
    </row>
    <row r="35" spans="1:14" ht="14.65" customHeight="1" x14ac:dyDescent="0.25">
      <c r="A35" s="31">
        <v>43675.500694444447</v>
      </c>
      <c r="B35" s="395">
        <v>169</v>
      </c>
      <c r="C35" s="395">
        <v>55728</v>
      </c>
      <c r="D35" s="402">
        <f t="shared" si="0"/>
        <v>5362762</v>
      </c>
      <c r="E35" s="399">
        <f>IF(ISBLANK(A35),"-",D35/PLAYER_EXP_MAX)</f>
        <v>0.46908087993786829</v>
      </c>
      <c r="F35" s="405">
        <f ca="1">IF(ISBLANK(A35),NA(),IFERROR(SLOPE(INDIRECT("D" &amp; MATCH(A35-$B$1,A:A,1)):D35, INDIRECT("A" &amp; MATCH(A35-$B$1,A:A,1)):A35),NA()))</f>
        <v>69835.164545997744</v>
      </c>
      <c r="G35" s="418">
        <f ca="1">IF(ISBLANK(A35),NA(),IFERROR(A35+(PLAYER_EXP_MAX-D35)/F35,NA()))</f>
        <v>43762.415747046667</v>
      </c>
      <c r="H35" s="317" t="str">
        <f ca="1">IF(ISBLANK(#REF!),NA(),IFERROR(TEXT(TRUNC(G35-NOW()),"000") &amp; " D " &amp; TEXT(TRUNC(ABS(G35-NOW()-TRUNC(G35-NOW()))*24),"00") &amp; " H", NA()))</f>
        <v>047 D 10 H</v>
      </c>
      <c r="I35" s="405">
        <f ca="1">IF(ISBLANK(A35),NA(),IFERROR(SLOPE(INDIRECT("D" &amp; MATCH(A35-$C$1,A:A,1)):D35, INDIRECT("A" &amp; MATCH(A35-$C$1,A:A,1)):A35),NA()))</f>
        <v>79815.566266745271</v>
      </c>
      <c r="J35" s="418">
        <f ca="1">IF(ISBLANK(A35),NA(),IFERROR(A35+(PLAYER_EXP_MAX-D35)/I35,NA()))</f>
        <v>43751.54760213304</v>
      </c>
      <c r="K35" s="317" t="str">
        <f t="shared" ca="1" si="1"/>
        <v>036 D 14 H</v>
      </c>
      <c r="L35" s="405">
        <f t="shared" si="2"/>
        <v>79545.026703369542</v>
      </c>
      <c r="M35" s="418">
        <f>IF(ISBLANK(A35),NA(),IFERROR(A35+(PLAYER_EXP_MAX-D35)/L35,NA()))</f>
        <v>43751.806244288993</v>
      </c>
      <c r="N35" s="317" t="str">
        <f t="shared" ref="N35:N66" ca="1" si="4">IF(ISBLANK(D35),NA(),IFERROR(TEXT(TRUNC(M35-NOW()),"000") &amp; " D " &amp; TEXT(TRUNC(ABS(M35-NOW()-TRUNC(M35-NOW()))*24),"00") &amp; " H", NA()))</f>
        <v>036 D 20 H</v>
      </c>
    </row>
    <row r="36" spans="1:14" ht="14.65" customHeight="1" x14ac:dyDescent="0.25">
      <c r="A36" s="31">
        <v>43676.070138888892</v>
      </c>
      <c r="B36" s="395">
        <v>169</v>
      </c>
      <c r="C36" s="395">
        <v>32745</v>
      </c>
      <c r="D36" s="403">
        <f t="shared" si="0"/>
        <v>5385745</v>
      </c>
      <c r="E36" s="399">
        <f>IF(ISBLANK(A36),"-",D36/PLAYER_EXP_MAX)</f>
        <v>0.47109120332414051</v>
      </c>
      <c r="F36" s="405">
        <f ca="1">IF(ISBLANK(A36),NA(),IFERROR(SLOPE(INDIRECT("D" &amp; MATCH(A36-$B$1,A:A,1)):D36, INDIRECT("A" &amp; MATCH(A36-$B$1,A:A,1)):A36),NA()))</f>
        <v>69087.770889939682</v>
      </c>
      <c r="G36" s="418">
        <f ca="1">IF(ISBLANK(A36),NA(),IFERROR(A36+(PLAYER_EXP_MAX-D36)/F36,NA()))</f>
        <v>43763.592777441416</v>
      </c>
      <c r="H36" s="317" t="str">
        <f ca="1">IF(ISBLANK(#REF!),NA(),IFERROR(TEXT(TRUNC(G36-NOW()),"000") &amp; " D " &amp; TEXT(TRUNC(ABS(G36-NOW()-TRUNC(G36-NOW()))*24),"00") &amp; " H", NA()))</f>
        <v>048 D 15 H</v>
      </c>
      <c r="I36" s="405">
        <f ca="1">IF(ISBLANK(A36),NA(),IFERROR(SLOPE(INDIRECT("D" &amp; MATCH(A36-$C$1,A:A,1)):D36, INDIRECT("A" &amp; MATCH(A36-$C$1,A:A,1)):A36),NA()))</f>
        <v>80956.523480327771</v>
      </c>
      <c r="J36" s="418">
        <f ca="1">IF(ISBLANK(A36),NA(),IFERROR(A36+(PLAYER_EXP_MAX-D36)/I36,NA()))</f>
        <v>43750.761389699204</v>
      </c>
      <c r="K36" s="317" t="str">
        <f t="shared" ca="1" si="1"/>
        <v>035 D 19 H</v>
      </c>
      <c r="L36" s="405">
        <f t="shared" si="2"/>
        <v>77106.765821835157</v>
      </c>
      <c r="M36" s="418">
        <f>IF(ISBLANK(A36),NA(),IFERROR(A36+(PLAYER_EXP_MAX-D36)/L36,NA()))</f>
        <v>43754.49054643097</v>
      </c>
      <c r="N36" s="317" t="str">
        <f t="shared" ca="1" si="4"/>
        <v>039 D 12 H</v>
      </c>
    </row>
    <row r="37" spans="1:14" ht="14.65" customHeight="1" x14ac:dyDescent="0.25">
      <c r="A37" s="31">
        <v>43676.309027777781</v>
      </c>
      <c r="B37" s="395">
        <v>170</v>
      </c>
      <c r="C37" s="395">
        <v>141726</v>
      </c>
      <c r="D37" s="403">
        <f t="shared" si="0"/>
        <v>5425764</v>
      </c>
      <c r="E37" s="399">
        <f>IF(ISBLANK(A37),"-",D37/PLAYER_EXP_MAX)</f>
        <v>0.47459166590932211</v>
      </c>
      <c r="F37" s="405">
        <f ca="1">IF(ISBLANK(A37),NA(),IFERROR(SLOPE(INDIRECT("D" &amp; MATCH(A37-$B$1,A:A,1)):D37, INDIRECT("A" &amp; MATCH(A37-$B$1,A:A,1)):A37),NA()))</f>
        <v>74712.82566061632</v>
      </c>
      <c r="G37" s="418">
        <f ca="1">IF(ISBLANK(A37),NA(),IFERROR(A37+(PLAYER_EXP_MAX-D37)/F37,NA()))</f>
        <v>43756.706535794488</v>
      </c>
      <c r="H37" s="317" t="str">
        <f ca="1">IF(ISBLANK(#REF!),NA(),IFERROR(TEXT(TRUNC(G37-NOW()),"000") &amp; " D " &amp; TEXT(TRUNC(ABS(G37-NOW()-TRUNC(G37-NOW()))*24),"00") &amp; " H", NA()))</f>
        <v>041 D 17 H</v>
      </c>
      <c r="I37" s="405">
        <f ca="1">IF(ISBLANK(A37),NA(),IFERROR(SLOPE(INDIRECT("D" &amp; MATCH(A37-$C$1,A:A,1)):D37, INDIRECT("A" &amp; MATCH(A37-$C$1,A:A,1)):A37),NA()))</f>
        <v>81029.383894943821</v>
      </c>
      <c r="J37" s="418">
        <f ca="1">IF(ISBLANK(A37),NA(),IFERROR(A37+(PLAYER_EXP_MAX-D37)/I37,NA()))</f>
        <v>43750.439234762787</v>
      </c>
      <c r="K37" s="317" t="str">
        <f t="shared" ca="1" si="1"/>
        <v>035 D 11 H</v>
      </c>
      <c r="L37" s="405">
        <f t="shared" si="2"/>
        <v>79406.916136675747</v>
      </c>
      <c r="M37" s="418">
        <f>IF(ISBLANK(A37),NA(),IFERROR(A37+(PLAYER_EXP_MAX-D37)/L37,NA()))</f>
        <v>43751.95388709534</v>
      </c>
      <c r="N37" s="317" t="str">
        <f t="shared" ca="1" si="4"/>
        <v>036 D 23 H</v>
      </c>
    </row>
    <row r="38" spans="1:14" ht="14.65" customHeight="1" x14ac:dyDescent="0.25">
      <c r="A38" s="31">
        <v>43676.438194444447</v>
      </c>
      <c r="B38" s="395">
        <v>170</v>
      </c>
      <c r="C38" s="395">
        <v>124016</v>
      </c>
      <c r="D38" s="403">
        <f t="shared" si="0"/>
        <v>5443474</v>
      </c>
      <c r="E38" s="399">
        <f>IF(ISBLANK(A38),"-",D38/PLAYER_EXP_MAX)</f>
        <v>0.47614075989926602</v>
      </c>
      <c r="F38" s="405">
        <f ca="1">IF(ISBLANK(A38),NA(),IFERROR(SLOPE(INDIRECT("D" &amp; MATCH(A38-$B$1,A:A,1)):D38, INDIRECT("A" &amp; MATCH(A38-$B$1,A:A,1)):A38),NA()))</f>
        <v>81940.443022045438</v>
      </c>
      <c r="G38" s="418">
        <f ca="1">IF(ISBLANK(A38),NA(),IFERROR(A38+(PLAYER_EXP_MAX-D38)/F38,NA()))</f>
        <v>43749.528048234824</v>
      </c>
      <c r="H38" s="317" t="str">
        <f ca="1">IF(ISBLANK(#REF!),NA(),IFERROR(TEXT(TRUNC(G38-NOW()),"000") &amp; " D " &amp; TEXT(TRUNC(ABS(G38-NOW()-TRUNC(G38-NOW()))*24),"00") &amp; " H", NA()))</f>
        <v>034 D 13 H</v>
      </c>
      <c r="I38" s="405">
        <f ca="1">IF(ISBLANK(A38),NA(),IFERROR(SLOPE(INDIRECT("D" &amp; MATCH(A38-$C$1,A:A,1)):D38, INDIRECT("A" &amp; MATCH(A38-$C$1,A:A,1)):A38),NA()))</f>
        <v>81276.516080436399</v>
      </c>
      <c r="J38" s="418">
        <f ca="1">IF(ISBLANK(A38),NA(),IFERROR(A38+(PLAYER_EXP_MAX-D38)/I38,NA()))</f>
        <v>43750.125100439196</v>
      </c>
      <c r="K38" s="317" t="str">
        <f t="shared" ca="1" si="1"/>
        <v>035 D 03 H</v>
      </c>
      <c r="L38" s="405">
        <f t="shared" si="2"/>
        <v>80189.868689833878</v>
      </c>
      <c r="M38" s="418">
        <f>IF(ISBLANK(A38),NA(),IFERROR(A38+(PLAYER_EXP_MAX-D38)/L38,NA()))</f>
        <v>43751.12362662996</v>
      </c>
      <c r="N38" s="317" t="str">
        <f t="shared" ca="1" si="4"/>
        <v>036 D 03 H</v>
      </c>
    </row>
    <row r="39" spans="1:14" ht="14.65" customHeight="1" x14ac:dyDescent="0.25">
      <c r="A39" s="31">
        <v>43676.506250000006</v>
      </c>
      <c r="B39" s="395">
        <v>170</v>
      </c>
      <c r="C39" s="395">
        <v>115046</v>
      </c>
      <c r="D39" s="403">
        <f t="shared" si="0"/>
        <v>5452444</v>
      </c>
      <c r="E39" s="399">
        <f>IF(ISBLANK(A39),"-",D39/PLAYER_EXP_MAX)</f>
        <v>0.47692536594612073</v>
      </c>
      <c r="F39" s="405">
        <f ca="1">IF(ISBLANK(A39),NA(),IFERROR(SLOPE(INDIRECT("D" &amp; MATCH(A39-$B$1,A:A,1)):D39, INDIRECT("A" &amp; MATCH(A39-$B$1,A:A,1)):A39),NA()))</f>
        <v>89987.465138831234</v>
      </c>
      <c r="G39" s="418">
        <f ca="1">IF(ISBLANK(A39),NA(),IFERROR(A39+(PLAYER_EXP_MAX-D39)/F39,NA()))</f>
        <v>43742.960449935228</v>
      </c>
      <c r="H39" s="317" t="str">
        <f ca="1">IF(ISBLANK(#REF!),NA(),IFERROR(TEXT(TRUNC(G39-NOW()),"000") &amp; " D " &amp; TEXT(TRUNC(ABS(G39-NOW()-TRUNC(G39-NOW()))*24),"00") &amp; " H", NA()))</f>
        <v>027 D 23 H</v>
      </c>
      <c r="I39" s="405">
        <f ca="1">IF(ISBLANK(A39),NA(),IFERROR(SLOPE(INDIRECT("D" &amp; MATCH(A39-$C$1,A:A,1)):D39, INDIRECT("A" &amp; MATCH(A39-$C$1,A:A,1)):A39),NA()))</f>
        <v>81546.527302864357</v>
      </c>
      <c r="J39" s="418">
        <f ca="1">IF(ISBLANK(A39),NA(),IFERROR(A39+(PLAYER_EXP_MAX-D39)/I39,NA()))</f>
        <v>43749.839170453997</v>
      </c>
      <c r="K39" s="317" t="str">
        <f t="shared" ca="1" si="1"/>
        <v>034 D 21 H</v>
      </c>
      <c r="L39" s="405">
        <f t="shared" si="2"/>
        <v>80556.245110809148</v>
      </c>
      <c r="M39" s="418">
        <f>IF(ISBLANK(A39),NA(),IFERROR(A39+(PLAYER_EXP_MAX-D39)/L39,NA()))</f>
        <v>43750.740655933078</v>
      </c>
      <c r="N39" s="317" t="str">
        <f t="shared" ca="1" si="4"/>
        <v>035 D 18 H</v>
      </c>
    </row>
    <row r="40" spans="1:14" ht="14.65" customHeight="1" x14ac:dyDescent="0.25">
      <c r="A40" s="31">
        <v>43676.578472222223</v>
      </c>
      <c r="B40" s="395">
        <v>170</v>
      </c>
      <c r="C40" s="395">
        <v>99568</v>
      </c>
      <c r="D40" s="403">
        <f t="shared" si="0"/>
        <v>5467922</v>
      </c>
      <c r="E40" s="399">
        <f>IF(ISBLANK(A40),"-",D40/PLAYER_EXP_MAX)</f>
        <v>0.4782792268595229</v>
      </c>
      <c r="F40" s="405">
        <f ca="1">IF(ISBLANK(A40),NA(),IFERROR(SLOPE(INDIRECT("D" &amp; MATCH(A40-$B$1,A:A,1)):D40, INDIRECT("A" &amp; MATCH(A40-$B$1,A:A,1)):A40),NA()))</f>
        <v>97125.358004187932</v>
      </c>
      <c r="G40" s="418">
        <f ca="1">IF(ISBLANK(A40),NA(),IFERROR(A40+(PLAYER_EXP_MAX-D40)/F40,NA()))</f>
        <v>43737.989489103551</v>
      </c>
      <c r="H40" s="317" t="str">
        <f ca="1">IF(ISBLANK(#REF!),NA(),IFERROR(TEXT(TRUNC(G40-NOW()),"000") &amp; " D " &amp; TEXT(TRUNC(ABS(G40-NOW()-TRUNC(G40-NOW()))*24),"00") &amp; " H", NA()))</f>
        <v>023 D 00 H</v>
      </c>
      <c r="I40" s="405">
        <f ca="1">IF(ISBLANK(A40),NA(),IFERROR(SLOPE(INDIRECT("D" &amp; MATCH(A40-$C$1,A:A,1)):D40, INDIRECT("A" &amp; MATCH(A40-$C$1,A:A,1)):A40),NA()))</f>
        <v>81963.801334355725</v>
      </c>
      <c r="J40" s="418">
        <f ca="1">IF(ISBLANK(A40),NA(),IFERROR(A40+(PLAYER_EXP_MAX-D40)/I40,NA()))</f>
        <v>43749.34921861146</v>
      </c>
      <c r="K40" s="317" t="str">
        <f t="shared" ca="1" si="1"/>
        <v>034 D 09 H</v>
      </c>
      <c r="L40" s="405">
        <f t="shared" si="2"/>
        <v>81556.27893604456</v>
      </c>
      <c r="M40" s="418">
        <f>IF(ISBLANK(A40),NA(),IFERROR(A40+(PLAYER_EXP_MAX-D40)/L40,NA()))</f>
        <v>43749.712841247048</v>
      </c>
      <c r="N40" s="317" t="str">
        <f t="shared" ca="1" si="4"/>
        <v>034 D 18 H</v>
      </c>
    </row>
    <row r="41" spans="1:14" ht="14.65" customHeight="1" x14ac:dyDescent="0.25">
      <c r="A41" s="31">
        <v>43677.051388888889</v>
      </c>
      <c r="B41" s="395">
        <v>170</v>
      </c>
      <c r="C41" s="395">
        <v>88973</v>
      </c>
      <c r="D41" s="403">
        <f t="shared" si="0"/>
        <v>5478517</v>
      </c>
      <c r="E41" s="399">
        <f>IF(ISBLANK(A41),"-",D41/PLAYER_EXP_MAX)</f>
        <v>0.47920597168298174</v>
      </c>
      <c r="F41" s="405">
        <f ca="1">IF(ISBLANK(A41),NA(),IFERROR(SLOPE(INDIRECT("D" &amp; MATCH(A41-$B$1,A:A,1)):D41, INDIRECT("A" &amp; MATCH(A41-$B$1,A:A,1)):A41),NA()))</f>
        <v>84962.452476631719</v>
      </c>
      <c r="G41" s="418">
        <f ca="1">IF(ISBLANK(A41),NA(),IFERROR(A41+(PLAYER_EXP_MAX-D41)/F41,NA()))</f>
        <v>43747.129074106808</v>
      </c>
      <c r="H41" s="317" t="str">
        <f ca="1">IF(ISBLANK(#REF!),NA(),IFERROR(TEXT(TRUNC(G41-NOW()),"000") &amp; " D " &amp; TEXT(TRUNC(ABS(G41-NOW()-TRUNC(G41-NOW()))*24),"00") &amp; " H", NA()))</f>
        <v>032 D 04 H</v>
      </c>
      <c r="I41" s="405">
        <f ca="1">IF(ISBLANK(A41),NA(),IFERROR(SLOPE(INDIRECT("D" &amp; MATCH(A41-$C$1,A:A,1)):D41, INDIRECT("A" &amp; MATCH(A41-$C$1,A:A,1)):A41),NA()))</f>
        <v>81143.394213795051</v>
      </c>
      <c r="J41" s="418">
        <f ca="1">IF(ISBLANK(A41),NA(),IFERROR(A41+(PLAYER_EXP_MAX-D41)/I41,NA()))</f>
        <v>43750.427318718896</v>
      </c>
      <c r="K41" s="317" t="str">
        <f t="shared" ca="1" si="1"/>
        <v>035 D 11 H</v>
      </c>
      <c r="L41" s="405">
        <f t="shared" si="2"/>
        <v>78795.465698065731</v>
      </c>
      <c r="M41" s="418">
        <f>IF(ISBLANK(A41),NA(),IFERROR(A41+(PLAYER_EXP_MAX-D41)/L41,NA()))</f>
        <v>43752.613757195904</v>
      </c>
      <c r="N41" s="317" t="str">
        <f t="shared" ca="1" si="4"/>
        <v>037 D 15 H</v>
      </c>
    </row>
    <row r="42" spans="1:14" ht="14.65" customHeight="1" x14ac:dyDescent="0.25">
      <c r="A42" s="31">
        <v>43677.199305555558</v>
      </c>
      <c r="B42" s="395">
        <v>170</v>
      </c>
      <c r="C42" s="395">
        <v>70499</v>
      </c>
      <c r="D42" s="403">
        <f t="shared" si="0"/>
        <v>5496991</v>
      </c>
      <c r="E42" s="399">
        <f>IF(ISBLANK(A42),"-",D42/PLAYER_EXP_MAX)</f>
        <v>0.48082189276543369</v>
      </c>
      <c r="F42" s="405">
        <f ca="1">IF(ISBLANK(A42),NA(),IFERROR(SLOPE(INDIRECT("D" &amp; MATCH(A42-$B$1,A:A,1)):D42, INDIRECT("A" &amp; MATCH(A42-$B$1,A:A,1)):A42),NA()))</f>
        <v>85711.854609250615</v>
      </c>
      <c r="G42" s="418">
        <f ca="1">IF(ISBLANK(A42),NA(),IFERROR(A42+(PLAYER_EXP_MAX-D42)/F42,NA()))</f>
        <v>43746.448746336639</v>
      </c>
      <c r="H42" s="317" t="str">
        <f ca="1">IF(ISBLANK(#REF!),NA(),IFERROR(TEXT(TRUNC(G42-NOW()),"000") &amp; " D " &amp; TEXT(TRUNC(ABS(G42-NOW()-TRUNC(G42-NOW()))*24),"00") &amp; " H", NA()))</f>
        <v>031 D 11 H</v>
      </c>
      <c r="I42" s="405">
        <f ca="1">IF(ISBLANK(A42),NA(),IFERROR(SLOPE(INDIRECT("D" &amp; MATCH(A42-$C$1,A:A,1)):D42, INDIRECT("A" &amp; MATCH(A42-$C$1,A:A,1)):A42),NA()))</f>
        <v>79843.501736949824</v>
      </c>
      <c r="J42" s="418">
        <f ca="1">IF(ISBLANK(A42),NA(),IFERROR(A42+(PLAYER_EXP_MAX-D42)/I42,NA()))</f>
        <v>43751.538454902424</v>
      </c>
      <c r="K42" s="317" t="str">
        <f t="shared" ca="1" si="1"/>
        <v>036 D 13 H</v>
      </c>
      <c r="L42" s="405">
        <f t="shared" si="2"/>
        <v>79458.740880860511</v>
      </c>
      <c r="M42" s="418">
        <f>IF(ISBLANK(A42),NA(),IFERROR(A42+(PLAYER_EXP_MAX-D42)/L42,NA()))</f>
        <v>43751.89842530249</v>
      </c>
      <c r="N42" s="317" t="str">
        <f t="shared" ca="1" si="4"/>
        <v>036 D 22 H</v>
      </c>
    </row>
    <row r="43" spans="1:14" ht="14.65" customHeight="1" x14ac:dyDescent="0.25">
      <c r="A43" s="31">
        <v>43677.533333333333</v>
      </c>
      <c r="B43" s="395">
        <v>170</v>
      </c>
      <c r="C43" s="395">
        <v>31279</v>
      </c>
      <c r="D43" s="403">
        <f t="shared" si="0"/>
        <v>5536211</v>
      </c>
      <c r="E43" s="399">
        <f>IF(ISBLANK(A43),"-",D43/PLAYER_EXP_MAX)</f>
        <v>0.4842524668075342</v>
      </c>
      <c r="F43" s="405">
        <f ca="1">IF(ISBLANK(A43),NA(),IFERROR(SLOPE(INDIRECT("D" &amp; MATCH(A43-$B$1,A:A,1)):D43, INDIRECT("A" &amp; MATCH(A43-$B$1,A:A,1)):A43),NA()))</f>
        <v>70926.367068641877</v>
      </c>
      <c r="G43" s="418">
        <f ca="1">IF(ISBLANK(A43),NA(),IFERROR(A43+(PLAYER_EXP_MAX-D43)/F43,NA()))</f>
        <v>43760.665717574775</v>
      </c>
      <c r="H43" s="317" t="str">
        <f ca="1">IF(ISBLANK(#REF!),NA(),IFERROR(TEXT(TRUNC(G43-NOW()),"000") &amp; " D " &amp; TEXT(TRUNC(ABS(G43-NOW()-TRUNC(G43-NOW()))*24),"00") &amp; " H", NA()))</f>
        <v>045 D 16 H</v>
      </c>
      <c r="I43" s="405">
        <f ca="1">IF(ISBLANK(A43),NA(),IFERROR(SLOPE(INDIRECT("D" &amp; MATCH(A43-$C$1,A:A,1)):D43, INDIRECT("A" &amp; MATCH(A43-$C$1,A:A,1)):A43),NA()))</f>
        <v>79426.860292606201</v>
      </c>
      <c r="J43" s="418">
        <f ca="1">IF(ISBLANK(A43),NA(),IFERROR(A43+(PLAYER_EXP_MAX-D43)/I43,NA()))</f>
        <v>43751.768648417907</v>
      </c>
      <c r="K43" s="317" t="str">
        <f t="shared" ca="1" si="1"/>
        <v>036 D 19 H</v>
      </c>
      <c r="L43" s="405">
        <f t="shared" si="2"/>
        <v>80653.189401410753</v>
      </c>
      <c r="M43" s="418">
        <f>IF(ISBLANK(A43),NA(),IFERROR(A43+(PLAYER_EXP_MAX-D43)/L43,NA()))</f>
        <v>43750.639902878327</v>
      </c>
      <c r="N43" s="317" t="str">
        <f t="shared" ca="1" si="4"/>
        <v>035 D 16 H</v>
      </c>
    </row>
    <row r="44" spans="1:14" ht="14.65" customHeight="1" x14ac:dyDescent="0.25">
      <c r="A44" s="31">
        <v>43678.117361111115</v>
      </c>
      <c r="B44" s="395">
        <v>170</v>
      </c>
      <c r="C44" s="395">
        <v>12604</v>
      </c>
      <c r="D44" s="404">
        <f t="shared" si="0"/>
        <v>5554886</v>
      </c>
      <c r="E44" s="399">
        <f>IF(ISBLANK(A44),"-",D44/PLAYER_EXP_MAX)</f>
        <v>0.48588596936327688</v>
      </c>
      <c r="F44" s="405">
        <f ca="1">IF(ISBLANK(A44),NA(),IFERROR(SLOPE(INDIRECT("D" &amp; MATCH(A44-$B$1,A:A,1)):D44, INDIRECT("A" &amp; MATCH(A44-$B$1,A:A,1)):A44),NA()))</f>
        <v>70404.988318368472</v>
      </c>
      <c r="G44" s="418">
        <f ca="1">IF(ISBLANK(A44),NA(),IFERROR(A44+(PLAYER_EXP_MAX-D44)/F44,NA()))</f>
        <v>43761.600124767319</v>
      </c>
      <c r="H44" s="317" t="str">
        <f ca="1">IF(ISBLANK(#REF!),NA(),IFERROR(TEXT(TRUNC(G44-NOW()),"000") &amp; " D " &amp; TEXT(TRUNC(ABS(G44-NOW()-TRUNC(G44-NOW()))*24),"00") &amp; " H", NA()))</f>
        <v>046 D 15 H</v>
      </c>
      <c r="I44" s="405">
        <f ca="1">IF(ISBLANK(A44),NA(),IFERROR(SLOPE(INDIRECT("D" &amp; MATCH(A44-$C$1,A:A,1)):D44, INDIRECT("A" &amp; MATCH(A44-$C$1,A:A,1)):A44),NA()))</f>
        <v>79015.57783268053</v>
      </c>
      <c r="J44" s="418">
        <f ca="1">IF(ISBLANK(A44),NA(),IFERROR(A44+(PLAYER_EXP_MAX-D44)/I44,NA()))</f>
        <v>43752.502731201632</v>
      </c>
      <c r="K44" s="317" t="str">
        <f t="shared" ca="1" si="1"/>
        <v>037 D 13 H</v>
      </c>
      <c r="L44" s="405">
        <f t="shared" si="2"/>
        <v>78114.597544339456</v>
      </c>
      <c r="M44" s="418">
        <f>IF(ISBLANK(A44),NA(),IFERROR(A44+(PLAYER_EXP_MAX-D44)/L44,NA()))</f>
        <v>43753.360698269244</v>
      </c>
      <c r="N44" s="317" t="str">
        <f t="shared" ca="1" si="4"/>
        <v>038 D 09 H</v>
      </c>
    </row>
    <row r="45" spans="1:14" ht="14.65" customHeight="1" x14ac:dyDescent="0.25">
      <c r="A45" s="31">
        <v>43678.161805555559</v>
      </c>
      <c r="B45" s="395">
        <v>170</v>
      </c>
      <c r="C45" s="395">
        <v>7087</v>
      </c>
      <c r="D45" s="404">
        <f t="shared" si="0"/>
        <v>5560403</v>
      </c>
      <c r="E45" s="399">
        <f>IF(ISBLANK(A45),"-",D45/PLAYER_EXP_MAX)</f>
        <v>0.48636854144359992</v>
      </c>
      <c r="F45" s="405">
        <f ca="1">IF(ISBLANK(A45),NA(),IFERROR(SLOPE(INDIRECT("D" &amp; MATCH(A45-$B$1,A:A,1)):D45, INDIRECT("A" &amp; MATCH(A45-$B$1,A:A,1)):A45),NA()))</f>
        <v>68006.935160083711</v>
      </c>
      <c r="G45" s="418">
        <f ca="1">IF(ISBLANK(A45),NA(),IFERROR(A45+(PLAYER_EXP_MAX-D45)/F45,NA()))</f>
        <v>43764.507205273658</v>
      </c>
      <c r="H45" s="317" t="str">
        <f ca="1">IF(ISBLANK(#REF!),NA(),IFERROR(TEXT(TRUNC(G45-NOW()),"000") &amp; " D " &amp; TEXT(TRUNC(ABS(G45-NOW()-TRUNC(G45-NOW()))*24),"00") &amp; " H", NA()))</f>
        <v>049 D 13 H</v>
      </c>
      <c r="I45" s="405">
        <f ca="1">IF(ISBLANK(A45),NA(),IFERROR(SLOPE(INDIRECT("D" &amp; MATCH(A45-$C$1,A:A,1)):D45, INDIRECT("A" &amp; MATCH(A45-$C$1,A:A,1)):A45),NA()))</f>
        <v>77924.016974976839</v>
      </c>
      <c r="J45" s="418">
        <f ca="1">IF(ISBLANK(A45),NA(),IFERROR(A45+(PLAYER_EXP_MAX-D45)/I45,NA()))</f>
        <v>43753.518367344281</v>
      </c>
      <c r="K45" s="317" t="str">
        <f t="shared" ca="1" si="1"/>
        <v>038 D 13 H</v>
      </c>
      <c r="L45" s="405">
        <f t="shared" si="2"/>
        <v>78296.508956151403</v>
      </c>
      <c r="M45" s="418">
        <f>IF(ISBLANK(A45),NA(),IFERROR(A45+(PLAYER_EXP_MAX-D45)/L45,NA()))</f>
        <v>43753.159862024317</v>
      </c>
      <c r="N45" s="317" t="str">
        <f t="shared" ca="1" si="4"/>
        <v>038 D 04 H</v>
      </c>
    </row>
    <row r="46" spans="1:14" ht="14.65" customHeight="1" x14ac:dyDescent="0.25">
      <c r="A46" s="31">
        <v>43678.216666666667</v>
      </c>
      <c r="B46" s="395">
        <v>170</v>
      </c>
      <c r="C46" s="395">
        <v>309</v>
      </c>
      <c r="D46" s="404">
        <f t="shared" si="0"/>
        <v>5567181</v>
      </c>
      <c r="E46" s="399">
        <f>IF(ISBLANK(A46),"-",D46/PLAYER_EXP_MAX)</f>
        <v>0.48696141321456771</v>
      </c>
      <c r="F46" s="405">
        <f ca="1">IF(ISBLANK(A46),NA(),IFERROR(SLOPE(INDIRECT("D" &amp; MATCH(A46-$B$1,A:A,1)):D46, INDIRECT("A" &amp; MATCH(A46-$B$1,A:A,1)):A46),NA()))</f>
        <v>59947.830184462204</v>
      </c>
      <c r="G46" s="418">
        <f ca="1">IF(ISBLANK(A46),NA(),IFERROR(A46+(PLAYER_EXP_MAX-D46)/F46,NA()))</f>
        <v>43776.05687175753</v>
      </c>
      <c r="H46" s="317" t="str">
        <f ca="1">IF(ISBLANK(#REF!),NA(),IFERROR(TEXT(TRUNC(G46-NOW()),"000") &amp; " D " &amp; TEXT(TRUNC(ABS(G46-NOW()-TRUNC(G46-NOW()))*24),"00") &amp; " H", NA()))</f>
        <v>061 D 02 H</v>
      </c>
      <c r="I46" s="405">
        <f ca="1">IF(ISBLANK(A46),NA(),IFERROR(SLOPE(INDIRECT("D" &amp; MATCH(A46-$C$1,A:A,1)):D46, INDIRECT("A" &amp; MATCH(A46-$C$1,A:A,1)):A46),NA()))</f>
        <v>77800.483610403142</v>
      </c>
      <c r="J46" s="418">
        <f ca="1">IF(ISBLANK(A46),NA(),IFERROR(A46+(PLAYER_EXP_MAX-D46)/I46,NA()))</f>
        <v>43753.605761024635</v>
      </c>
      <c r="K46" s="317" t="str">
        <f t="shared" ca="1" si="1"/>
        <v>038 D 15 H</v>
      </c>
      <c r="L46" s="405">
        <f t="shared" si="2"/>
        <v>78516.245620532223</v>
      </c>
      <c r="M46" s="418">
        <f>IF(ISBLANK(A46),NA(),IFERROR(A46+(PLAYER_EXP_MAX-D46)/L46,NA()))</f>
        <v>43752.918506440656</v>
      </c>
      <c r="N46" s="317" t="str">
        <f t="shared" ca="1" si="4"/>
        <v>037 D 22 H</v>
      </c>
    </row>
    <row r="47" spans="1:14" ht="14.65" customHeight="1" x14ac:dyDescent="0.25">
      <c r="A47" s="31">
        <v>43678.29791666667</v>
      </c>
      <c r="B47" s="395">
        <v>171</v>
      </c>
      <c r="C47" s="395">
        <v>143636</v>
      </c>
      <c r="D47" s="404">
        <f t="shared" si="0"/>
        <v>5575854</v>
      </c>
      <c r="E47" s="399">
        <f>IF(ISBLANK(A47),"-",D47/PLAYER_EXP_MAX)</f>
        <v>0.48772004066656</v>
      </c>
      <c r="F47" s="405">
        <f ca="1">IF(ISBLANK(A47),NA(),IFERROR(SLOPE(INDIRECT("D" &amp; MATCH(A47-$B$1,A:A,1)):D47, INDIRECT("A" &amp; MATCH(A47-$B$1,A:A,1)):A47),NA()))</f>
        <v>62067.940781923971</v>
      </c>
      <c r="G47" s="418">
        <f ca="1">IF(ISBLANK(A47),NA(),IFERROR(A47+(PLAYER_EXP_MAX-D47)/F47,NA()))</f>
        <v>43772.656371711557</v>
      </c>
      <c r="H47" s="317" t="str">
        <f ca="1">IF(ISBLANK(#REF!),NA(),IFERROR(TEXT(TRUNC(G47-NOW()),"000") &amp; " D " &amp; TEXT(TRUNC(ABS(G47-NOW()-TRUNC(G47-NOW()))*24),"00") &amp; " H", NA()))</f>
        <v>057 D 16 H</v>
      </c>
      <c r="I47" s="405">
        <f ca="1">IF(ISBLANK(A47),NA(),IFERROR(SLOPE(INDIRECT("D" &amp; MATCH(A47-$C$1,A:A,1)):D47, INDIRECT("A" &amp; MATCH(A47-$C$1,A:A,1)):A47),NA()))</f>
        <v>77367.619050205831</v>
      </c>
      <c r="J47" s="418">
        <f ca="1">IF(ISBLANK(A47),NA(),IFERROR(A47+(PLAYER_EXP_MAX-D47)/I47,NA()))</f>
        <v>43753.996704763013</v>
      </c>
      <c r="K47" s="317" t="str">
        <f t="shared" ca="1" si="1"/>
        <v>039 D 00 H</v>
      </c>
      <c r="L47" s="405">
        <f t="shared" si="2"/>
        <v>78717.803002569868</v>
      </c>
      <c r="M47" s="418">
        <f>IF(ISBLANK(A47),NA(),IFERROR(A47+(PLAYER_EXP_MAX-D47)/L47,NA()))</f>
        <v>43752.698303575446</v>
      </c>
      <c r="N47" s="317" t="str">
        <f t="shared" ca="1" si="4"/>
        <v>037 D 17 H</v>
      </c>
    </row>
    <row r="48" spans="1:14" ht="14.65" customHeight="1" x14ac:dyDescent="0.25">
      <c r="A48" s="31">
        <v>43678.412500000006</v>
      </c>
      <c r="B48" s="395">
        <v>171</v>
      </c>
      <c r="C48" s="395">
        <v>128810</v>
      </c>
      <c r="D48" s="404">
        <f t="shared" si="0"/>
        <v>5590680</v>
      </c>
      <c r="E48" s="399">
        <f>IF(ISBLANK(A48),"-",D48/PLAYER_EXP_MAX)</f>
        <v>0.48901687112928777</v>
      </c>
      <c r="F48" s="405">
        <f ca="1">IF(ISBLANK(A48),NA(),IFERROR(SLOPE(INDIRECT("D" &amp; MATCH(A48-$B$1,A:A,1)):D48, INDIRECT("A" &amp; MATCH(A48-$B$1,A:A,1)):A48),NA()))</f>
        <v>66122.235515662105</v>
      </c>
      <c r="G48" s="418">
        <f ca="1">IF(ISBLANK(A48),NA(),IFERROR(A48+(PLAYER_EXP_MAX-D48)/F48,NA()))</f>
        <v>43766.76113120465</v>
      </c>
      <c r="H48" s="317" t="str">
        <f ca="1">IF(ISBLANK(#REF!),NA(),IFERROR(TEXT(TRUNC(G48-NOW()),"000") &amp; " D " &amp; TEXT(TRUNC(ABS(G48-NOW()-TRUNC(G48-NOW()))*24),"00") &amp; " H", NA()))</f>
        <v>051 D 19 H</v>
      </c>
      <c r="I48" s="405">
        <f ca="1">IF(ISBLANK(A48),NA(),IFERROR(SLOPE(INDIRECT("D" &amp; MATCH(A48-$C$1,A:A,1)):D48, INDIRECT("A" &amp; MATCH(A48-$C$1,A:A,1)):A48),NA()))</f>
        <v>77469.36108593781</v>
      </c>
      <c r="J48" s="418">
        <f ca="1">IF(ISBLANK(A48),NA(),IFERROR(A48+(PLAYER_EXP_MAX-D48)/I48,NA()))</f>
        <v>43753.820492503255</v>
      </c>
      <c r="K48" s="317" t="str">
        <f t="shared" ca="1" si="1"/>
        <v>038 D 20 H</v>
      </c>
      <c r="L48" s="405">
        <f t="shared" si="2"/>
        <v>79222.96900488394</v>
      </c>
      <c r="M48" s="418">
        <f>IF(ISBLANK(A48),NA(),IFERROR(A48+(PLAYER_EXP_MAX-D48)/L48,NA()))</f>
        <v>43752.151329450338</v>
      </c>
      <c r="N48" s="317" t="str">
        <f t="shared" ca="1" si="4"/>
        <v>037 D 04 H</v>
      </c>
    </row>
    <row r="49" spans="1:14" ht="14.65" customHeight="1" x14ac:dyDescent="0.25">
      <c r="A49" s="31">
        <v>43678.514583333337</v>
      </c>
      <c r="B49" s="395">
        <v>171</v>
      </c>
      <c r="C49" s="395">
        <v>114853</v>
      </c>
      <c r="D49" s="404">
        <f t="shared" si="0"/>
        <v>5604637</v>
      </c>
      <c r="E49" s="399">
        <f>IF(ISBLANK(A49),"-",D49/PLAYER_EXP_MAX)</f>
        <v>0.49023769014778845</v>
      </c>
      <c r="F49" s="405">
        <f ca="1">IF(ISBLANK(A49),NA(),IFERROR(SLOPE(INDIRECT("D" &amp; MATCH(A49-$B$1,A:A,1)):D49, INDIRECT("A" &amp; MATCH(A49-$B$1,A:A,1)):A49),NA()))</f>
        <v>71016.977697071343</v>
      </c>
      <c r="G49" s="418">
        <f ca="1">IF(ISBLANK(A49),NA(),IFERROR(A49+(PLAYER_EXP_MAX-D49)/F49,NA()))</f>
        <v>43760.577382807278</v>
      </c>
      <c r="H49" s="317" t="str">
        <f ca="1">IF(ISBLANK(#REF!),NA(),IFERROR(TEXT(TRUNC(G49-NOW()),"000") &amp; " D " &amp; TEXT(TRUNC(ABS(G49-NOW()-TRUNC(G49-NOW()))*24),"00") &amp; " H", NA()))</f>
        <v>045 D 14 H</v>
      </c>
      <c r="I49" s="405">
        <f ca="1">IF(ISBLANK(A49),NA(),IFERROR(SLOPE(INDIRECT("D" &amp; MATCH(A49-$C$1,A:A,1)):D49, INDIRECT("A" &amp; MATCH(A49-$C$1,A:A,1)):A49),NA()))</f>
        <v>77515.745786876359</v>
      </c>
      <c r="J49" s="418">
        <f ca="1">IF(ISBLANK(A49),NA(),IFERROR(A49+(PLAYER_EXP_MAX-D49)/I49,NA()))</f>
        <v>43753.697398654796</v>
      </c>
      <c r="K49" s="317" t="str">
        <f t="shared" ca="1" si="1"/>
        <v>038 D 17 H</v>
      </c>
      <c r="L49" s="405">
        <f t="shared" si="2"/>
        <v>79729.155587498841</v>
      </c>
      <c r="M49" s="418">
        <f>IF(ISBLANK(A49),NA(),IFERROR(A49+(PLAYER_EXP_MAX-D49)/L49,NA()))</f>
        <v>43751.610202583994</v>
      </c>
      <c r="N49" s="317" t="str">
        <f t="shared" ca="1" si="4"/>
        <v>036 D 15 H</v>
      </c>
    </row>
    <row r="50" spans="1:14" ht="14.65" customHeight="1" x14ac:dyDescent="0.25">
      <c r="A50" s="31">
        <v>43678.996527777781</v>
      </c>
      <c r="B50" s="395">
        <v>171</v>
      </c>
      <c r="C50" s="395">
        <v>97173</v>
      </c>
      <c r="D50" s="404">
        <f t="shared" si="0"/>
        <v>5622317</v>
      </c>
      <c r="E50" s="399">
        <f>IF(ISBLANK(A50),"-",D50/PLAYER_EXP_MAX)</f>
        <v>0.49178416003724124</v>
      </c>
      <c r="F50" s="405">
        <f ca="1">IF(ISBLANK(A50),NA(),IFERROR(SLOPE(INDIRECT("D" &amp; MATCH(A50-$B$1,A:A,1)):D50, INDIRECT("A" &amp; MATCH(A50-$B$1,A:A,1)):A50),NA()))</f>
        <v>65127.136359625722</v>
      </c>
      <c r="G50" s="418">
        <f ca="1">IF(ISBLANK(A50),NA(),IFERROR(A50+(PLAYER_EXP_MAX-D50)/F50,NA()))</f>
        <v>43768.209294141663</v>
      </c>
      <c r="H50" s="317" t="str">
        <f ca="1">IF(ISBLANK(#REF!),NA(),IFERROR(TEXT(TRUNC(G50-NOW()),"000") &amp; " D " &amp; TEXT(TRUNC(ABS(G50-NOW()-TRUNC(G50-NOW()))*24),"00") &amp; " H", NA()))</f>
        <v>053 D 05 H</v>
      </c>
      <c r="I50" s="405">
        <f ca="1">IF(ISBLANK(A50),NA(),IFERROR(SLOPE(INDIRECT("D" &amp; MATCH(A50-$C$1,A:A,1)):D50, INDIRECT("A" &amp; MATCH(A50-$C$1,A:A,1)):A50),NA()))</f>
        <v>79240.363356152346</v>
      </c>
      <c r="J50" s="418">
        <f ca="1">IF(ISBLANK(A50),NA(),IFERROR(A50+(PLAYER_EXP_MAX-D50)/I50,NA()))</f>
        <v>43752.319916943547</v>
      </c>
      <c r="K50" s="317" t="str">
        <f t="shared" ca="1" si="1"/>
        <v>037 D 08 H</v>
      </c>
      <c r="L50" s="405">
        <f t="shared" si="2"/>
        <v>78011.536338553764</v>
      </c>
      <c r="M50" s="418">
        <f>IF(ISBLANK(A50),NA(),IFERROR(A50+(PLAYER_EXP_MAX-D50)/L50,NA()))</f>
        <v>43753.474896910069</v>
      </c>
      <c r="N50" s="317" t="str">
        <f t="shared" ca="1" si="4"/>
        <v>038 D 12 H</v>
      </c>
    </row>
    <row r="51" spans="1:14" ht="14.65" customHeight="1" x14ac:dyDescent="0.25">
      <c r="A51" s="31">
        <v>43679.132638888892</v>
      </c>
      <c r="B51" s="395">
        <v>171</v>
      </c>
      <c r="C51" s="395">
        <v>76491</v>
      </c>
      <c r="D51" s="404">
        <f t="shared" si="0"/>
        <v>5642999</v>
      </c>
      <c r="E51" s="399">
        <f>IF(ISBLANK(A51),"-",D51/PLAYER_EXP_MAX)</f>
        <v>0.49359321491584202</v>
      </c>
      <c r="F51" s="405">
        <f ca="1">IF(ISBLANK(A51),NA(),IFERROR(SLOPE(INDIRECT("D" &amp; MATCH(A51-$B$1,A:A,1)):D51, INDIRECT("A" &amp; MATCH(A51-$B$1,A:A,1)):A51),NA()))</f>
        <v>79788.107295130409</v>
      </c>
      <c r="G51" s="418">
        <f ca="1">IF(ISBLANK(A51),NA(),IFERROR(A51+(PLAYER_EXP_MAX-D51)/F51,NA()))</f>
        <v>43751.693452727792</v>
      </c>
      <c r="H51" s="317" t="str">
        <f ca="1">IF(ISBLANK(#REF!),NA(),IFERROR(TEXT(TRUNC(G51-NOW()),"000") &amp; " D " &amp; TEXT(TRUNC(ABS(G51-NOW()-TRUNC(G51-NOW()))*24),"00") &amp; " H", NA()))</f>
        <v>036 D 17 H</v>
      </c>
      <c r="I51" s="405">
        <f ca="1">IF(ISBLANK(A51),NA(),IFERROR(SLOPE(INDIRECT("D" &amp; MATCH(A51-$C$1,A:A,1)):D51, INDIRECT("A" &amp; MATCH(A51-$C$1,A:A,1)):A51),NA()))</f>
        <v>79145.113969218291</v>
      </c>
      <c r="J51" s="418">
        <f ca="1">IF(ISBLANK(A51),NA(),IFERROR(A51+(PLAYER_EXP_MAX-D51)/I51,NA()))</f>
        <v>43752.282953667032</v>
      </c>
      <c r="K51" s="317" t="str">
        <f t="shared" ca="1" si="1"/>
        <v>037 D 07 H</v>
      </c>
      <c r="L51" s="405">
        <f t="shared" si="2"/>
        <v>78835.496929733155</v>
      </c>
      <c r="M51" s="418">
        <f>IF(ISBLANK(A51),NA(),IFERROR(A51+(PLAYER_EXP_MAX-D51)/L51,NA()))</f>
        <v>43752.570242829664</v>
      </c>
      <c r="N51" s="317" t="str">
        <f t="shared" ca="1" si="4"/>
        <v>037 D 14 H</v>
      </c>
    </row>
    <row r="52" spans="1:14" ht="14.65" customHeight="1" x14ac:dyDescent="0.25">
      <c r="A52" s="31">
        <v>43679.166666666672</v>
      </c>
      <c r="B52" s="395">
        <v>171</v>
      </c>
      <c r="C52" s="395">
        <v>69602</v>
      </c>
      <c r="D52" s="404">
        <f t="shared" si="0"/>
        <v>5649888</v>
      </c>
      <c r="E52" s="399">
        <f>IF(ISBLANK(A52),"-",D52/PLAYER_EXP_MAX)</f>
        <v>0.49419579585862711</v>
      </c>
      <c r="F52" s="405">
        <f ca="1">IF(ISBLANK(A52),NA(),IFERROR(SLOPE(INDIRECT("D" &amp; MATCH(A52-$B$1,A:A,1)):D52, INDIRECT("A" &amp; MATCH(A52-$B$1,A:A,1)):A52),NA()))</f>
        <v>79795.365453882216</v>
      </c>
      <c r="G52" s="418">
        <f ca="1">IF(ISBLANK(A52),NA(),IFERROR(A52+(PLAYER_EXP_MAX-D52)/F52,NA()))</f>
        <v>43751.634547064335</v>
      </c>
      <c r="H52" s="317" t="str">
        <f ca="1">IF(ISBLANK(#REF!),NA(),IFERROR(TEXT(TRUNC(G52-NOW()),"000") &amp; " D " &amp; TEXT(TRUNC(ABS(G52-NOW()-TRUNC(G52-NOW()))*24),"00") &amp; " H", NA()))</f>
        <v>036 D 16 H</v>
      </c>
      <c r="I52" s="405">
        <f ca="1">IF(ISBLANK(A52),NA(),IFERROR(SLOPE(INDIRECT("D" &amp; MATCH(A52-$C$1,A:A,1)):D52, INDIRECT("A" &amp; MATCH(A52-$C$1,A:A,1)):A52),NA()))</f>
        <v>79188.38938172521</v>
      </c>
      <c r="J52" s="418">
        <f ca="1">IF(ISBLANK(A52),NA(),IFERROR(A52+(PLAYER_EXP_MAX-D52)/I52,NA()))</f>
        <v>43752.190010684004</v>
      </c>
      <c r="K52" s="317" t="str">
        <f t="shared" ca="1" si="1"/>
        <v>037 D 05 H</v>
      </c>
      <c r="L52" s="405">
        <f t="shared" si="2"/>
        <v>79178.93519305691</v>
      </c>
      <c r="M52" s="418">
        <f>IF(ISBLANK(A52),NA(),IFERROR(A52+(PLAYER_EXP_MAX-D52)/L52,NA()))</f>
        <v>43752.198729877688</v>
      </c>
      <c r="N52" s="317" t="str">
        <f t="shared" ca="1" si="4"/>
        <v>037 D 05 H</v>
      </c>
    </row>
    <row r="53" spans="1:14" ht="14.65" customHeight="1" x14ac:dyDescent="0.25">
      <c r="A53" s="31">
        <v>43679.974305555559</v>
      </c>
      <c r="B53" s="395">
        <v>171</v>
      </c>
      <c r="C53" s="395">
        <v>21494</v>
      </c>
      <c r="D53" s="404">
        <f t="shared" si="0"/>
        <v>5697996</v>
      </c>
      <c r="E53" s="399">
        <f>IF(ISBLANK(A53),"-",D53/PLAYER_EXP_MAX)</f>
        <v>0.49840380340623991</v>
      </c>
      <c r="F53" s="405">
        <f ca="1">IF(ISBLANK(A53),NA(),IFERROR(SLOPE(INDIRECT("D" &amp; MATCH(A53-$B$1,A:A,1)):D53, INDIRECT("A" &amp; MATCH(A53-$B$1,A:A,1)):A53),NA()))</f>
        <v>65917.876480589053</v>
      </c>
      <c r="G53" s="418">
        <f ca="1">IF(ISBLANK(A53),NA(),IFERROR(A53+(PLAYER_EXP_MAX-D53)/F53,NA()))</f>
        <v>43766.968810023383</v>
      </c>
      <c r="H53" s="317" t="str">
        <f ca="1">IF(ISBLANK(#REF!),NA(),IFERROR(TEXT(TRUNC(G53-NOW()),"000") &amp; " D " &amp; TEXT(TRUNC(ABS(G53-NOW()-TRUNC(G53-NOW()))*24),"00") &amp; " H", NA()))</f>
        <v>052 D 00 H</v>
      </c>
      <c r="I53" s="405">
        <f ca="1">IF(ISBLANK(A53),NA(),IFERROR(SLOPE(INDIRECT("D" &amp; MATCH(A53-$C$1,A:A,1)):D53, INDIRECT("A" &amp; MATCH(A53-$C$1,A:A,1)):A53),NA()))</f>
        <v>78729.69606683735</v>
      </c>
      <c r="J53" s="418">
        <f ca="1">IF(ISBLANK(A53),NA(),IFERROR(A53+(PLAYER_EXP_MAX-D53)/I53,NA()))</f>
        <v>43752.812043873913</v>
      </c>
      <c r="K53" s="317" t="str">
        <f t="shared" ca="1" si="1"/>
        <v>037 D 20 H</v>
      </c>
      <c r="L53" s="405">
        <f t="shared" si="2"/>
        <v>77965.659574472913</v>
      </c>
      <c r="M53" s="418">
        <f>IF(ISBLANK(A53),NA(),IFERROR(A53+(PLAYER_EXP_MAX-D53)/L53,NA()))</f>
        <v>43753.525828511927</v>
      </c>
      <c r="N53" s="317" t="str">
        <f t="shared" ca="1" si="4"/>
        <v>038 D 13 H</v>
      </c>
    </row>
    <row r="54" spans="1:14" ht="14.65" customHeight="1" x14ac:dyDescent="0.25">
      <c r="A54" s="31">
        <v>43680.202777777777</v>
      </c>
      <c r="B54" s="395">
        <v>172</v>
      </c>
      <c r="C54" s="395">
        <v>144260</v>
      </c>
      <c r="D54" s="404">
        <f t="shared" si="0"/>
        <v>5730230</v>
      </c>
      <c r="E54" s="399">
        <f>IF(ISBLANK(A54),"-",D54/PLAYER_EXP_MAX)</f>
        <v>0.5012233119139673</v>
      </c>
      <c r="F54" s="405">
        <f ca="1">IF(ISBLANK(A54),NA(),IFERROR(SLOPE(INDIRECT("D" &amp; MATCH(A54-$B$1,A:A,1)):D54, INDIRECT("A" &amp; MATCH(A54-$B$1,A:A,1)):A54),NA()))</f>
        <v>72812.846265175205</v>
      </c>
      <c r="G54" s="418">
        <f ca="1">IF(ISBLANK(A54),NA(),IFERROR(A54+(PLAYER_EXP_MAX-D54)/F54,NA()))</f>
        <v>43758.516692045501</v>
      </c>
      <c r="H54" s="317" t="str">
        <f ca="1">IF(ISBLANK(#REF!),NA(),IFERROR(TEXT(TRUNC(G54-NOW()),"000") &amp; " D " &amp; TEXT(TRUNC(ABS(G54-NOW()-TRUNC(G54-NOW()))*24),"00") &amp; " H", NA()))</f>
        <v>043 D 13 H</v>
      </c>
      <c r="I54" s="405">
        <f ca="1">IF(ISBLANK(A54),NA(),IFERROR(SLOPE(INDIRECT("D" &amp; MATCH(A54-$C$1,A:A,1)):D54, INDIRECT("A" &amp; MATCH(A54-$C$1,A:A,1)):A54),NA()))</f>
        <v>79097.265841461223</v>
      </c>
      <c r="J54" s="418">
        <f ca="1">IF(ISBLANK(A54),NA(),IFERROR(A54+(PLAYER_EXP_MAX-D54)/I54,NA()))</f>
        <v>43752.294511156135</v>
      </c>
      <c r="K54" s="317" t="str">
        <f t="shared" ca="1" si="1"/>
        <v>037 D 08 H</v>
      </c>
      <c r="L54" s="405">
        <f t="shared" si="2"/>
        <v>79051.249934686901</v>
      </c>
      <c r="M54" s="418">
        <f>IF(ISBLANK(A54),NA(),IFERROR(A54+(PLAYER_EXP_MAX-D54)/L54,NA()))</f>
        <v>43752.336475912991</v>
      </c>
      <c r="N54" s="317" t="str">
        <f t="shared" ca="1" si="4"/>
        <v>037 D 09 H</v>
      </c>
    </row>
    <row r="55" spans="1:14" ht="14.65" customHeight="1" x14ac:dyDescent="0.25">
      <c r="A55" s="31">
        <v>43680.578472222223</v>
      </c>
      <c r="B55" s="395">
        <v>172</v>
      </c>
      <c r="C55" s="395">
        <v>86973</v>
      </c>
      <c r="D55" s="404">
        <f t="shared" si="0"/>
        <v>5787517</v>
      </c>
      <c r="E55" s="399">
        <f>IF(ISBLANK(A55),"-",D55/PLAYER_EXP_MAX)</f>
        <v>0.50623420674185649</v>
      </c>
      <c r="F55" s="405">
        <f ca="1">IF(ISBLANK(A55),NA(),IFERROR(SLOPE(INDIRECT("D" &amp; MATCH(A55-$B$1,A:A,1)):D55, INDIRECT("A" &amp; MATCH(A55-$B$1,A:A,1)):A55),NA()))</f>
        <v>93369.423853448243</v>
      </c>
      <c r="G55" s="418">
        <f ca="1">IF(ISBLANK(A55),NA(),IFERROR(A55+(PLAYER_EXP_MAX-D55)/F55,NA()))</f>
        <v>43741.036936749755</v>
      </c>
      <c r="H55" s="317" t="str">
        <f ca="1">IF(ISBLANK(#REF!),NA(),IFERROR(TEXT(TRUNC(G55-NOW()),"000") &amp; " D " &amp; TEXT(TRUNC(ABS(G55-NOW()-TRUNC(G55-NOW()))*24),"00") &amp; " H", NA()))</f>
        <v>026 D 01 H</v>
      </c>
      <c r="I55" s="405">
        <f ca="1">IF(ISBLANK(A55),NA(),IFERROR(SLOPE(INDIRECT("D" &amp; MATCH(A55-$C$1,A:A,1)):D55, INDIRECT("A" &amp; MATCH(A55-$C$1,A:A,1)):A55),NA()))</f>
        <v>80047.06044880487</v>
      </c>
      <c r="J55" s="418">
        <f ca="1">IF(ISBLANK(A55),NA(),IFERROR(A55+(PLAYER_EXP_MAX-D55)/I55,NA()))</f>
        <v>43751.099138044927</v>
      </c>
      <c r="K55" s="317" t="str">
        <f t="shared" ca="1" si="1"/>
        <v>036 D 03 H</v>
      </c>
      <c r="L55" s="405">
        <f t="shared" si="2"/>
        <v>81070.901881056299</v>
      </c>
      <c r="M55" s="418">
        <f>IF(ISBLANK(A55),NA(),IFERROR(A55+(PLAYER_EXP_MAX-D55)/L55,NA()))</f>
        <v>43750.208535155063</v>
      </c>
      <c r="N55" s="317" t="str">
        <f t="shared" ca="1" si="4"/>
        <v>035 D 05 H</v>
      </c>
    </row>
    <row r="56" spans="1:14" ht="14.65" customHeight="1" x14ac:dyDescent="0.25">
      <c r="A56" s="31">
        <v>43680.97152777778</v>
      </c>
      <c r="B56" s="395">
        <v>172</v>
      </c>
      <c r="C56" s="395">
        <v>67052</v>
      </c>
      <c r="D56" s="404">
        <f t="shared" si="0"/>
        <v>5807438</v>
      </c>
      <c r="E56" s="399">
        <f>IF(ISBLANK(A56),"-",D56/PLAYER_EXP_MAX)</f>
        <v>0.50797669693799841</v>
      </c>
      <c r="F56" s="405">
        <f ca="1">IF(ISBLANK(A56),NA(),IFERROR(SLOPE(INDIRECT("D" &amp; MATCH(A56-$B$1,A:A,1)):D56, INDIRECT("A" &amp; MATCH(A56-$B$1,A:A,1)):A56),NA()))</f>
        <v>92729.950879565149</v>
      </c>
      <c r="G56" s="418">
        <f ca="1">IF(ISBLANK(A56),NA(),IFERROR(A56+(PLAYER_EXP_MAX-D56)/F56,NA()))</f>
        <v>43741.632090483195</v>
      </c>
      <c r="H56" s="317" t="str">
        <f ca="1">IF(ISBLANK(#REF!),NA(),IFERROR(TEXT(TRUNC(G56-NOW()),"000") &amp; " D " &amp; TEXT(TRUNC(ABS(G56-NOW()-TRUNC(G56-NOW()))*24),"00") &amp; " H", NA()))</f>
        <v>026 D 16 H</v>
      </c>
      <c r="I56" s="405">
        <f ca="1">IF(ISBLANK(A56),NA(),IFERROR(SLOPE(INDIRECT("D" &amp; MATCH(A56-$C$1,A:A,1)):D56, INDIRECT("A" &amp; MATCH(A56-$C$1,A:A,1)):A56),NA()))</f>
        <v>80442.15442900882</v>
      </c>
      <c r="J56" s="418">
        <f ca="1">IF(ISBLANK(A56),NA(),IFERROR(A56+(PLAYER_EXP_MAX-D56)/I56,NA()))</f>
        <v>43750.898185510006</v>
      </c>
      <c r="K56" s="317" t="str">
        <f t="shared" ca="1" si="1"/>
        <v>035 D 22 H</v>
      </c>
      <c r="L56" s="405">
        <f t="shared" si="2"/>
        <v>80220.936944074856</v>
      </c>
      <c r="M56" s="418">
        <f>IF(ISBLANK(A56),NA(),IFERROR(A56+(PLAYER_EXP_MAX-D56)/L56,NA()))</f>
        <v>43751.09101546117</v>
      </c>
      <c r="N56" s="317" t="str">
        <f t="shared" ca="1" si="4"/>
        <v>036 D 03 H</v>
      </c>
    </row>
    <row r="57" spans="1:14" ht="14.65" customHeight="1" x14ac:dyDescent="0.25">
      <c r="A57" s="31">
        <v>43681.293055555558</v>
      </c>
      <c r="B57" s="395">
        <v>172</v>
      </c>
      <c r="C57" s="395">
        <v>29428</v>
      </c>
      <c r="D57" s="404">
        <f t="shared" si="0"/>
        <v>5845062</v>
      </c>
      <c r="E57" s="399">
        <f>IF(ISBLANK(A57),"-",D57/PLAYER_EXP_MAX)</f>
        <v>0.51126766883396957</v>
      </c>
      <c r="F57" s="405">
        <f ca="1">IF(ISBLANK(A57),NA(),IFERROR(SLOPE(INDIRECT("D" &amp; MATCH(A57-$B$1,A:A,1)):D57, INDIRECT("A" &amp; MATCH(A57-$B$1,A:A,1)):A57),NA()))</f>
        <v>99326.855135016987</v>
      </c>
      <c r="G57" s="418">
        <f ca="1">IF(ISBLANK(A57),NA(),IFERROR(A57+(PLAYER_EXP_MAX-D57)/F57,NA()))</f>
        <v>43737.545989290396</v>
      </c>
      <c r="H57" s="317" t="str">
        <f ca="1">IF(ISBLANK(#REF!),NA(),IFERROR(TEXT(TRUNC(G57-NOW()),"000") &amp; " D " &amp; TEXT(TRUNC(ABS(G57-NOW()-TRUNC(G57-NOW()))*24),"00") &amp; " H", NA()))</f>
        <v>022 D 14 H</v>
      </c>
      <c r="I57" s="405">
        <f ca="1">IF(ISBLANK(A57),NA(),IFERROR(SLOPE(INDIRECT("D" &amp; MATCH(A57-$C$1,A:A,1)):D57, INDIRECT("A" &amp; MATCH(A57-$C$1,A:A,1)):A57),NA()))</f>
        <v>81195.362912725774</v>
      </c>
      <c r="J57" s="418">
        <f ca="1">IF(ISBLANK(A57),NA(),IFERROR(A57+(PLAYER_EXP_MAX-D57)/I57,NA()))</f>
        <v>43750.107662690272</v>
      </c>
      <c r="K57" s="317" t="str">
        <f t="shared" ca="1" si="1"/>
        <v>035 D 03 H</v>
      </c>
      <c r="L57" s="405">
        <f t="shared" si="2"/>
        <v>81043.984733574776</v>
      </c>
      <c r="M57" s="418">
        <f>IF(ISBLANK(A57),NA(),IFERROR(A57+(PLAYER_EXP_MAX-D57)/L57,NA()))</f>
        <v>43750.23619820048</v>
      </c>
      <c r="N57" s="317" t="str">
        <f t="shared" ca="1" si="4"/>
        <v>035 D 06 H</v>
      </c>
    </row>
    <row r="58" spans="1:14" ht="14.65" customHeight="1" x14ac:dyDescent="0.25">
      <c r="A58" s="31">
        <v>43681.466666666667</v>
      </c>
      <c r="B58" s="395">
        <v>173</v>
      </c>
      <c r="C58" s="395">
        <v>151875</v>
      </c>
      <c r="D58" s="404">
        <f t="shared" si="0"/>
        <v>5880615</v>
      </c>
      <c r="E58" s="399">
        <f>IF(ISBLANK(A58),"-",D58/PLAYER_EXP_MAX)</f>
        <v>0.51437749032603486</v>
      </c>
      <c r="F58" s="405">
        <f ca="1">IF(ISBLANK(A58),NA(),IFERROR(SLOPE(INDIRECT("D" &amp; MATCH(A58-$B$1,A:A,1)):D58, INDIRECT("A" &amp; MATCH(A58-$B$1,A:A,1)):A58),NA()))</f>
        <v>108819.60038937855</v>
      </c>
      <c r="G58" s="418">
        <f ca="1">IF(ISBLANK(A58),NA(),IFERROR(A58+(PLAYER_EXP_MAX-D58)/F58,NA()))</f>
        <v>43732.485729226486</v>
      </c>
      <c r="H58" s="317" t="str">
        <f ca="1">IF(ISBLANK(#REF!),NA(),IFERROR(TEXT(TRUNC(G58-NOW()),"000") &amp; " D " &amp; TEXT(TRUNC(ABS(G58-NOW()-TRUNC(G58-NOW()))*24),"00") &amp; " H", NA()))</f>
        <v>017 D 12 H</v>
      </c>
      <c r="I58" s="405">
        <f ca="1">IF(ISBLANK(A58),NA(),IFERROR(SLOPE(INDIRECT("D" &amp; MATCH(A58-$C$1,A:A,1)):D58, INDIRECT("A" &amp; MATCH(A58-$C$1,A:A,1)):A58),NA()))</f>
        <v>81700.211699478838</v>
      </c>
      <c r="J58" s="418">
        <f ca="1">IF(ISBLANK(A58),NA(),IFERROR(A58+(PLAYER_EXP_MAX-D58)/I58,NA()))</f>
        <v>43749.420884709842</v>
      </c>
      <c r="K58" s="317" t="str">
        <f t="shared" ca="1" si="1"/>
        <v>034 D 11 H</v>
      </c>
      <c r="L58" s="405">
        <f t="shared" si="2"/>
        <v>82520.681655470966</v>
      </c>
      <c r="M58" s="418">
        <f>IF(ISBLANK(A58),NA(),IFERROR(A58+(PLAYER_EXP_MAX-D58)/L58,NA()))</f>
        <v>43748.745243244346</v>
      </c>
      <c r="N58" s="317" t="str">
        <f t="shared" ca="1" si="4"/>
        <v>033 D 18 H</v>
      </c>
    </row>
    <row r="59" spans="1:14" ht="14.65" customHeight="1" x14ac:dyDescent="0.25">
      <c r="A59" s="31">
        <v>43681.725000000006</v>
      </c>
      <c r="B59" s="395">
        <v>173</v>
      </c>
      <c r="C59" s="395">
        <v>116505</v>
      </c>
      <c r="D59" s="404">
        <f t="shared" si="0"/>
        <v>5915985</v>
      </c>
      <c r="E59" s="399">
        <f>IF(ISBLANK(A59),"-",D59/PLAYER_EXP_MAX)</f>
        <v>0.51747130480510417</v>
      </c>
      <c r="F59" s="405">
        <f ca="1">IF(ISBLANK(A59),NA(),IFERROR(SLOPE(INDIRECT("D" &amp; MATCH(A59-$B$1,A:A,1)):D59, INDIRECT("A" &amp; MATCH(A59-$B$1,A:A,1)):A59),NA()))</f>
        <v>114658.39328068083</v>
      </c>
      <c r="G59" s="418">
        <f ca="1">IF(ISBLANK(A59),NA(),IFERROR(A59+(PLAYER_EXP_MAX-D59)/F59,NA()))</f>
        <v>43729.837517907836</v>
      </c>
      <c r="H59" s="317" t="str">
        <f ca="1">IF(ISBLANK(#REF!),NA(),IFERROR(TEXT(TRUNC(G59-NOW()),"000") &amp; " D " &amp; TEXT(TRUNC(ABS(G59-NOW()-TRUNC(G59-NOW()))*24),"00") &amp; " H", NA()))</f>
        <v>014 D 21 H</v>
      </c>
      <c r="I59" s="405">
        <f ca="1">IF(ISBLANK(A59),NA(),IFERROR(SLOPE(INDIRECT("D" &amp; MATCH(A59-$C$1,A:A,1)):D59, INDIRECT("A" &amp; MATCH(A59-$C$1,A:A,1)):A59),NA()))</f>
        <v>83158.009337357318</v>
      </c>
      <c r="J59" s="418">
        <f ca="1">IF(ISBLANK(A59),NA(),IFERROR(A59+(PLAYER_EXP_MAX-D59)/I59,NA()))</f>
        <v>43748.062614908755</v>
      </c>
      <c r="K59" s="317" t="str">
        <f t="shared" ca="1" si="1"/>
        <v>033 D 02 H</v>
      </c>
      <c r="L59" s="405">
        <f t="shared" si="2"/>
        <v>83469.750949759633</v>
      </c>
      <c r="M59" s="418">
        <f>IF(ISBLANK(A59),NA(),IFERROR(A59+(PLAYER_EXP_MAX-D59)/L59,NA()))</f>
        <v>43747.81485814898</v>
      </c>
      <c r="N59" s="317" t="str">
        <f t="shared" ca="1" si="4"/>
        <v>032 D 20 H</v>
      </c>
    </row>
    <row r="60" spans="1:14" ht="14.65" customHeight="1" x14ac:dyDescent="0.25">
      <c r="A60" s="31">
        <v>43681.9</v>
      </c>
      <c r="B60" s="395">
        <v>173</v>
      </c>
      <c r="C60" s="395">
        <v>99053</v>
      </c>
      <c r="D60" s="404">
        <f t="shared" si="0"/>
        <v>5933437</v>
      </c>
      <c r="E60" s="399">
        <f>IF(ISBLANK(A60),"-",D60/PLAYER_EXP_MAX)</f>
        <v>0.51899783153082413</v>
      </c>
      <c r="F60" s="405">
        <f ca="1">IF(ISBLANK(A60),NA(),IFERROR(SLOPE(INDIRECT("D" &amp; MATCH(A60-$B$1,A:A,1)):D60, INDIRECT("A" &amp; MATCH(A60-$B$1,A:A,1)):A60),NA()))</f>
        <v>117874.75349889205</v>
      </c>
      <c r="G60" s="418">
        <f ca="1">IF(ISBLANK(A60),NA(),IFERROR(A60+(PLAYER_EXP_MAX-D60)/F60,NA()))</f>
        <v>43728.551652171234</v>
      </c>
      <c r="H60" s="317" t="str">
        <f ca="1">IF(ISBLANK(#REF!),NA(),IFERROR(TEXT(TRUNC(G60-NOW()),"000") &amp; " D " &amp; TEXT(TRUNC(ABS(G60-NOW()-TRUNC(G60-NOW()))*24),"00") &amp; " H", NA()))</f>
        <v>013 D 14 H</v>
      </c>
      <c r="I60" s="405">
        <f ca="1">IF(ISBLANK(A60),NA(),IFERROR(SLOPE(INDIRECT("D" &amp; MATCH(A60-$C$1,A:A,1)):D60, INDIRECT("A" &amp; MATCH(A60-$C$1,A:A,1)):A60),NA()))</f>
        <v>84365.727775386913</v>
      </c>
      <c r="J60" s="418">
        <f ca="1">IF(ISBLANK(A60),NA(),IFERROR(A60+(PLAYER_EXP_MAX-D60)/I60,NA()))</f>
        <v>43747.081112579748</v>
      </c>
      <c r="K60" s="317" t="str">
        <f t="shared" ca="1" si="1"/>
        <v>032 D 02 H</v>
      </c>
      <c r="L60" s="405">
        <f t="shared" si="2"/>
        <v>83659.641218205652</v>
      </c>
      <c r="M60" s="418">
        <f>IF(ISBLANK(A60),NA(),IFERROR(A60+(PLAYER_EXP_MAX-D60)/L60,NA()))</f>
        <v>43747.631240535171</v>
      </c>
      <c r="N60" s="317" t="str">
        <f t="shared" ca="1" si="4"/>
        <v>032 D 16 H</v>
      </c>
    </row>
    <row r="61" spans="1:14" ht="14.65" customHeight="1" x14ac:dyDescent="0.25">
      <c r="A61" s="31">
        <v>43682.024305555555</v>
      </c>
      <c r="B61" s="395">
        <v>173</v>
      </c>
      <c r="C61" s="395">
        <v>80278</v>
      </c>
      <c r="D61" s="404">
        <f t="shared" si="0"/>
        <v>5952212</v>
      </c>
      <c r="E61" s="399">
        <f>IF(ISBLANK(A61),"-",D61/PLAYER_EXP_MAX)</f>
        <v>0.52064008108820403</v>
      </c>
      <c r="F61" s="405">
        <f ca="1">IF(ISBLANK(A61),NA(),IFERROR(SLOPE(INDIRECT("D" &amp; MATCH(A61-$B$1,A:A,1)):D61, INDIRECT("A" &amp; MATCH(A61-$B$1,A:A,1)):A61),NA()))</f>
        <v>139454.76436366205</v>
      </c>
      <c r="G61" s="418">
        <f ca="1">IF(ISBLANK(A61),NA(),IFERROR(A61+(PLAYER_EXP_MAX-D61)/F61,NA()))</f>
        <v>43721.322188456914</v>
      </c>
      <c r="H61" s="317" t="str">
        <f ca="1">IF(ISBLANK(#REF!),NA(),IFERROR(TEXT(TRUNC(G61-NOW()),"000") &amp; " D " &amp; TEXT(TRUNC(ABS(G61-NOW()-TRUNC(G61-NOW()))*24),"00") &amp; " H", NA()))</f>
        <v>006 D 08 H</v>
      </c>
      <c r="I61" s="405">
        <f ca="1">IF(ISBLANK(A61),NA(),IFERROR(SLOPE(INDIRECT("D" &amp; MATCH(A61-$C$1,A:A,1)):D61, INDIRECT("A" &amp; MATCH(A61-$C$1,A:A,1)):A61),NA()))</f>
        <v>86209.767658505516</v>
      </c>
      <c r="J61" s="418">
        <f ca="1">IF(ISBLANK(A61),NA(),IFERROR(A61+(PLAYER_EXP_MAX-D61)/I61,NA()))</f>
        <v>43745.593401597071</v>
      </c>
      <c r="K61" s="317" t="str">
        <f t="shared" ca="1" si="1"/>
        <v>030 D 15 H</v>
      </c>
      <c r="L61" s="405">
        <f t="shared" si="2"/>
        <v>84214.115483662536</v>
      </c>
      <c r="M61" s="418">
        <f>IF(ISBLANK(A61),NA(),IFERROR(A61+(PLAYER_EXP_MAX-D61)/L61,NA()))</f>
        <v>43747.09982132302</v>
      </c>
      <c r="N61" s="317" t="str">
        <f t="shared" ca="1" si="4"/>
        <v>032 D 03 H</v>
      </c>
    </row>
    <row r="62" spans="1:14" ht="14.65" customHeight="1" x14ac:dyDescent="0.25">
      <c r="A62" s="31">
        <v>43682.135416666672</v>
      </c>
      <c r="B62" s="395">
        <v>173</v>
      </c>
      <c r="C62" s="395">
        <v>62703</v>
      </c>
      <c r="D62" s="404">
        <f t="shared" si="0"/>
        <v>5969787</v>
      </c>
      <c r="E62" s="399">
        <f>IF(ISBLANK(A62),"-",D62/PLAYER_EXP_MAX)</f>
        <v>0.52217736662593772</v>
      </c>
      <c r="F62" s="405">
        <f ca="1">IF(ISBLANK(A62),NA(),IFERROR(SLOPE(INDIRECT("D" &amp; MATCH(A62-$B$1,A:A,1)):D62, INDIRECT("A" &amp; MATCH(A62-$B$1,A:A,1)):A62),NA()))</f>
        <v>139866.92006742011</v>
      </c>
      <c r="G62" s="418">
        <f ca="1">IF(ISBLANK(A62),NA(),IFERROR(A62+(PLAYER_EXP_MAX-D62)/F62,NA()))</f>
        <v>43721.191842570428</v>
      </c>
      <c r="H62" s="317" t="str">
        <f ca="1">IF(ISBLANK(#REF!),NA(),IFERROR(TEXT(TRUNC(G62-NOW()),"000") &amp; " D " &amp; TEXT(TRUNC(ABS(G62-NOW()-TRUNC(G62-NOW()))*24),"00") &amp; " H", NA()))</f>
        <v>006 D 05 H</v>
      </c>
      <c r="I62" s="405">
        <f ca="1">IF(ISBLANK(A62),NA(),IFERROR(SLOPE(INDIRECT("D" &amp; MATCH(A62-$C$1,A:A,1)):D62, INDIRECT("A" &amp; MATCH(A62-$C$1,A:A,1)):A62),NA()))</f>
        <v>87495.80732107356</v>
      </c>
      <c r="J62" s="418">
        <f ca="1">IF(ISBLANK(A62),NA(),IFERROR(A62+(PLAYER_EXP_MAX-D62)/I62,NA()))</f>
        <v>43744.5692882687</v>
      </c>
      <c r="K62" s="317" t="str">
        <f t="shared" ca="1" si="1"/>
        <v>029 D 14 H</v>
      </c>
      <c r="L62" s="405">
        <f t="shared" si="2"/>
        <v>84754.1730558571</v>
      </c>
      <c r="M62" s="418">
        <f>IF(ISBLANK(A62),NA(),IFERROR(A62+(PLAYER_EXP_MAX-D62)/L62,NA()))</f>
        <v>43746.588903769894</v>
      </c>
      <c r="N62" s="317" t="str">
        <f t="shared" ca="1" si="4"/>
        <v>031 D 15 H</v>
      </c>
    </row>
    <row r="63" spans="1:14" ht="14.65" customHeight="1" x14ac:dyDescent="0.25">
      <c r="A63" s="31">
        <v>43682.183333333334</v>
      </c>
      <c r="B63" s="395">
        <v>173</v>
      </c>
      <c r="C63" s="395">
        <v>54185</v>
      </c>
      <c r="D63" s="404">
        <f t="shared" si="0"/>
        <v>5978305</v>
      </c>
      <c r="E63" s="399">
        <f>IF(ISBLANK(A63),"-",D63/PLAYER_EXP_MAX)</f>
        <v>0.52292243622539236</v>
      </c>
      <c r="F63" s="405">
        <f ca="1">IF(ISBLANK(A63),NA(),IFERROR(SLOPE(INDIRECT("D" &amp; MATCH(A63-$B$1,A:A,1)):D63, INDIRECT("A" &amp; MATCH(A63-$B$1,A:A,1)):A63),NA()))</f>
        <v>140717.47913582891</v>
      </c>
      <c r="G63" s="418">
        <f ca="1">IF(ISBLANK(A63),NA(),IFERROR(A63+(PLAYER_EXP_MAX-D63)/F63,NA()))</f>
        <v>43720.943152180967</v>
      </c>
      <c r="H63" s="317" t="str">
        <f ca="1">IF(ISBLANK(#REF!),NA(),IFERROR(TEXT(TRUNC(G63-NOW()),"000") &amp; " D " &amp; TEXT(TRUNC(ABS(G63-NOW()-TRUNC(G63-NOW()))*24),"00") &amp; " H", NA()))</f>
        <v>005 D 23 H</v>
      </c>
      <c r="I63" s="405">
        <f ca="1">IF(ISBLANK(A63),NA(),IFERROR(SLOPE(INDIRECT("D" &amp; MATCH(A63-$C$1,A:A,1)):D63, INDIRECT("A" &amp; MATCH(A63-$C$1,A:A,1)):A63),NA()))</f>
        <v>88839.597945768022</v>
      </c>
      <c r="J63" s="418">
        <f ca="1">IF(ISBLANK(A63),NA(),IFERROR(A63+(PLAYER_EXP_MAX-D63)/I63,NA()))</f>
        <v>43743.57694751121</v>
      </c>
      <c r="K63" s="317" t="str">
        <f t="shared" ca="1" si="1"/>
        <v>028 D 14 H</v>
      </c>
      <c r="L63" s="405">
        <f t="shared" si="2"/>
        <v>85046.147127083197</v>
      </c>
      <c r="M63" s="418">
        <f>IF(ISBLANK(A63),NA(),IFERROR(A63+(PLAYER_EXP_MAX-D63)/L63,NA()))</f>
        <v>43746.315386156959</v>
      </c>
      <c r="N63" s="317" t="str">
        <f t="shared" ca="1" si="4"/>
        <v>031 D 08 H</v>
      </c>
    </row>
    <row r="64" spans="1:14" ht="14.65" customHeight="1" x14ac:dyDescent="0.25">
      <c r="A64" s="31">
        <v>43682.317361111112</v>
      </c>
      <c r="B64" s="395">
        <v>173</v>
      </c>
      <c r="C64" s="395">
        <v>33737</v>
      </c>
      <c r="D64" s="404">
        <f t="shared" si="0"/>
        <v>5998753</v>
      </c>
      <c r="E64" s="399">
        <f>IF(ISBLANK(A64),"-",D64/PLAYER_EXP_MAX)</f>
        <v>0.52471102312016216</v>
      </c>
      <c r="F64" s="405">
        <f ca="1">IF(ISBLANK(A64),NA(),IFERROR(SLOPE(INDIRECT("D" &amp; MATCH(A64-$B$1,A:A,1)):D64, INDIRECT("A" &amp; MATCH(A64-$B$1,A:A,1)):A64),NA()))</f>
        <v>143627.21967524628</v>
      </c>
      <c r="G64" s="418">
        <f ca="1">IF(ISBLANK(A64),NA(),IFERROR(A64+(PLAYER_EXP_MAX-D64)/F64,NA()))</f>
        <v>43720.149577123411</v>
      </c>
      <c r="H64" s="317" t="str">
        <f ca="1">IF(ISBLANK(#REF!),NA(),IFERROR(TEXT(TRUNC(G64-NOW()),"000") &amp; " D " &amp; TEXT(TRUNC(ABS(G64-NOW()-TRUNC(G64-NOW()))*24),"00") &amp; " H", NA()))</f>
        <v>005 D 04 H</v>
      </c>
      <c r="I64" s="405">
        <f ca="1">IF(ISBLANK(A64),NA(),IFERROR(SLOPE(INDIRECT("D" &amp; MATCH(A64-$C$1,A:A,1)):D64, INDIRECT("A" &amp; MATCH(A64-$C$1,A:A,1)):A64),NA()))</f>
        <v>89894.307555743377</v>
      </c>
      <c r="J64" s="418">
        <f ca="1">IF(ISBLANK(A64),NA(),IFERROR(A64+(PLAYER_EXP_MAX-D64)/I64,NA()))</f>
        <v>43742.763190749778</v>
      </c>
      <c r="K64" s="317" t="str">
        <f t="shared" ca="1" si="1"/>
        <v>027 D 19 H</v>
      </c>
      <c r="L64" s="405">
        <f t="shared" si="2"/>
        <v>85633.827004617066</v>
      </c>
      <c r="M64" s="418">
        <f>IF(ISBLANK(A64),NA(),IFERROR(A64+(PLAYER_EXP_MAX-D64)/L64,NA()))</f>
        <v>43745.770510293703</v>
      </c>
      <c r="N64" s="317" t="str">
        <f t="shared" ca="1" si="4"/>
        <v>030 D 19 H</v>
      </c>
    </row>
    <row r="65" spans="1:14" ht="14.65" customHeight="1" x14ac:dyDescent="0.25">
      <c r="A65" s="31">
        <v>43682.372222222228</v>
      </c>
      <c r="B65" s="395">
        <v>173</v>
      </c>
      <c r="C65" s="395">
        <v>23979</v>
      </c>
      <c r="D65" s="404">
        <f t="shared" si="0"/>
        <v>6008511</v>
      </c>
      <c r="E65" s="399">
        <f>IF(ISBLANK(A65),"-",D65/PLAYER_EXP_MAX)</f>
        <v>0.52556455553991788</v>
      </c>
      <c r="F65" s="405">
        <f ca="1">IF(ISBLANK(A65),NA(),IFERROR(SLOPE(INDIRECT("D" &amp; MATCH(A65-$B$1,A:A,1)):D65, INDIRECT("A" &amp; MATCH(A65-$B$1,A:A,1)):A65),NA()))</f>
        <v>145041.30720468902</v>
      </c>
      <c r="G65" s="418">
        <f ca="1">IF(ISBLANK(A65),NA(),IFERROR(A65+(PLAYER_EXP_MAX-D65)/F65,NA()))</f>
        <v>43719.768313753208</v>
      </c>
      <c r="H65" s="317" t="str">
        <f ca="1">IF(ISBLANK(#REF!),NA(),IFERROR(TEXT(TRUNC(G65-NOW()),"000") &amp; " D " &amp; TEXT(TRUNC(ABS(G65-NOW()-TRUNC(G65-NOW()))*24),"00") &amp; " H", NA()))</f>
        <v>004 D 19 H</v>
      </c>
      <c r="I65" s="405">
        <f ca="1">IF(ISBLANK(A65),NA(),IFERROR(SLOPE(INDIRECT("D" &amp; MATCH(A65-$C$1,A:A,1)):D65, INDIRECT("A" &amp; MATCH(A65-$C$1,A:A,1)):A65),NA()))</f>
        <v>91352.07524749756</v>
      </c>
      <c r="J65" s="418">
        <f ca="1">IF(ISBLANK(A65),NA(),IFERROR(A65+(PLAYER_EXP_MAX-D65)/I65,NA()))</f>
        <v>43741.746658821561</v>
      </c>
      <c r="K65" s="317" t="str">
        <f t="shared" ca="1" si="1"/>
        <v>026 D 18 H</v>
      </c>
      <c r="L65" s="405">
        <f t="shared" si="2"/>
        <v>85961.263649838671</v>
      </c>
      <c r="M65" s="418">
        <f>IF(ISBLANK(A65),NA(),IFERROR(A65+(PLAYER_EXP_MAX-D65)/L65,NA()))</f>
        <v>43745.470154589697</v>
      </c>
      <c r="N65" s="317" t="str">
        <f t="shared" ca="1" si="4"/>
        <v>030 D 12 H</v>
      </c>
    </row>
    <row r="66" spans="1:14" ht="14.65" customHeight="1" x14ac:dyDescent="0.25">
      <c r="A66" s="31">
        <v>43682.470138888893</v>
      </c>
      <c r="B66" s="395">
        <v>173</v>
      </c>
      <c r="C66" s="395">
        <v>14795</v>
      </c>
      <c r="D66" s="404">
        <f t="shared" si="0"/>
        <v>6017695</v>
      </c>
      <c r="E66" s="399">
        <f>IF(ISBLANK(A66),"-",D66/PLAYER_EXP_MAX)</f>
        <v>0.52636788017027614</v>
      </c>
      <c r="F66" s="405">
        <f ca="1">IF(ISBLANK(A66),NA(),IFERROR(SLOPE(INDIRECT("D" &amp; MATCH(A66-$B$1,A:A,1)):D66, INDIRECT("A" &amp; MATCH(A66-$B$1,A:A,1)):A66),NA()))</f>
        <v>139941.33542582259</v>
      </c>
      <c r="G66" s="418">
        <f ca="1">IF(ISBLANK(A66),NA(),IFERROR(A66+(PLAYER_EXP_MAX-D66)/F66,NA()))</f>
        <v>43721.163452651577</v>
      </c>
      <c r="H66" s="317" t="str">
        <f ca="1">IF(ISBLANK(#REF!),NA(),IFERROR(TEXT(TRUNC(G66-NOW()),"000") &amp; " D " &amp; TEXT(TRUNC(ABS(G66-NOW()-TRUNC(G66-NOW()))*24),"00") &amp; " H", NA()))</f>
        <v>006 D 04 H</v>
      </c>
      <c r="I66" s="405">
        <f ca="1">IF(ISBLANK(A66),NA(),IFERROR(SLOPE(INDIRECT("D" &amp; MATCH(A66-$C$1,A:A,1)):D66, INDIRECT("A" &amp; MATCH(A66-$C$1,A:A,1)):A66),NA()))</f>
        <v>92192.138939146593</v>
      </c>
      <c r="J66" s="418">
        <f ca="1">IF(ISBLANK(A66),NA(),IFERROR(A66+(PLAYER_EXP_MAX-D66)/I66,NA()))</f>
        <v>43741.203931838143</v>
      </c>
      <c r="K66" s="317" t="str">
        <f t="shared" ca="1" si="1"/>
        <v>026 D 05 H</v>
      </c>
      <c r="L66" s="405">
        <f t="shared" si="2"/>
        <v>86010.581405732781</v>
      </c>
      <c r="M66" s="418">
        <f>IF(ISBLANK(A66),NA(),IFERROR(A66+(PLAYER_EXP_MAX-D66)/L66,NA()))</f>
        <v>43745.42511386409</v>
      </c>
      <c r="N66" s="317" t="str">
        <f t="shared" ca="1" si="4"/>
        <v>030 D 11 H</v>
      </c>
    </row>
    <row r="67" spans="1:14" ht="14.65" customHeight="1" x14ac:dyDescent="0.25">
      <c r="A67" s="31">
        <v>43682.546527777777</v>
      </c>
      <c r="B67" s="395">
        <v>173</v>
      </c>
      <c r="C67" s="395">
        <v>2607</v>
      </c>
      <c r="D67" s="404">
        <f t="shared" ref="D67:D130" si="5">IF(ISBLANK(A67),"-",INDEX(DATA_PLAYER_EXP, B67, 3) + INDEX(DATA_PLAYER_EXP, B67, 2) - C67)</f>
        <v>6029883</v>
      </c>
      <c r="E67" s="399">
        <f>IF(ISBLANK(A67),"-",D67/PLAYER_EXP_MAX)</f>
        <v>0.52743396472981519</v>
      </c>
      <c r="F67" s="405">
        <f ca="1">IF(ISBLANK(A67),NA(),IFERROR(SLOPE(INDIRECT("D" &amp; MATCH(A67-$B$1,A:A,1)):D67, INDIRECT("A" &amp; MATCH(A67-$B$1,A:A,1)):A67),NA()))</f>
        <v>140329.67390035282</v>
      </c>
      <c r="G67" s="418">
        <f ca="1">IF(ISBLANK(A67),NA(),IFERROR(A67+(PLAYER_EXP_MAX-D67)/F67,NA()))</f>
        <v>43721.045911762922</v>
      </c>
      <c r="H67" s="317" t="str">
        <f ca="1">IF(ISBLANK(#REF!),NA(),IFERROR(TEXT(TRUNC(G67-NOW()),"000") &amp; " D " &amp; TEXT(TRUNC(ABS(G67-NOW()-TRUNC(G67-NOW()))*24),"00") &amp; " H", NA()))</f>
        <v>006 D 02 H</v>
      </c>
      <c r="I67" s="405">
        <f ca="1">IF(ISBLANK(A67),NA(),IFERROR(SLOPE(INDIRECT("D" &amp; MATCH(A67-$C$1,A:A,1)):D67, INDIRECT("A" &amp; MATCH(A67-$C$1,A:A,1)):A67),NA()))</f>
        <v>93637.088726316812</v>
      </c>
      <c r="J67" s="418">
        <f ca="1">IF(ISBLANK(A67),NA(),IFERROR(A67+(PLAYER_EXP_MAX-D67)/I67,NA()))</f>
        <v>43740.243814969079</v>
      </c>
      <c r="K67" s="317" t="str">
        <f t="shared" ref="K67:K130" ca="1" si="6">IF(ISBLANK(A67),NA(),IFERROR(TEXT(TRUNC(J67-NOW()),"000") &amp; " D " &amp; TEXT(TRUNC(ABS(J67-NOW()-TRUNC(J67-NOW()))*24),"00") &amp; " H", NA()))</f>
        <v>025 D 06 H</v>
      </c>
      <c r="L67" s="405">
        <f t="shared" ref="L67:L130" si="7">IFERROR(IF(OR(ISBLANK($A67),$A67-$A$3 &lt; $B$1),NA(),($D67-$D$3)/($A67-$A$3)),NA())</f>
        <v>86370.053323883913</v>
      </c>
      <c r="M67" s="418">
        <f>IF(ISBLANK(A67),NA(),IFERROR(A67+(PLAYER_EXP_MAX-D67)/L67,NA()))</f>
        <v>43745.098370599277</v>
      </c>
      <c r="N67" s="317" t="str">
        <f t="shared" ref="N67:N98" ca="1" si="8">IF(ISBLANK(D67),NA(),IFERROR(TEXT(TRUNC(M67-NOW()),"000") &amp; " D " &amp; TEXT(TRUNC(ABS(M67-NOW()-TRUNC(M67-NOW()))*24),"00") &amp; " H", NA()))</f>
        <v>030 D 03 H</v>
      </c>
    </row>
    <row r="68" spans="1:14" ht="14.65" customHeight="1" x14ac:dyDescent="0.25">
      <c r="A68" s="31">
        <v>43682.586805555555</v>
      </c>
      <c r="B68" s="395">
        <v>174</v>
      </c>
      <c r="C68" s="395">
        <v>156426</v>
      </c>
      <c r="D68" s="404">
        <f t="shared" si="5"/>
        <v>6037064</v>
      </c>
      <c r="E68" s="399">
        <f>IF(ISBLANK(A68),"-",D68/PLAYER_EXP_MAX)</f>
        <v>0.52806208691738077</v>
      </c>
      <c r="F68" s="405">
        <f ca="1">IF(ISBLANK(A68),NA(),IFERROR(SLOPE(INDIRECT("D" &amp; MATCH(A68-$B$1,A:A,1)):D68, INDIRECT("A" &amp; MATCH(A68-$B$1,A:A,1)):A68),NA()))</f>
        <v>141086.92291228496</v>
      </c>
      <c r="G68" s="418">
        <f ca="1">IF(ISBLANK(A68),NA(),IFERROR(A68+(PLAYER_EXP_MAX-D68)/F68,NA()))</f>
        <v>43720.828655959755</v>
      </c>
      <c r="H68" s="317" t="str">
        <f ca="1">IF(ISBLANK(#REF!),NA(),IFERROR(TEXT(TRUNC(G68-NOW()),"000") &amp; " D " &amp; TEXT(TRUNC(ABS(G68-NOW()-TRUNC(G68-NOW()))*24),"00") &amp; " H", NA()))</f>
        <v>005 D 20 H</v>
      </c>
      <c r="I68" s="405">
        <f ca="1">IF(ISBLANK(A68),NA(),IFERROR(SLOPE(INDIRECT("D" &amp; MATCH(A68-$C$1,A:A,1)):D68, INDIRECT("A" &amp; MATCH(A68-$C$1,A:A,1)):A68),NA()))</f>
        <v>94393.404459905578</v>
      </c>
      <c r="J68" s="418">
        <f ca="1">IF(ISBLANK(A68),NA(),IFERROR(A68+(PLAYER_EXP_MAX-D68)/I68,NA()))</f>
        <v>43739.745724982939</v>
      </c>
      <c r="K68" s="317" t="str">
        <f t="shared" ca="1" si="6"/>
        <v>024 D 18 H</v>
      </c>
      <c r="L68" s="405">
        <f t="shared" si="7"/>
        <v>86606.343409300825</v>
      </c>
      <c r="M68" s="418">
        <f>IF(ISBLANK(A68),NA(),IFERROR(A68+(PLAYER_EXP_MAX-D68)/L68,NA()))</f>
        <v>43744.885071336168</v>
      </c>
      <c r="N68" s="317" t="str">
        <f t="shared" ca="1" si="8"/>
        <v>029 D 22 H</v>
      </c>
    </row>
    <row r="69" spans="1:14" ht="14.65" customHeight="1" x14ac:dyDescent="0.25">
      <c r="A69" s="31">
        <v>43682.931944444448</v>
      </c>
      <c r="B69" s="395">
        <v>174</v>
      </c>
      <c r="C69" s="395">
        <v>139206</v>
      </c>
      <c r="D69" s="404">
        <f t="shared" si="5"/>
        <v>6054284</v>
      </c>
      <c r="E69" s="399">
        <f>IF(ISBLANK(A69),"-",D69/PLAYER_EXP_MAX)</f>
        <v>0.52956832059930259</v>
      </c>
      <c r="F69" s="405">
        <f ca="1">IF(ISBLANK(A69),NA(),IFERROR(SLOPE(INDIRECT("D" &amp; MATCH(A69-$B$1,A:A,1)):D69, INDIRECT("A" &amp; MATCH(A69-$B$1,A:A,1)):A69),NA()))</f>
        <v>125230.89399966605</v>
      </c>
      <c r="G69" s="418">
        <f ca="1">IF(ISBLANK(A69),NA(),IFERROR(A69+(PLAYER_EXP_MAX-D69)/F69,NA()))</f>
        <v>43725.878256079137</v>
      </c>
      <c r="H69" s="317" t="str">
        <f ca="1">IF(ISBLANK(#REF!),NA(),IFERROR(TEXT(TRUNC(G69-NOW()),"000") &amp; " D " &amp; TEXT(TRUNC(ABS(G69-NOW()-TRUNC(G69-NOW()))*24),"00") &amp; " H", NA()))</f>
        <v>010 D 22 H</v>
      </c>
      <c r="I69" s="405">
        <f ca="1">IF(ISBLANK(A69),NA(),IFERROR(SLOPE(INDIRECT("D" &amp; MATCH(A69-$C$1,A:A,1)):D69, INDIRECT("A" &amp; MATCH(A69-$C$1,A:A,1)):A69),NA()))</f>
        <v>94822.144648453308</v>
      </c>
      <c r="J69" s="418">
        <f ca="1">IF(ISBLANK(A69),NA(),IFERROR(A69+(PLAYER_EXP_MAX-D69)/I69,NA()))</f>
        <v>43739.650815547175</v>
      </c>
      <c r="K69" s="317" t="str">
        <f t="shared" ca="1" si="6"/>
        <v>024 D 16 H</v>
      </c>
      <c r="L69" s="405">
        <f t="shared" si="7"/>
        <v>85815.044884864037</v>
      </c>
      <c r="M69" s="418">
        <f>IF(ISBLANK(A69),NA(),IFERROR(A69+(PLAYER_EXP_MAX-D69)/L69,NA()))</f>
        <v>43745.603996964091</v>
      </c>
      <c r="N69" s="317" t="str">
        <f t="shared" ca="1" si="8"/>
        <v>030 D 15 H</v>
      </c>
    </row>
    <row r="70" spans="1:14" ht="14.65" customHeight="1" x14ac:dyDescent="0.25">
      <c r="A70" s="31">
        <v>43682.96875</v>
      </c>
      <c r="B70" s="395">
        <v>174</v>
      </c>
      <c r="C70" s="395">
        <v>131512</v>
      </c>
      <c r="D70" s="406">
        <f t="shared" si="5"/>
        <v>6061978</v>
      </c>
      <c r="E70" s="399">
        <f>IF(ISBLANK(A70),"-",D70/PLAYER_EXP_MAX)</f>
        <v>0.53024131490526694</v>
      </c>
      <c r="F70" s="405">
        <f ca="1">IF(ISBLANK(A70),NA(),IFERROR(SLOPE(INDIRECT("D" &amp; MATCH(A70-$B$1,A:A,1)):D70, INDIRECT("A" &amp; MATCH(A70-$B$1,A:A,1)):A70),NA()))</f>
        <v>118588.3619546689</v>
      </c>
      <c r="G70" s="418">
        <f ca="1">IF(ISBLANK(A70),NA(),IFERROR(A70+(PLAYER_EXP_MAX-D70)/F70,NA()))</f>
        <v>43728.255748753327</v>
      </c>
      <c r="H70" s="317" t="str">
        <f ca="1">IF(ISBLANK(#REF!),NA(),IFERROR(TEXT(TRUNC(G70-NOW()),"000") &amp; " D " &amp; TEXT(TRUNC(ABS(G70-NOW()-TRUNC(G70-NOW()))*24),"00") &amp; " H", NA()))</f>
        <v>013 D 07 H</v>
      </c>
      <c r="I70" s="405">
        <f ca="1">IF(ISBLANK(A70),NA(),IFERROR(SLOPE(INDIRECT("D" &amp; MATCH(A70-$C$1,A:A,1)):D70, INDIRECT("A" &amp; MATCH(A70-$C$1,A:A,1)):A70),NA()))</f>
        <v>95254.596552983174</v>
      </c>
      <c r="J70" s="418">
        <f ca="1">IF(ISBLANK(A70),NA(),IFERROR(A70+(PLAYER_EXP_MAX-D70)/I70,NA()))</f>
        <v>43739.349346783201</v>
      </c>
      <c r="K70" s="317" t="str">
        <f t="shared" ca="1" si="6"/>
        <v>024 D 09 H</v>
      </c>
      <c r="L70" s="405">
        <f t="shared" si="7"/>
        <v>86097.632398777307</v>
      </c>
      <c r="M70" s="418">
        <f>IF(ISBLANK(A70),NA(),IFERROR(A70+(PLAYER_EXP_MAX-D70)/L70,NA()))</f>
        <v>43745.345738197837</v>
      </c>
      <c r="N70" s="317" t="str">
        <f t="shared" ca="1" si="8"/>
        <v>030 D 09 H</v>
      </c>
    </row>
    <row r="71" spans="1:14" ht="14.65" customHeight="1" x14ac:dyDescent="0.25">
      <c r="A71" s="31">
        <v>43683.018750000003</v>
      </c>
      <c r="B71" s="395">
        <v>174</v>
      </c>
      <c r="C71" s="395">
        <v>121754</v>
      </c>
      <c r="D71" s="406">
        <f t="shared" si="5"/>
        <v>6071736</v>
      </c>
      <c r="E71" s="399">
        <f>IF(ISBLANK(A71),"-",D71/PLAYER_EXP_MAX)</f>
        <v>0.53109484732502255</v>
      </c>
      <c r="F71" s="405">
        <f ca="1">IF(ISBLANK(A71),NA(),IFERROR(SLOPE(INDIRECT("D" &amp; MATCH(A71-$B$1,A:A,1)):D71, INDIRECT("A" &amp; MATCH(A71-$B$1,A:A,1)):A71),NA()))</f>
        <v>116725.60715069942</v>
      </c>
      <c r="G71" s="418">
        <f ca="1">IF(ISBLANK(A71),NA(),IFERROR(A71+(PLAYER_EXP_MAX-D71)/F71,NA()))</f>
        <v>43728.944859367584</v>
      </c>
      <c r="H71" s="317" t="str">
        <f ca="1">IF(ISBLANK(#REF!),NA(),IFERROR(TEXT(TRUNC(G71-NOW()),"000") &amp; " D " &amp; TEXT(TRUNC(ABS(G71-NOW()-TRUNC(G71-NOW()))*24),"00") &amp; " H", NA()))</f>
        <v>013 D 23 H</v>
      </c>
      <c r="I71" s="405">
        <f ca="1">IF(ISBLANK(A71),NA(),IFERROR(SLOPE(INDIRECT("D" &amp; MATCH(A71-$C$1,A:A,1)):D71, INDIRECT("A" &amp; MATCH(A71-$C$1,A:A,1)):A71),NA()))</f>
        <v>95703.945386078718</v>
      </c>
      <c r="J71" s="418">
        <f ca="1">IF(ISBLANK(A71),NA(),IFERROR(A71+(PLAYER_EXP_MAX-D71)/I71,NA()))</f>
        <v>43739.032668531516</v>
      </c>
      <c r="K71" s="317" t="str">
        <f t="shared" ca="1" si="6"/>
        <v>024 D 01 H</v>
      </c>
      <c r="L71" s="405">
        <f t="shared" si="7"/>
        <v>86436.335403734527</v>
      </c>
      <c r="M71" s="418">
        <f>IF(ISBLANK(A71),NA(),IFERROR(A71+(PLAYER_EXP_MAX-D71)/L71,NA()))</f>
        <v>43745.038420026045</v>
      </c>
      <c r="N71" s="317" t="str">
        <f t="shared" ca="1" si="8"/>
        <v>030 D 01 H</v>
      </c>
    </row>
    <row r="72" spans="1:14" ht="14.65" customHeight="1" x14ac:dyDescent="0.25">
      <c r="A72" s="31">
        <v>43683.190972222226</v>
      </c>
      <c r="B72" s="395">
        <v>174</v>
      </c>
      <c r="C72" s="395">
        <v>96578</v>
      </c>
      <c r="D72" s="406">
        <f t="shared" si="5"/>
        <v>6096912</v>
      </c>
      <c r="E72" s="399">
        <f>IF(ISBLANK(A72),"-",D72/PLAYER_EXP_MAX)</f>
        <v>0.53329699245719808</v>
      </c>
      <c r="F72" s="405">
        <f ca="1">IF(ISBLANK(A72),NA(),IFERROR(SLOPE(INDIRECT("D" &amp; MATCH(A72-$B$1,A:A,1)):D72, INDIRECT("A" &amp; MATCH(A72-$B$1,A:A,1)):A72),NA()))</f>
        <v>104007.86468439556</v>
      </c>
      <c r="G72" s="418">
        <f ca="1">IF(ISBLANK(A72),NA(),IFERROR(A72+(PLAYER_EXP_MAX-D72)/F72,NA()))</f>
        <v>43734.49071783464</v>
      </c>
      <c r="H72" s="317" t="str">
        <f ca="1">IF(ISBLANK(#REF!),NA(),IFERROR(TEXT(TRUNC(G72-NOW()),"000") &amp; " D " &amp; TEXT(TRUNC(ABS(G72-NOW()-TRUNC(G72-NOW()))*24),"00") &amp; " H", NA()))</f>
        <v>019 D 12 H</v>
      </c>
      <c r="I72" s="405">
        <f ca="1">IF(ISBLANK(A72),NA(),IFERROR(SLOPE(INDIRECT("D" &amp; MATCH(A72-$C$1,A:A,1)):D72, INDIRECT("A" &amp; MATCH(A72-$C$1,A:A,1)):A72),NA()))</f>
        <v>97103.676203774594</v>
      </c>
      <c r="J72" s="418">
        <f ca="1">IF(ISBLANK(A72),NA(),IFERROR(A72+(PLAYER_EXP_MAX-D72)/I72,NA()))</f>
        <v>43738.138191612801</v>
      </c>
      <c r="K72" s="317" t="str">
        <f t="shared" ca="1" si="6"/>
        <v>023 D 04 H</v>
      </c>
      <c r="L72" s="405">
        <f t="shared" si="7"/>
        <v>87068.685558212717</v>
      </c>
      <c r="M72" s="418">
        <f>IF(ISBLANK(A72),NA(),IFERROR(A72+(PLAYER_EXP_MAX-D72)/L72,NA()))</f>
        <v>43744.471063517885</v>
      </c>
      <c r="N72" s="317" t="str">
        <f t="shared" ca="1" si="8"/>
        <v>029 D 12 H</v>
      </c>
    </row>
    <row r="73" spans="1:14" ht="14.65" customHeight="1" x14ac:dyDescent="0.25">
      <c r="A73" s="31">
        <v>43683.255555555559</v>
      </c>
      <c r="B73" s="395">
        <v>174</v>
      </c>
      <c r="C73" s="395">
        <v>81001</v>
      </c>
      <c r="D73" s="406">
        <f t="shared" si="5"/>
        <v>6112489</v>
      </c>
      <c r="E73" s="399">
        <f>IF(ISBLANK(A73),"-",D73/PLAYER_EXP_MAX)</f>
        <v>0.53465951290222102</v>
      </c>
      <c r="F73" s="405">
        <f ca="1">IF(ISBLANK(A73),NA(),IFERROR(SLOPE(INDIRECT("D" &amp; MATCH(A73-$B$1,A:A,1)):D73, INDIRECT("A" &amp; MATCH(A73-$B$1,A:A,1)):A73),NA()))</f>
        <v>109842.26175181783</v>
      </c>
      <c r="G73" s="418">
        <f ca="1">IF(ISBLANK(A73),NA(),IFERROR(A73+(PLAYER_EXP_MAX-D73)/F73,NA()))</f>
        <v>43731.688644196984</v>
      </c>
      <c r="H73" s="317" t="str">
        <f ca="1">IF(ISBLANK(#REF!),NA(),IFERROR(TEXT(TRUNC(G73-NOW()),"000") &amp; " D " &amp; TEXT(TRUNC(ABS(G73-NOW()-TRUNC(G73-NOW()))*24),"00") &amp; " H", NA()))</f>
        <v>016 D 17 H</v>
      </c>
      <c r="I73" s="405">
        <f ca="1">IF(ISBLANK(A73),NA(),IFERROR(SLOPE(INDIRECT("D" &amp; MATCH(A73-$C$1,A:A,1)):D73, INDIRECT("A" &amp; MATCH(A73-$C$1,A:A,1)):A73),NA()))</f>
        <v>97711.48773149382</v>
      </c>
      <c r="J73" s="418">
        <f ca="1">IF(ISBLANK(A73),NA(),IFERROR(A73+(PLAYER_EXP_MAX-D73)/I73,NA()))</f>
        <v>43737.701559024659</v>
      </c>
      <c r="K73" s="317" t="str">
        <f t="shared" ca="1" si="6"/>
        <v>022 D 17 H</v>
      </c>
      <c r="L73" s="405">
        <f t="shared" si="7"/>
        <v>87677.973219983091</v>
      </c>
      <c r="M73" s="418">
        <f>IF(ISBLANK(A73),NA(),IFERROR(A73+(PLAYER_EXP_MAX-D73)/L73,NA()))</f>
        <v>43743.932140615892</v>
      </c>
      <c r="N73" s="317" t="str">
        <f t="shared" ca="1" si="8"/>
        <v>028 D 23 H</v>
      </c>
    </row>
    <row r="74" spans="1:14" ht="14.65" customHeight="1" x14ac:dyDescent="0.25">
      <c r="A74" s="31">
        <v>43683.352777777778</v>
      </c>
      <c r="B74" s="395">
        <v>174</v>
      </c>
      <c r="C74" s="395">
        <v>61198</v>
      </c>
      <c r="D74" s="406">
        <f t="shared" si="5"/>
        <v>6132292</v>
      </c>
      <c r="E74" s="399">
        <f>IF(ISBLANK(A74),"-",D74/PLAYER_EXP_MAX)</f>
        <v>0.53639168163643103</v>
      </c>
      <c r="F74" s="405">
        <f ca="1">IF(ISBLANK(A74),NA(),IFERROR(SLOPE(INDIRECT("D" &amp; MATCH(A74-$B$1,A:A,1)):D74, INDIRECT("A" &amp; MATCH(A74-$B$1,A:A,1)):A74),NA()))</f>
        <v>114567.68237776282</v>
      </c>
      <c r="G74" s="418">
        <f ca="1">IF(ISBLANK(A74),NA(),IFERROR(A74+(PLAYER_EXP_MAX-D74)/F74,NA()))</f>
        <v>43729.615361518663</v>
      </c>
      <c r="H74" s="317" t="str">
        <f ca="1">IF(ISBLANK(#REF!),NA(),IFERROR(TEXT(TRUNC(G74-NOW()),"000") &amp; " D " &amp; TEXT(TRUNC(ABS(G74-NOW()-TRUNC(G74-NOW()))*24),"00") &amp; " H", NA()))</f>
        <v>014 D 15 H</v>
      </c>
      <c r="I74" s="405">
        <f ca="1">IF(ISBLANK(A74),NA(),IFERROR(SLOPE(INDIRECT("D" &amp; MATCH(A74-$C$1,A:A,1)):D74, INDIRECT("A" &amp; MATCH(A74-$C$1,A:A,1)):A74),NA()))</f>
        <v>98691.134229464966</v>
      </c>
      <c r="J74" s="418">
        <f ca="1">IF(ISBLANK(A74),NA(),IFERROR(A74+(PLAYER_EXP_MAX-D74)/I74,NA()))</f>
        <v>43737.057672765375</v>
      </c>
      <c r="K74" s="317" t="str">
        <f t="shared" ca="1" si="6"/>
        <v>022 D 02 H</v>
      </c>
      <c r="L74" s="405">
        <f t="shared" si="7"/>
        <v>88364.278047771571</v>
      </c>
      <c r="M74" s="418">
        <f>IF(ISBLANK(A74),NA(),IFERROR(A74+(PLAYER_EXP_MAX-D74)/L74,NA()))</f>
        <v>43743.333995494904</v>
      </c>
      <c r="N74" s="317" t="str">
        <f t="shared" ca="1" si="8"/>
        <v>028 D 08 H</v>
      </c>
    </row>
    <row r="75" spans="1:14" ht="14.65" customHeight="1" x14ac:dyDescent="0.25">
      <c r="A75" s="31">
        <v>43683.452777777777</v>
      </c>
      <c r="B75" s="395">
        <v>174</v>
      </c>
      <c r="C75" s="395">
        <v>43286</v>
      </c>
      <c r="D75" s="406">
        <f t="shared" si="5"/>
        <v>6150204</v>
      </c>
      <c r="E75" s="399">
        <f>IF(ISBLANK(A75),"-",D75/PLAYER_EXP_MAX)</f>
        <v>0.53795844456968211</v>
      </c>
      <c r="F75" s="405">
        <f ca="1">IF(ISBLANK(A75),NA(),IFERROR(SLOPE(INDIRECT("D" &amp; MATCH(A75-$B$1,A:A,1)):D75, INDIRECT("A" &amp; MATCH(A75-$B$1,A:A,1)):A75),NA()))</f>
        <v>122331.44924717413</v>
      </c>
      <c r="G75" s="418">
        <f ca="1">IF(ISBLANK(A75),NA(),IFERROR(A75+(PLAYER_EXP_MAX-D75)/F75,NA()))</f>
        <v>43726.63288422225</v>
      </c>
      <c r="H75" s="317" t="str">
        <f ca="1">IF(ISBLANK(#REF!),NA(),IFERROR(TEXT(TRUNC(G75-NOW()),"000") &amp; " D " &amp; TEXT(TRUNC(ABS(G75-NOW()-TRUNC(G75-NOW()))*24),"00") &amp; " H", NA()))</f>
        <v>011 D 16 H</v>
      </c>
      <c r="I75" s="405">
        <f ca="1">IF(ISBLANK(A75),NA(),IFERROR(SLOPE(INDIRECT("D" &amp; MATCH(A75-$C$1,A:A,1)):D75, INDIRECT("A" &amp; MATCH(A75-$C$1,A:A,1)):A75),NA()))</f>
        <v>100154.5658983602</v>
      </c>
      <c r="J75" s="418">
        <f ca="1">IF(ISBLANK(A75),NA(),IFERROR(A75+(PLAYER_EXP_MAX-D75)/I75,NA()))</f>
        <v>43736.194107667427</v>
      </c>
      <c r="K75" s="317" t="str">
        <f t="shared" ca="1" si="6"/>
        <v>021 D 05 H</v>
      </c>
      <c r="L75" s="405">
        <f t="shared" si="7"/>
        <v>88913.180730005624</v>
      </c>
      <c r="M75" s="418">
        <f>IF(ISBLANK(A75),NA(),IFERROR(A75+(PLAYER_EXP_MAX-D75)/L75,NA()))</f>
        <v>43742.862248416786</v>
      </c>
      <c r="N75" s="317" t="str">
        <f t="shared" ca="1" si="8"/>
        <v>027 D 21 H</v>
      </c>
    </row>
    <row r="76" spans="1:14" ht="14.65" customHeight="1" x14ac:dyDescent="0.25">
      <c r="A76" s="31">
        <v>43683.760416666672</v>
      </c>
      <c r="B76" s="395">
        <v>174</v>
      </c>
      <c r="C76" s="395">
        <v>5223</v>
      </c>
      <c r="D76" s="406">
        <f t="shared" si="5"/>
        <v>6188267</v>
      </c>
      <c r="E76" s="399">
        <f>IF(ISBLANK(A76),"-",D76/PLAYER_EXP_MAX)</f>
        <v>0.54128781580284047</v>
      </c>
      <c r="F76" s="405">
        <f ca="1">IF(ISBLANK(A76),NA(),IFERROR(SLOPE(INDIRECT("D" &amp; MATCH(A76-$B$1,A:A,1)):D76, INDIRECT("A" &amp; MATCH(A76-$B$1,A:A,1)):A76),NA()))</f>
        <v>142747.65785793294</v>
      </c>
      <c r="G76" s="418">
        <f ca="1">IF(ISBLANK(A76),NA(),IFERROR(A76+(PLAYER_EXP_MAX-D76)/F76,NA()))</f>
        <v>43720.498126263417</v>
      </c>
      <c r="H76" s="317" t="str">
        <f ca="1">IF(ISBLANK(#REF!),NA(),IFERROR(TEXT(TRUNC(G76-NOW()),"000") &amp; " D " &amp; TEXT(TRUNC(ABS(G76-NOW()-TRUNC(G76-NOW()))*24),"00") &amp; " H", NA()))</f>
        <v>005 D 12 H</v>
      </c>
      <c r="I76" s="405">
        <f ca="1">IF(ISBLANK(A76),NA(),IFERROR(SLOPE(INDIRECT("D" &amp; MATCH(A76-$C$1,A:A,1)):D76, INDIRECT("A" &amp; MATCH(A76-$C$1,A:A,1)):A76),NA()))</f>
        <v>103253.36457708389</v>
      </c>
      <c r="J76" s="418">
        <f ca="1">IF(ISBLANK(A76),NA(),IFERROR(A76+(PLAYER_EXP_MAX-D76)/I76,NA()))</f>
        <v>43734.550257961237</v>
      </c>
      <c r="K76" s="317" t="str">
        <f t="shared" ca="1" si="6"/>
        <v>019 D 14 H</v>
      </c>
      <c r="L76" s="405">
        <f t="shared" si="7"/>
        <v>89549.094507666887</v>
      </c>
      <c r="M76" s="418">
        <f>IF(ISBLANK(A76),NA(),IFERROR(A76+(PLAYER_EXP_MAX-D76)/L76,NA()))</f>
        <v>43742.322951875234</v>
      </c>
      <c r="N76" s="317" t="str">
        <f t="shared" ca="1" si="8"/>
        <v>027 D 08 H</v>
      </c>
    </row>
    <row r="77" spans="1:14" ht="14.65" customHeight="1" x14ac:dyDescent="0.25">
      <c r="A77" s="31">
        <v>43684.124305555561</v>
      </c>
      <c r="B77" s="395">
        <v>175</v>
      </c>
      <c r="C77" s="395">
        <v>109755</v>
      </c>
      <c r="D77" s="406">
        <f t="shared" si="5"/>
        <v>6247735</v>
      </c>
      <c r="E77" s="399">
        <f>IF(ISBLANK(A77),"-",D77/PLAYER_EXP_MAX)</f>
        <v>0.54648948273643649</v>
      </c>
      <c r="F77" s="405">
        <f ca="1">IF(ISBLANK(A77),NA(),IFERROR(SLOPE(INDIRECT("D" &amp; MATCH(A77-$B$1,A:A,1)):D77, INDIRECT("A" &amp; MATCH(A77-$B$1,A:A,1)):A77),NA()))</f>
        <v>157791.04254146936</v>
      </c>
      <c r="G77" s="418">
        <f ca="1">IF(ISBLANK(A77),NA(),IFERROR(A77+(PLAYER_EXP_MAX-D77)/F77,NA()))</f>
        <v>43716.982659974747</v>
      </c>
      <c r="H77" s="317" t="str">
        <f ca="1">IF(ISBLANK(#REF!),NA(),IFERROR(TEXT(TRUNC(G77-NOW()),"000") &amp; " D " &amp; TEXT(TRUNC(ABS(G77-NOW()-TRUNC(G77-NOW()))*24),"00") &amp; " H", NA()))</f>
        <v>002 D 00 H</v>
      </c>
      <c r="I77" s="405">
        <f ca="1">IF(ISBLANK(A77),NA(),IFERROR(SLOPE(INDIRECT("D" &amp; MATCH(A77-$C$1,A:A,1)):D77, INDIRECT("A" &amp; MATCH(A77-$C$1,A:A,1)):A77),NA()))</f>
        <v>106314.23046903504</v>
      </c>
      <c r="J77" s="418">
        <f ca="1">IF(ISBLANK(A77),NA(),IFERROR(A77+(PLAYER_EXP_MAX-D77)/I77,NA()))</f>
        <v>43732.892508806675</v>
      </c>
      <c r="K77" s="317" t="str">
        <f t="shared" ca="1" si="6"/>
        <v>017 D 22 H</v>
      </c>
      <c r="L77" s="405">
        <f t="shared" si="7"/>
        <v>91111.501453015619</v>
      </c>
      <c r="M77" s="418">
        <f>IF(ISBLANK(A77),NA(),IFERROR(A77+(PLAYER_EXP_MAX-D77)/L77,NA()))</f>
        <v>43741.029898343688</v>
      </c>
      <c r="N77" s="317" t="str">
        <f t="shared" ca="1" si="8"/>
        <v>026 D 01 H</v>
      </c>
    </row>
    <row r="78" spans="1:14" ht="14.65" customHeight="1" x14ac:dyDescent="0.25">
      <c r="A78" s="31">
        <v>43684.243055555555</v>
      </c>
      <c r="B78" s="395">
        <v>175</v>
      </c>
      <c r="C78" s="395">
        <v>89950</v>
      </c>
      <c r="D78" s="406">
        <f t="shared" si="5"/>
        <v>6267540</v>
      </c>
      <c r="E78" s="399">
        <f>IF(ISBLANK(A78),"-",D78/PLAYER_EXP_MAX)</f>
        <v>0.54822182641067929</v>
      </c>
      <c r="F78" s="405">
        <f ca="1">IF(ISBLANK(A78),NA(),IFERROR(SLOPE(INDIRECT("D" &amp; MATCH(A78-$B$1,A:A,1)):D78, INDIRECT("A" &amp; MATCH(A78-$B$1,A:A,1)):A78),NA()))</f>
        <v>156002.20282159341</v>
      </c>
      <c r="G78" s="418">
        <f ca="1">IF(ISBLANK(A78),NA(),IFERROR(A78+(PLAYER_EXP_MAX-D78)/F78,NA()))</f>
        <v>43717.351235482391</v>
      </c>
      <c r="H78" s="317" t="str">
        <f ca="1">IF(ISBLANK(#REF!),NA(),IFERROR(TEXT(TRUNC(G78-NOW()),"000") &amp; " D " &amp; TEXT(TRUNC(ABS(G78-NOW()-TRUNC(G78-NOW()))*24),"00") &amp; " H", NA()))</f>
        <v>002 D 09 H</v>
      </c>
      <c r="I78" s="405">
        <f ca="1">IF(ISBLANK(A78),NA(),IFERROR(SLOPE(INDIRECT("D" &amp; MATCH(A78-$C$1,A:A,1)):D78, INDIRECT("A" &amp; MATCH(A78-$C$1,A:A,1)):A78),NA()))</f>
        <v>108615.62661823105</v>
      </c>
      <c r="J78" s="418">
        <f ca="1">IF(ISBLANK(A78),NA(),IFERROR(A78+(PLAYER_EXP_MAX-D78)/I78,NA()))</f>
        <v>43731.795596205659</v>
      </c>
      <c r="K78" s="317" t="str">
        <f t="shared" ca="1" si="6"/>
        <v>016 D 20 H</v>
      </c>
      <c r="L78" s="405">
        <f t="shared" si="7"/>
        <v>91630.166352695014</v>
      </c>
      <c r="M78" s="418">
        <f>IF(ISBLANK(A78),NA(),IFERROR(A78+(PLAYER_EXP_MAX-D78)/L78,NA()))</f>
        <v>43740.61039838149</v>
      </c>
      <c r="N78" s="317" t="str">
        <f t="shared" ca="1" si="8"/>
        <v>025 D 15 H</v>
      </c>
    </row>
    <row r="79" spans="1:14" ht="14.65" customHeight="1" x14ac:dyDescent="0.25">
      <c r="A79" s="31">
        <v>43684.358333333337</v>
      </c>
      <c r="B79" s="395">
        <v>175</v>
      </c>
      <c r="C79" s="395">
        <v>74167</v>
      </c>
      <c r="D79" s="413">
        <f t="shared" si="5"/>
        <v>6283323</v>
      </c>
      <c r="E79" s="399">
        <f>IF(ISBLANK(A79),"-",D79/PLAYER_EXP_MAX)</f>
        <v>0.54960236567907483</v>
      </c>
      <c r="F79" s="405">
        <f ca="1">IF(ISBLANK(A79),NA(),IFERROR(SLOPE(INDIRECT("D" &amp; MATCH(A79-$B$1,A:A,1)):D79, INDIRECT("A" &amp; MATCH(A79-$B$1,A:A,1)):A79),NA()))</f>
        <v>150021.95727302562</v>
      </c>
      <c r="G79" s="418">
        <f ca="1">IF(ISBLANK(A79),NA(),IFERROR(A79+(PLAYER_EXP_MAX-D79)/F79,NA()))</f>
        <v>43718.681082440184</v>
      </c>
      <c r="H79" s="317" t="str">
        <f ca="1">IF(ISBLANK(#REF!),NA(),IFERROR(TEXT(TRUNC(G79-NOW()),"000") &amp; " D " &amp; TEXT(TRUNC(ABS(G79-NOW()-TRUNC(G79-NOW()))*24),"00") &amp; " H", NA()))</f>
        <v>003 D 17 H</v>
      </c>
      <c r="I79" s="405">
        <f ca="1">IF(ISBLANK(A79),NA(),IFERROR(SLOPE(INDIRECT("D" &amp; MATCH(A79-$C$1,A:A,1)):D79, INDIRECT("A" &amp; MATCH(A79-$C$1,A:A,1)):A79),NA()))</f>
        <v>109728.25256653382</v>
      </c>
      <c r="J79" s="418">
        <f ca="1">IF(ISBLANK(A79),NA(),IFERROR(A79+(PLAYER_EXP_MAX-D79)/I79,NA()))</f>
        <v>43731.284862094726</v>
      </c>
      <c r="K79" s="317" t="str">
        <f t="shared" ca="1" si="6"/>
        <v>016 D 07 H</v>
      </c>
      <c r="L79" s="405">
        <f t="shared" si="7"/>
        <v>91929.489905629118</v>
      </c>
      <c r="M79" s="418">
        <f>IF(ISBLANK(A79),NA(),IFERROR(A79+(PLAYER_EXP_MAX-D79)/L79,NA()))</f>
        <v>43740.370457465491</v>
      </c>
      <c r="N79" s="317" t="str">
        <f t="shared" ca="1" si="8"/>
        <v>025 D 09 H</v>
      </c>
    </row>
    <row r="80" spans="1:14" ht="14.65" customHeight="1" x14ac:dyDescent="0.25">
      <c r="A80" s="31">
        <v>43684.490277777782</v>
      </c>
      <c r="B80" s="395">
        <v>175</v>
      </c>
      <c r="C80" s="395">
        <v>55946</v>
      </c>
      <c r="D80" s="413">
        <f t="shared" si="5"/>
        <v>6301544</v>
      </c>
      <c r="E80" s="399">
        <f>IF(ISBLANK(A80),"-",D80/PLAYER_EXP_MAX)</f>
        <v>0.55119615684738466</v>
      </c>
      <c r="F80" s="405">
        <f ca="1">IF(ISBLANK(A80),NA(),IFERROR(SLOPE(INDIRECT("D" &amp; MATCH(A80-$B$1,A:A,1)):D80, INDIRECT("A" &amp; MATCH(A80-$B$1,A:A,1)):A80),NA()))</f>
        <v>149436.26831608711</v>
      </c>
      <c r="G80" s="418">
        <f ca="1">IF(ISBLANK(A80),NA(),IFERROR(A80+(PLAYER_EXP_MAX-D80)/F80,NA()))</f>
        <v>43718.825617235983</v>
      </c>
      <c r="H80" s="317" t="str">
        <f ca="1">IF(ISBLANK(#REF!),NA(),IFERROR(TEXT(TRUNC(G80-NOW()),"000") &amp; " D " &amp; TEXT(TRUNC(ABS(G80-NOW()-TRUNC(G80-NOW()))*24),"00") &amp; " H", NA()))</f>
        <v>003 D 20 H</v>
      </c>
      <c r="I80" s="405">
        <f ca="1">IF(ISBLANK(A80),NA(),IFERROR(SLOPE(INDIRECT("D" &amp; MATCH(A80-$C$1,A:A,1)):D80, INDIRECT("A" &amp; MATCH(A80-$C$1,A:A,1)):A80),NA()))</f>
        <v>110770.41848198907</v>
      </c>
      <c r="J80" s="418">
        <f ca="1">IF(ISBLANK(A80),NA(),IFERROR(A80+(PLAYER_EXP_MAX-D80)/I80,NA()))</f>
        <v>43730.810812360163</v>
      </c>
      <c r="K80" s="317" t="str">
        <f t="shared" ca="1" si="6"/>
        <v>015 D 20 H</v>
      </c>
      <c r="L80" s="405">
        <f t="shared" si="7"/>
        <v>92276.153815751371</v>
      </c>
      <c r="M80" s="418">
        <f>IF(ISBLANK(A80),NA(),IFERROR(A80+(PLAYER_EXP_MAX-D80)/L80,NA()))</f>
        <v>43740.094513409938</v>
      </c>
      <c r="N80" s="317" t="str">
        <f t="shared" ca="1" si="8"/>
        <v>025 D 03 H</v>
      </c>
    </row>
    <row r="81" spans="1:14" ht="14.65" customHeight="1" x14ac:dyDescent="0.25">
      <c r="A81" s="31">
        <v>43684.535416666666</v>
      </c>
      <c r="B81" s="395">
        <v>175</v>
      </c>
      <c r="C81" s="395">
        <v>49424</v>
      </c>
      <c r="D81" s="413">
        <f t="shared" si="5"/>
        <v>6308066</v>
      </c>
      <c r="E81" s="399">
        <f>IF(ISBLANK(A81),"-",D81/PLAYER_EXP_MAX)</f>
        <v>0.55176663629416134</v>
      </c>
      <c r="F81" s="405">
        <f ca="1">IF(ISBLANK(A81),NA(),IFERROR(SLOPE(INDIRECT("D" &amp; MATCH(A81-$B$1,A:A,1)):D81, INDIRECT("A" &amp; MATCH(A81-$B$1,A:A,1)):A81),NA()))</f>
        <v>149009.15896208482</v>
      </c>
      <c r="G81" s="418">
        <f ca="1">IF(ISBLANK(A81),NA(),IFERROR(A81+(PLAYER_EXP_MAX-D81)/F81,NA()))</f>
        <v>43718.925403400994</v>
      </c>
      <c r="H81" s="317" t="str">
        <f ca="1">IF(ISBLANK(#REF!),NA(),IFERROR(TEXT(TRUNC(G81-NOW()),"000") &amp; " D " &amp; TEXT(TRUNC(ABS(G81-NOW()-TRUNC(G81-NOW()))*24),"00") &amp; " H", NA()))</f>
        <v>003 D 23 H</v>
      </c>
      <c r="I81" s="405">
        <f ca="1">IF(ISBLANK(A81),NA(),IFERROR(SLOPE(INDIRECT("D" &amp; MATCH(A81-$C$1,A:A,1)):D81, INDIRECT("A" &amp; MATCH(A81-$C$1,A:A,1)):A81),NA()))</f>
        <v>113196.99762213408</v>
      </c>
      <c r="J81" s="418">
        <f ca="1">IF(ISBLANK(A81),NA(),IFERROR(A81+(PLAYER_EXP_MAX-D81)/I81,NA()))</f>
        <v>43729.805371768358</v>
      </c>
      <c r="K81" s="317" t="str">
        <f t="shared" ca="1" si="6"/>
        <v>014 D 20 H</v>
      </c>
      <c r="L81" s="405">
        <f t="shared" si="7"/>
        <v>92409.933774862424</v>
      </c>
      <c r="M81" s="418">
        <f>IF(ISBLANK(A81),NA(),IFERROR(A81+(PLAYER_EXP_MAX-D81)/L81,NA()))</f>
        <v>43739.98857836338</v>
      </c>
      <c r="N81" s="317" t="str">
        <f t="shared" ca="1" si="8"/>
        <v>025 D 00 H</v>
      </c>
    </row>
    <row r="82" spans="1:14" ht="14.65" customHeight="1" x14ac:dyDescent="0.25">
      <c r="A82" s="31">
        <v>43684.581250000003</v>
      </c>
      <c r="B82" s="395">
        <v>175</v>
      </c>
      <c r="C82" s="395">
        <v>41675</v>
      </c>
      <c r="D82" s="413">
        <f t="shared" si="5"/>
        <v>6315815</v>
      </c>
      <c r="E82" s="399">
        <f>IF(ISBLANK(A82),"-",D82/PLAYER_EXP_MAX)</f>
        <v>0.55244444145102611</v>
      </c>
      <c r="F82" s="405">
        <f ca="1">IF(ISBLANK(A82),NA(),IFERROR(SLOPE(INDIRECT("D" &amp; MATCH(A82-$B$1,A:A,1)):D82, INDIRECT("A" &amp; MATCH(A82-$B$1,A:A,1)):A82),NA()))</f>
        <v>149081.85821846777</v>
      </c>
      <c r="G82" s="418">
        <f ca="1">IF(ISBLANK(A82),NA(),IFERROR(A82+(PLAYER_EXP_MAX-D82)/F82,NA()))</f>
        <v>43718.902488419917</v>
      </c>
      <c r="H82" s="317" t="str">
        <f ca="1">IF(ISBLANK(#REF!),NA(),IFERROR(TEXT(TRUNC(G82-NOW()),"000") &amp; " D " &amp; TEXT(TRUNC(ABS(G82-NOW()-TRUNC(G82-NOW()))*24),"00") &amp; " H", NA()))</f>
        <v>003 D 22 H</v>
      </c>
      <c r="I82" s="405">
        <f ca="1">IF(ISBLANK(A82),NA(),IFERROR(SLOPE(INDIRECT("D" &amp; MATCH(A82-$C$1,A:A,1)):D82, INDIRECT("A" &amp; MATCH(A82-$C$1,A:A,1)):A82),NA()))</f>
        <v>114043.2015367081</v>
      </c>
      <c r="J82" s="418">
        <f ca="1">IF(ISBLANK(A82),NA(),IFERROR(A82+(PLAYER_EXP_MAX-D82)/I82,NA()))</f>
        <v>43729.447352766794</v>
      </c>
      <c r="K82" s="317" t="str">
        <f t="shared" ca="1" si="6"/>
        <v>014 D 11 H</v>
      </c>
      <c r="L82" s="405">
        <f t="shared" si="7"/>
        <v>92608.860580333174</v>
      </c>
      <c r="M82" s="418">
        <f>IF(ISBLANK(A82),NA(),IFERROR(A82+(PLAYER_EXP_MAX-D82)/L82,NA()))</f>
        <v>43739.831622026359</v>
      </c>
      <c r="N82" s="317" t="str">
        <f t="shared" ca="1" si="8"/>
        <v>024 D 20 H</v>
      </c>
    </row>
    <row r="83" spans="1:14" ht="14.65" customHeight="1" x14ac:dyDescent="0.25">
      <c r="A83" s="31">
        <v>43685.039583333339</v>
      </c>
      <c r="B83" s="395">
        <v>176</v>
      </c>
      <c r="C83" s="395">
        <v>163630</v>
      </c>
      <c r="D83" s="413">
        <f t="shared" si="5"/>
        <v>6360860</v>
      </c>
      <c r="E83" s="399">
        <f>IF(ISBLANK(A83),"-",D83/PLAYER_EXP_MAX)</f>
        <v>0.55638452833849217</v>
      </c>
      <c r="F83" s="405">
        <f ca="1">IF(ISBLANK(A83),NA(),IFERROR(SLOPE(INDIRECT("D" &amp; MATCH(A83-$B$1,A:A,1)):D83, INDIRECT("A" &amp; MATCH(A83-$B$1,A:A,1)):A83),NA()))</f>
        <v>136443.07967168337</v>
      </c>
      <c r="G83" s="418">
        <f ca="1">IF(ISBLANK(A83),NA(),IFERROR(A83+(PLAYER_EXP_MAX-D83)/F83,NA()))</f>
        <v>43722.2098745068</v>
      </c>
      <c r="H83" s="317" t="str">
        <f ca="1">IF(ISBLANK(#REF!),NA(),IFERROR(TEXT(TRUNC(G83-NOW()),"000") &amp; " D " &amp; TEXT(TRUNC(ABS(G83-NOW()-TRUNC(G83-NOW()))*24),"00") &amp; " H", NA()))</f>
        <v>007 D 05 H</v>
      </c>
      <c r="I83" s="405">
        <f ca="1">IF(ISBLANK(A83),NA(),IFERROR(SLOPE(INDIRECT("D" &amp; MATCH(A83-$C$1,A:A,1)):D83, INDIRECT("A" &amp; MATCH(A83-$C$1,A:A,1)):A83),NA()))</f>
        <v>114744.95667927164</v>
      </c>
      <c r="J83" s="418">
        <f ca="1">IF(ISBLANK(A83),NA(),IFERROR(A83+(PLAYER_EXP_MAX-D83)/I83,NA()))</f>
        <v>43729.238728522578</v>
      </c>
      <c r="K83" s="317" t="str">
        <f t="shared" ca="1" si="6"/>
        <v>014 D 06 H</v>
      </c>
      <c r="L83" s="405">
        <f t="shared" si="7"/>
        <v>92752.301678541829</v>
      </c>
      <c r="M83" s="418">
        <f>IF(ISBLANK(A83),NA(),IFERROR(A83+(PLAYER_EXP_MAX-D83)/L83,NA()))</f>
        <v>43739.718862534159</v>
      </c>
      <c r="N83" s="317" t="str">
        <f t="shared" ca="1" si="8"/>
        <v>024 D 18 H</v>
      </c>
    </row>
    <row r="84" spans="1:14" ht="14.65" customHeight="1" x14ac:dyDescent="0.25">
      <c r="A84" s="31">
        <v>43685.32916666667</v>
      </c>
      <c r="B84" s="395">
        <v>176</v>
      </c>
      <c r="C84" s="395">
        <v>126558</v>
      </c>
      <c r="D84" s="413">
        <f t="shared" si="5"/>
        <v>6397932</v>
      </c>
      <c r="E84" s="399">
        <f>IF(ISBLANK(A84),"-",D84/PLAYER_EXP_MAX)</f>
        <v>0.55962721678542615</v>
      </c>
      <c r="F84" s="405">
        <f ca="1">IF(ISBLANK(A84),NA(),IFERROR(SLOPE(INDIRECT("D" &amp; MATCH(A84-$B$1,A:A,1)):D84, INDIRECT("A" &amp; MATCH(A84-$B$1,A:A,1)):A84),NA()))</f>
        <v>116336.86083213052</v>
      </c>
      <c r="G84" s="418">
        <f ca="1">IF(ISBLANK(A84),NA(),IFERROR(A84+(PLAYER_EXP_MAX-D84)/F84,NA()))</f>
        <v>43728.604848716102</v>
      </c>
      <c r="H84" s="317" t="str">
        <f ca="1">IF(ISBLANK(#REF!),NA(),IFERROR(TEXT(TRUNC(G84-NOW()),"000") &amp; " D " &amp; TEXT(TRUNC(ABS(G84-NOW()-TRUNC(G84-NOW()))*24),"00") &amp; " H", NA()))</f>
        <v>013 D 15 H</v>
      </c>
      <c r="I84" s="405">
        <f ca="1">IF(ISBLANK(A84),NA(),IFERROR(SLOPE(INDIRECT("D" &amp; MATCH(A84-$C$1,A:A,1)):D84, INDIRECT("A" &amp; MATCH(A84-$C$1,A:A,1)):A84),NA()))</f>
        <v>120157.98260925229</v>
      </c>
      <c r="J84" s="418">
        <f ca="1">IF(ISBLANK(A84),NA(),IFERROR(A84+(PLAYER_EXP_MAX-D84)/I84,NA()))</f>
        <v>43727.228646756746</v>
      </c>
      <c r="K84" s="317" t="str">
        <f t="shared" ca="1" si="6"/>
        <v>012 D 06 H</v>
      </c>
      <c r="L84" s="405">
        <f t="shared" si="7"/>
        <v>93307.01369243447</v>
      </c>
      <c r="M84" s="418">
        <f>IF(ISBLANK(A84),NA(),IFERROR(A84+(PLAYER_EXP_MAX-D84)/L84,NA()))</f>
        <v>43739.2860644471</v>
      </c>
      <c r="N84" s="317" t="str">
        <f t="shared" ca="1" si="8"/>
        <v>024 D 07 H</v>
      </c>
    </row>
    <row r="85" spans="1:14" ht="14.65" customHeight="1" x14ac:dyDescent="0.25">
      <c r="A85" s="31">
        <v>43685.415972222225</v>
      </c>
      <c r="B85" s="395">
        <v>176</v>
      </c>
      <c r="C85" s="395">
        <v>113846</v>
      </c>
      <c r="D85" s="413">
        <f t="shared" si="5"/>
        <v>6410644</v>
      </c>
      <c r="E85" s="399">
        <f>IF(ISBLANK(A85),"-",D85/PLAYER_EXP_MAX)</f>
        <v>0.56073913563354405</v>
      </c>
      <c r="F85" s="405">
        <f ca="1">IF(ISBLANK(A85),NA(),IFERROR(SLOPE(INDIRECT("D" &amp; MATCH(A85-$B$1,A:A,1)):D85, INDIRECT("A" &amp; MATCH(A85-$B$1,A:A,1)):A85),NA()))</f>
        <v>115716.93467294933</v>
      </c>
      <c r="G85" s="418">
        <f ca="1">IF(ISBLANK(A85),NA(),IFERROR(A85+(PLAYER_EXP_MAX-D85)/F85,NA()))</f>
        <v>43728.813639246444</v>
      </c>
      <c r="H85" s="317" t="str">
        <f ca="1">IF(ISBLANK(#REF!),NA(),IFERROR(TEXT(TRUNC(G85-NOW()),"000") &amp; " D " &amp; TEXT(TRUNC(ABS(G85-NOW()-TRUNC(G85-NOW()))*24),"00") &amp; " H", NA()))</f>
        <v>013 D 20 H</v>
      </c>
      <c r="I85" s="405">
        <f ca="1">IF(ISBLANK(A85),NA(),IFERROR(SLOPE(INDIRECT("D" &amp; MATCH(A85-$C$1,A:A,1)):D85, INDIRECT("A" &amp; MATCH(A85-$C$1,A:A,1)):A85),NA()))</f>
        <v>122243.36376709287</v>
      </c>
      <c r="J85" s="418">
        <f ca="1">IF(ISBLANK(A85),NA(),IFERROR(A85+(PLAYER_EXP_MAX-D85)/I85,NA()))</f>
        <v>43726.496688960091</v>
      </c>
      <c r="K85" s="317" t="str">
        <f t="shared" ca="1" si="6"/>
        <v>011 D 12 H</v>
      </c>
      <c r="L85" s="405">
        <f t="shared" si="7"/>
        <v>93556.371827610739</v>
      </c>
      <c r="M85" s="418">
        <f>IF(ISBLANK(A85),NA(),IFERROR(A85+(PLAYER_EXP_MAX-D85)/L85,NA()))</f>
        <v>43739.093182035933</v>
      </c>
      <c r="N85" s="317" t="str">
        <f t="shared" ca="1" si="8"/>
        <v>024 D 03 H</v>
      </c>
    </row>
    <row r="86" spans="1:14" ht="14.65" customHeight="1" x14ac:dyDescent="0.25">
      <c r="A86" s="31">
        <v>43685.504166666666</v>
      </c>
      <c r="B86" s="395">
        <v>176</v>
      </c>
      <c r="C86" s="395">
        <v>104837</v>
      </c>
      <c r="D86" s="413">
        <f t="shared" si="5"/>
        <v>6419653</v>
      </c>
      <c r="E86" s="399">
        <f>IF(ISBLANK(A86),"-",D86/PLAYER_EXP_MAX)</f>
        <v>0.56152715301103728</v>
      </c>
      <c r="F86" s="405">
        <f ca="1">IF(ISBLANK(A86),NA(),IFERROR(SLOPE(INDIRECT("D" &amp; MATCH(A86-$B$1,A:A,1)):D86, INDIRECT("A" &amp; MATCH(A86-$B$1,A:A,1)):A86),NA()))</f>
        <v>114619.48086574778</v>
      </c>
      <c r="G86" s="418">
        <f ca="1">IF(ISBLANK(A86),NA(),IFERROR(A86+(PLAYER_EXP_MAX-D86)/F86,NA()))</f>
        <v>43729.238756652041</v>
      </c>
      <c r="H86" s="317" t="str">
        <f ca="1">IF(ISBLANK(#REF!),NA(),IFERROR(TEXT(TRUNC(G86-NOW()),"000") &amp; " D " &amp; TEXT(TRUNC(ABS(G86-NOW()-TRUNC(G86-NOW()))*24),"00") &amp; " H", NA()))</f>
        <v>014 D 06 H</v>
      </c>
      <c r="I86" s="405">
        <f ca="1">IF(ISBLANK(A86),NA(),IFERROR(SLOPE(INDIRECT("D" &amp; MATCH(A86-$C$1,A:A,1)):D86, INDIRECT("A" &amp; MATCH(A86-$C$1,A:A,1)):A86),NA()))</f>
        <v>122682.66102653518</v>
      </c>
      <c r="J86" s="418">
        <f ca="1">IF(ISBLANK(A86),NA(),IFERROR(A86+(PLAYER_EXP_MAX-D86)/I86,NA()))</f>
        <v>43726.364349825846</v>
      </c>
      <c r="K86" s="317" t="str">
        <f t="shared" ca="1" si="6"/>
        <v>011 D 09 H</v>
      </c>
      <c r="L86" s="405">
        <f t="shared" si="7"/>
        <v>93597.148301786758</v>
      </c>
      <c r="M86" s="418">
        <f>IF(ISBLANK(A86),NA(),IFERROR(A86+(PLAYER_EXP_MAX-D86)/L86,NA()))</f>
        <v>43739.061738568715</v>
      </c>
      <c r="N86" s="317" t="str">
        <f t="shared" ca="1" si="8"/>
        <v>024 D 02 H</v>
      </c>
    </row>
    <row r="87" spans="1:14" ht="14.65" customHeight="1" x14ac:dyDescent="0.25">
      <c r="A87" s="31">
        <v>43685.577083333337</v>
      </c>
      <c r="B87" s="395">
        <v>176</v>
      </c>
      <c r="C87" s="395">
        <v>93325</v>
      </c>
      <c r="D87" s="413">
        <f t="shared" si="5"/>
        <v>6431165</v>
      </c>
      <c r="E87" s="399">
        <f>IF(ISBLANK(A87),"-",D87/PLAYER_EXP_MAX)</f>
        <v>0.56253410783950897</v>
      </c>
      <c r="F87" s="405">
        <f ca="1">IF(ISBLANK(A87),NA(),IFERROR(SLOPE(INDIRECT("D" &amp; MATCH(A87-$B$1,A:A,1)):D87, INDIRECT("A" &amp; MATCH(A87-$B$1,A:A,1)):A87),NA()))</f>
        <v>115660.56855085674</v>
      </c>
      <c r="G87" s="418">
        <f ca="1">IF(ISBLANK(A87),NA(),IFERROR(A87+(PLAYER_EXP_MAX-D87)/F87,NA()))</f>
        <v>43728.818475474698</v>
      </c>
      <c r="H87" s="317" t="str">
        <f ca="1">IF(ISBLANK(#REF!),NA(),IFERROR(TEXT(TRUNC(G87-NOW()),"000") &amp; " D " &amp; TEXT(TRUNC(ABS(G87-NOW()-TRUNC(G87-NOW()))*24),"00") &amp; " H", NA()))</f>
        <v>013 D 20 H</v>
      </c>
      <c r="I87" s="405">
        <f ca="1">IF(ISBLANK(A87),NA(),IFERROR(SLOPE(INDIRECT("D" &amp; MATCH(A87-$C$1,A:A,1)):D87, INDIRECT("A" &amp; MATCH(A87-$C$1,A:A,1)):A87),NA()))</f>
        <v>124948.1997197192</v>
      </c>
      <c r="J87" s="418">
        <f ca="1">IF(ISBLANK(A87),NA(),IFERROR(A87+(PLAYER_EXP_MAX-D87)/I87,NA()))</f>
        <v>43725.604262686211</v>
      </c>
      <c r="K87" s="317" t="str">
        <f t="shared" ca="1" si="6"/>
        <v>010 D 15 H</v>
      </c>
      <c r="L87" s="405">
        <f t="shared" si="7"/>
        <v>93848.360875393235</v>
      </c>
      <c r="M87" s="418">
        <f>IF(ISBLANK(A87),NA(),IFERROR(A87+(PLAYER_EXP_MAX-D87)/L87,NA()))</f>
        <v>43738.868626769457</v>
      </c>
      <c r="N87" s="317" t="str">
        <f t="shared" ca="1" si="8"/>
        <v>023 D 21 H</v>
      </c>
    </row>
    <row r="88" spans="1:14" ht="14.65" customHeight="1" x14ac:dyDescent="0.25">
      <c r="A88" s="31">
        <v>43686.179166666669</v>
      </c>
      <c r="B88" s="395">
        <v>176</v>
      </c>
      <c r="C88" s="395">
        <v>36590</v>
      </c>
      <c r="D88" s="413">
        <f t="shared" si="5"/>
        <v>6487900</v>
      </c>
      <c r="E88" s="399">
        <f>IF(ISBLANK(A88),"-",D88/PLAYER_EXP_MAX)</f>
        <v>0.56749671921836098</v>
      </c>
      <c r="F88" s="405">
        <f ca="1">IF(ISBLANK(A88),NA(),IFERROR(SLOPE(INDIRECT("D" &amp; MATCH(A88-$B$1,A:A,1)):D88, INDIRECT("A" &amp; MATCH(A88-$B$1,A:A,1)):A88),NA()))</f>
        <v>110260.39361499237</v>
      </c>
      <c r="G88" s="418">
        <f ca="1">IF(ISBLANK(A88),NA(),IFERROR(A88+(PLAYER_EXP_MAX-D88)/F88,NA()))</f>
        <v>43731.023818838556</v>
      </c>
      <c r="H88" s="317" t="str">
        <f ca="1">IF(ISBLANK(#REF!),NA(),IFERROR(TEXT(TRUNC(G88-NOW()),"000") &amp; " D " &amp; TEXT(TRUNC(ABS(G88-NOW()-TRUNC(G88-NOW()))*24),"00") &amp; " H", NA()))</f>
        <v>016 D 01 H</v>
      </c>
      <c r="I88" s="405">
        <f ca="1">IF(ISBLANK(A88),NA(),IFERROR(SLOPE(INDIRECT("D" &amp; MATCH(A88-$C$1,A:A,1)):D88, INDIRECT("A" &amp; MATCH(A88-$C$1,A:A,1)):A88),NA()))</f>
        <v>130289.97142259849</v>
      </c>
      <c r="J88" s="418">
        <f ca="1">IF(ISBLANK(A88),NA(),IFERROR(A88+(PLAYER_EXP_MAX-D88)/I88,NA()))</f>
        <v>43724.129815868684</v>
      </c>
      <c r="K88" s="317" t="str">
        <f t="shared" ca="1" si="6"/>
        <v>009 D 04 H</v>
      </c>
      <c r="L88" s="405">
        <f t="shared" si="7"/>
        <v>93860.326663072934</v>
      </c>
      <c r="M88" s="418">
        <f>IF(ISBLANK(A88),NA(),IFERROR(A88+(PLAYER_EXP_MAX-D88)/L88,NA()))</f>
        <v>43738.859454236401</v>
      </c>
      <c r="N88" s="317" t="str">
        <f t="shared" ca="1" si="8"/>
        <v>023 D 21 H</v>
      </c>
    </row>
    <row r="89" spans="1:14" ht="14.65" customHeight="1" x14ac:dyDescent="0.25">
      <c r="A89" s="31">
        <v>43686.44027777778</v>
      </c>
      <c r="B89" s="395">
        <v>177</v>
      </c>
      <c r="C89" s="395">
        <v>166208</v>
      </c>
      <c r="D89" s="413">
        <f t="shared" si="5"/>
        <v>6528282</v>
      </c>
      <c r="E89" s="399">
        <f>IF(ISBLANK(A89),"-",D89/PLAYER_EXP_MAX)</f>
        <v>0.57102893341948546</v>
      </c>
      <c r="F89" s="405">
        <f ca="1">IF(ISBLANK(A89),NA(),IFERROR(SLOPE(INDIRECT("D" &amp; MATCH(A89-$B$1,A:A,1)):D89, INDIRECT("A" &amp; MATCH(A89-$B$1,A:A,1)):A89),NA()))</f>
        <v>110253.80070139472</v>
      </c>
      <c r="G89" s="418">
        <f ca="1">IF(ISBLANK(A89),NA(),IFERROR(A89+(PLAYER_EXP_MAX-D89)/F89,NA()))</f>
        <v>43730.921347535026</v>
      </c>
      <c r="H89" s="317" t="str">
        <f ca="1">IF(ISBLANK(#REF!),NA(),IFERROR(TEXT(TRUNC(G89-NOW()),"000") &amp; " D " &amp; TEXT(TRUNC(ABS(G89-NOW()-TRUNC(G89-NOW()))*24),"00") &amp; " H", NA()))</f>
        <v>015 D 23 H</v>
      </c>
      <c r="I89" s="405">
        <f ca="1">IF(ISBLANK(A89),NA(),IFERROR(SLOPE(INDIRECT("D" &amp; MATCH(A89-$C$1,A:A,1)):D89, INDIRECT("A" &amp; MATCH(A89-$C$1,A:A,1)):A89),NA()))</f>
        <v>130018.2425205912</v>
      </c>
      <c r="J89" s="418">
        <f ca="1">IF(ISBLANK(A89),NA(),IFERROR(A89+(PLAYER_EXP_MAX-D89)/I89,NA()))</f>
        <v>43724.159653958573</v>
      </c>
      <c r="K89" s="317" t="str">
        <f t="shared" ca="1" si="6"/>
        <v>009 D 04 H</v>
      </c>
      <c r="L89" s="405">
        <f t="shared" si="7"/>
        <v>94673.481555275604</v>
      </c>
      <c r="M89" s="418">
        <f>IF(ISBLANK(A89),NA(),IFERROR(A89+(PLAYER_EXP_MAX-D89)/L89,NA()))</f>
        <v>43738.241552215295</v>
      </c>
      <c r="N89" s="317" t="str">
        <f t="shared" ca="1" si="8"/>
        <v>023 D 06 H</v>
      </c>
    </row>
    <row r="90" spans="1:14" ht="14.65" customHeight="1" x14ac:dyDescent="0.25">
      <c r="A90" s="31">
        <v>43686.808333333334</v>
      </c>
      <c r="B90" s="395">
        <v>177</v>
      </c>
      <c r="C90" s="395">
        <v>123880</v>
      </c>
      <c r="D90" s="413">
        <f t="shared" si="5"/>
        <v>6570610</v>
      </c>
      <c r="E90" s="399">
        <f>IF(ISBLANK(A90),"-",D90/PLAYER_EXP_MAX)</f>
        <v>0.5747313642724694</v>
      </c>
      <c r="F90" s="405">
        <f ca="1">IF(ISBLANK(A90),NA(),IFERROR(SLOPE(INDIRECT("D" &amp; MATCH(A90-$B$1,A:A,1)):D90, INDIRECT("A" &amp; MATCH(A90-$B$1,A:A,1)):A90),NA()))</f>
        <v>114127.887393759</v>
      </c>
      <c r="G90" s="418">
        <f ca="1">IF(ISBLANK(A90),NA(),IFERROR(A90+(PLAYER_EXP_MAX-D90)/F90,NA()))</f>
        <v>43729.408604932381</v>
      </c>
      <c r="H90" s="317" t="str">
        <f ca="1">IF(ISBLANK(#REF!),NA(),IFERROR(TEXT(TRUNC(G90-NOW()),"000") &amp; " D " &amp; TEXT(TRUNC(ABS(G90-NOW()-TRUNC(G90-NOW()))*24),"00") &amp; " H", NA()))</f>
        <v>014 D 10 H</v>
      </c>
      <c r="I90" s="405">
        <f ca="1">IF(ISBLANK(A90),NA(),IFERROR(SLOPE(INDIRECT("D" &amp; MATCH(A90-$C$1,A:A,1)):D90, INDIRECT("A" &amp; MATCH(A90-$C$1,A:A,1)):A90),NA()))</f>
        <v>129632.96373019749</v>
      </c>
      <c r="J90" s="418">
        <f ca="1">IF(ISBLANK(A90),NA(),IFERROR(A90+(PLAYER_EXP_MAX-D90)/I90,NA()))</f>
        <v>43724.313292412407</v>
      </c>
      <c r="K90" s="317" t="str">
        <f t="shared" ca="1" si="6"/>
        <v>009 D 08 H</v>
      </c>
      <c r="L90" s="405">
        <f t="shared" si="7"/>
        <v>95049.703571818885</v>
      </c>
      <c r="M90" s="418">
        <f>IF(ISBLANK(A90),NA(),IFERROR(A90+(PLAYER_EXP_MAX-D90)/L90,NA()))</f>
        <v>43737.959245091057</v>
      </c>
      <c r="N90" s="317" t="str">
        <f t="shared" ca="1" si="8"/>
        <v>022 D 23 H</v>
      </c>
    </row>
    <row r="91" spans="1:14" ht="14.65" customHeight="1" x14ac:dyDescent="0.25">
      <c r="A91" s="31">
        <v>43687.155555555561</v>
      </c>
      <c r="B91" s="395">
        <v>177</v>
      </c>
      <c r="C91" s="395">
        <v>80799</v>
      </c>
      <c r="D91" s="413">
        <f t="shared" si="5"/>
        <v>6613691</v>
      </c>
      <c r="E91" s="399">
        <f>IF(ISBLANK(A91),"-",D91/PLAYER_EXP_MAX)</f>
        <v>0.57849966004778142</v>
      </c>
      <c r="F91" s="405">
        <f ca="1">IF(ISBLANK(A91),NA(),IFERROR(SLOPE(INDIRECT("D" &amp; MATCH(A91-$B$1,A:A,1)):D91, INDIRECT("A" &amp; MATCH(A91-$B$1,A:A,1)):A91),NA()))</f>
        <v>117096.68070407392</v>
      </c>
      <c r="G91" s="418">
        <f ca="1">IF(ISBLANK(A91),NA(),IFERROR(A91+(PLAYER_EXP_MAX-D91)/F91,NA()))</f>
        <v>43728.307857832842</v>
      </c>
      <c r="H91" s="317" t="str">
        <f ca="1">IF(ISBLANK(#REF!),NA(),IFERROR(TEXT(TRUNC(G91-NOW()),"000") &amp; " D " &amp; TEXT(TRUNC(ABS(G91-NOW()-TRUNC(G91-NOW()))*24),"00") &amp; " H", NA()))</f>
        <v>013 D 08 H</v>
      </c>
      <c r="I91" s="405">
        <f ca="1">IF(ISBLANK(A91),NA(),IFERROR(SLOPE(INDIRECT("D" &amp; MATCH(A91-$C$1,A:A,1)):D91, INDIRECT("A" &amp; MATCH(A91-$C$1,A:A,1)):A91),NA()))</f>
        <v>131136.92205863481</v>
      </c>
      <c r="J91" s="418">
        <f ca="1">IF(ISBLANK(A91),NA(),IFERROR(A91+(PLAYER_EXP_MAX-D91)/I91,NA()))</f>
        <v>43723.901865628672</v>
      </c>
      <c r="K91" s="317" t="str">
        <f t="shared" ca="1" si="6"/>
        <v>008 D 22 H</v>
      </c>
      <c r="L91" s="405">
        <f t="shared" si="7"/>
        <v>95547.688823304314</v>
      </c>
      <c r="M91" s="418">
        <f>IF(ISBLANK(A91),NA(),IFERROR(A91+(PLAYER_EXP_MAX-D91)/L91,NA()))</f>
        <v>43737.588988947253</v>
      </c>
      <c r="N91" s="317" t="str">
        <f t="shared" ca="1" si="8"/>
        <v>022 D 15 H</v>
      </c>
    </row>
    <row r="92" spans="1:14" ht="14.65" customHeight="1" x14ac:dyDescent="0.25">
      <c r="A92" s="31">
        <v>43687.426388888889</v>
      </c>
      <c r="B92" s="395">
        <v>177</v>
      </c>
      <c r="C92" s="395">
        <v>36772</v>
      </c>
      <c r="D92" s="413">
        <f t="shared" si="5"/>
        <v>6657718</v>
      </c>
      <c r="E92" s="399">
        <f>IF(ISBLANK(A92),"-",D92/PLAYER_EXP_MAX)</f>
        <v>0.582350702458581</v>
      </c>
      <c r="F92" s="405">
        <f ca="1">IF(ISBLANK(A92),NA(),IFERROR(SLOPE(INDIRECT("D" &amp; MATCH(A92-$B$1,A:A,1)):D92, INDIRECT("A" &amp; MATCH(A92-$B$1,A:A,1)):A92),NA()))</f>
        <v>132002.42027478406</v>
      </c>
      <c r="G92" s="418">
        <f ca="1">IF(ISBLANK(A92),NA(),IFERROR(A92+(PLAYER_EXP_MAX-D92)/F92,NA()))</f>
        <v>43723.598233238867</v>
      </c>
      <c r="H92" s="317" t="str">
        <f ca="1">IF(ISBLANK(#REF!),NA(),IFERROR(TEXT(TRUNC(G92-NOW()),"000") &amp; " D " &amp; TEXT(TRUNC(ABS(G92-NOW()-TRUNC(G92-NOW()))*24),"00") &amp; " H", NA()))</f>
        <v>008 D 15 H</v>
      </c>
      <c r="I92" s="405">
        <f ca="1">IF(ISBLANK(A92),NA(),IFERROR(SLOPE(INDIRECT("D" &amp; MATCH(A92-$C$1,A:A,1)):D92, INDIRECT("A" &amp; MATCH(A92-$C$1,A:A,1)):A92),NA()))</f>
        <v>131090.82604314722</v>
      </c>
      <c r="J92" s="418">
        <f ca="1">IF(ISBLANK(A92),NA(),IFERROR(A92+(PLAYER_EXP_MAX-D92)/I92,NA()))</f>
        <v>43723.849769106419</v>
      </c>
      <c r="K92" s="317" t="str">
        <f t="shared" ca="1" si="6"/>
        <v>008 D 21 H</v>
      </c>
      <c r="L92" s="405">
        <f t="shared" si="7"/>
        <v>96432.70055198211</v>
      </c>
      <c r="M92" s="418">
        <f>IF(ISBLANK(A92),NA(),IFERROR(A92+(PLAYER_EXP_MAX-D92)/L92,NA()))</f>
        <v>43736.940412375414</v>
      </c>
      <c r="N92" s="317" t="str">
        <f t="shared" ca="1" si="8"/>
        <v>021 D 23 H</v>
      </c>
    </row>
    <row r="93" spans="1:14" ht="14.65" customHeight="1" x14ac:dyDescent="0.25">
      <c r="A93" s="31">
        <v>43687.495833333334</v>
      </c>
      <c r="B93" s="395">
        <v>177</v>
      </c>
      <c r="C93" s="395">
        <v>26912</v>
      </c>
      <c r="D93" s="413">
        <f t="shared" si="5"/>
        <v>6667578</v>
      </c>
      <c r="E93" s="399">
        <f>IF(ISBLANK(A93),"-",D93/PLAYER_EXP_MAX)</f>
        <v>0.58321315682000652</v>
      </c>
      <c r="F93" s="405">
        <f ca="1">IF(ISBLANK(A93),NA(),IFERROR(SLOPE(INDIRECT("D" &amp; MATCH(A93-$B$1,A:A,1)):D93, INDIRECT("A" &amp; MATCH(A93-$B$1,A:A,1)):A93),NA()))</f>
        <v>132658.6877548944</v>
      </c>
      <c r="G93" s="418">
        <f ca="1">IF(ISBLANK(A93),NA(),IFERROR(A93+(PLAYER_EXP_MAX-D93)/F93,NA()))</f>
        <v>43723.414408140918</v>
      </c>
      <c r="H93" s="317" t="str">
        <f ca="1">IF(ISBLANK(#REF!),NA(),IFERROR(TEXT(TRUNC(G93-NOW()),"000") &amp; " D " &amp; TEXT(TRUNC(ABS(G93-NOW()-TRUNC(G93-NOW()))*24),"00") &amp; " H", NA()))</f>
        <v>008 D 10 H</v>
      </c>
      <c r="I93" s="405">
        <f ca="1">IF(ISBLANK(A93),NA(),IFERROR(SLOPE(INDIRECT("D" &amp; MATCH(A93-$C$1,A:A,1)):D93, INDIRECT("A" &amp; MATCH(A93-$C$1,A:A,1)):A93),NA()))</f>
        <v>130883.52420083396</v>
      </c>
      <c r="J93" s="418">
        <f ca="1">IF(ISBLANK(A93),NA(),IFERROR(A93+(PLAYER_EXP_MAX-D93)/I93,NA()))</f>
        <v>43723.901569113252</v>
      </c>
      <c r="K93" s="317" t="str">
        <f t="shared" ca="1" si="6"/>
        <v>008 D 22 H</v>
      </c>
      <c r="L93" s="405">
        <f t="shared" si="7"/>
        <v>96586.429077671099</v>
      </c>
      <c r="M93" s="418">
        <f>IF(ISBLANK(A93),NA(),IFERROR(A93+(PLAYER_EXP_MAX-D93)/L93,NA()))</f>
        <v>43736.828964762884</v>
      </c>
      <c r="N93" s="317" t="str">
        <f t="shared" ca="1" si="8"/>
        <v>021 D 20 H</v>
      </c>
    </row>
    <row r="94" spans="1:14" ht="14.65" customHeight="1" x14ac:dyDescent="0.25">
      <c r="A94" s="31">
        <v>43687.976388888892</v>
      </c>
      <c r="B94" s="395">
        <v>177</v>
      </c>
      <c r="C94" s="395">
        <v>5661</v>
      </c>
      <c r="D94" s="413">
        <f t="shared" si="5"/>
        <v>6688829</v>
      </c>
      <c r="E94" s="399">
        <f>IF(ISBLANK(A94),"-",D94/PLAYER_EXP_MAX)</f>
        <v>0.58507198213792289</v>
      </c>
      <c r="F94" s="405">
        <f ca="1">IF(ISBLANK(A94),NA(),IFERROR(SLOPE(INDIRECT("D" &amp; MATCH(A94-$B$1,A:A,1)):D94, INDIRECT("A" &amp; MATCH(A94-$B$1,A:A,1)):A94),NA()))</f>
        <v>105191.38574055371</v>
      </c>
      <c r="G94" s="418">
        <f ca="1">IF(ISBLANK(A94),NA(),IFERROR(A94+(PLAYER_EXP_MAX-D94)/F94,NA()))</f>
        <v>43733.071906612175</v>
      </c>
      <c r="H94" s="317" t="str">
        <f ca="1">IF(ISBLANK(#REF!),NA(),IFERROR(TEXT(TRUNC(G94-NOW()),"000") &amp; " D " &amp; TEXT(TRUNC(ABS(G94-NOW()-TRUNC(G94-NOW()))*24),"00") &amp; " H", NA()))</f>
        <v>018 D 02 H</v>
      </c>
      <c r="I94" s="405">
        <f ca="1">IF(ISBLANK(A94),NA(),IFERROR(SLOPE(INDIRECT("D" &amp; MATCH(A94-$C$1,A:A,1)):D94, INDIRECT("A" &amp; MATCH(A94-$C$1,A:A,1)):A94),NA()))</f>
        <v>130207.50898797356</v>
      </c>
      <c r="J94" s="418">
        <f ca="1">IF(ISBLANK(A94),NA(),IFERROR(A94+(PLAYER_EXP_MAX-D94)/I94,NA()))</f>
        <v>43724.407928335961</v>
      </c>
      <c r="K94" s="317" t="str">
        <f t="shared" ca="1" si="6"/>
        <v>009 D 10 H</v>
      </c>
      <c r="L94" s="405">
        <f t="shared" si="7"/>
        <v>95391.416416587337</v>
      </c>
      <c r="M94" s="418">
        <f>IF(ISBLANK(A94),NA(),IFERROR(A94+(PLAYER_EXP_MAX-D94)/L94,NA()))</f>
        <v>43737.70476255392</v>
      </c>
      <c r="N94" s="317" t="str">
        <f t="shared" ca="1" si="8"/>
        <v>022 D 17 H</v>
      </c>
    </row>
    <row r="95" spans="1:14" ht="14.65" customHeight="1" x14ac:dyDescent="0.25">
      <c r="A95" s="31">
        <v>43688.018055555556</v>
      </c>
      <c r="B95" s="395">
        <v>178</v>
      </c>
      <c r="C95" s="395">
        <v>169427</v>
      </c>
      <c r="D95" s="413">
        <f t="shared" si="5"/>
        <v>6698063</v>
      </c>
      <c r="E95" s="399">
        <f>IF(ISBLANK(A95),"-",D95/PLAYER_EXP_MAX)</f>
        <v>0.58587968026909976</v>
      </c>
      <c r="F95" s="405">
        <f ca="1">IF(ISBLANK(A95),NA(),IFERROR(SLOPE(INDIRECT("D" &amp; MATCH(A95-$B$1,A:A,1)):D95, INDIRECT("A" &amp; MATCH(A95-$B$1,A:A,1)):A95),NA()))</f>
        <v>100511.6798993165</v>
      </c>
      <c r="G95" s="418">
        <f ca="1">IF(ISBLANK(A95),NA(),IFERROR(A95+(PLAYER_EXP_MAX-D95)/F95,NA()))</f>
        <v>43735.121297733407</v>
      </c>
      <c r="H95" s="317" t="str">
        <f ca="1">IF(ISBLANK(#REF!),NA(),IFERROR(TEXT(TRUNC(G95-NOW()),"000") &amp; " D " &amp; TEXT(TRUNC(ABS(G95-NOW()-TRUNC(G95-NOW()))*24),"00") &amp; " H", NA()))</f>
        <v>020 D 03 H</v>
      </c>
      <c r="I95" s="405">
        <f ca="1">IF(ISBLANK(A95),NA(),IFERROR(SLOPE(INDIRECT("D" &amp; MATCH(A95-$C$1,A:A,1)):D95, INDIRECT("A" &amp; MATCH(A95-$C$1,A:A,1)):A95),NA()))</f>
        <v>129187.02396924738</v>
      </c>
      <c r="J95" s="418">
        <f ca="1">IF(ISBLANK(A95),NA(),IFERROR(A95+(PLAYER_EXP_MAX-D95)/I95,NA()))</f>
        <v>43724.66590031996</v>
      </c>
      <c r="K95" s="317" t="str">
        <f t="shared" ca="1" si="6"/>
        <v>009 D 16 H</v>
      </c>
      <c r="L95" s="405">
        <f t="shared" si="7"/>
        <v>95640.68327684929</v>
      </c>
      <c r="M95" s="418">
        <f>IF(ISBLANK(A95),NA(),IFERROR(A95+(PLAYER_EXP_MAX-D95)/L95,NA()))</f>
        <v>43737.520274044473</v>
      </c>
      <c r="N95" s="317" t="str">
        <f t="shared" ca="1" si="8"/>
        <v>022 D 13 H</v>
      </c>
    </row>
    <row r="96" spans="1:14" ht="14.65" customHeight="1" x14ac:dyDescent="0.25">
      <c r="A96" s="31">
        <v>43688.25</v>
      </c>
      <c r="B96" s="395">
        <v>178</v>
      </c>
      <c r="C96" s="395">
        <v>127528</v>
      </c>
      <c r="D96" s="413">
        <f t="shared" si="5"/>
        <v>6739962</v>
      </c>
      <c r="E96" s="399">
        <f>IF(ISBLANK(A96),"-",D96/PLAYER_EXP_MAX)</f>
        <v>0.58954458648506025</v>
      </c>
      <c r="F96" s="405">
        <f ca="1">IF(ISBLANK(A96),NA(),IFERROR(SLOPE(INDIRECT("D" &amp; MATCH(A96-$B$1,A:A,1)):D96, INDIRECT("A" &amp; MATCH(A96-$B$1,A:A,1)):A96),NA()))</f>
        <v>96782.131661400039</v>
      </c>
      <c r="G96" s="418">
        <f ca="1">IF(ISBLANK(A96),NA(),IFERROR(A96+(PLAYER_EXP_MAX-D96)/F96,NA()))</f>
        <v>43736.735468541003</v>
      </c>
      <c r="H96" s="317" t="str">
        <f ca="1">IF(ISBLANK(#REF!),NA(),IFERROR(TEXT(TRUNC(G96-NOW()),"000") &amp; " D " &amp; TEXT(TRUNC(ABS(G96-NOW()-TRUNC(G96-NOW()))*24),"00") &amp; " H", NA()))</f>
        <v>021 D 18 H</v>
      </c>
      <c r="I96" s="405">
        <f ca="1">IF(ISBLANK(A96),NA(),IFERROR(SLOPE(INDIRECT("D" &amp; MATCH(A96-$C$1,A:A,1)):D96, INDIRECT("A" &amp; MATCH(A96-$C$1,A:A,1)):A96),NA()))</f>
        <v>128639.5508943906</v>
      </c>
      <c r="J96" s="418">
        <f ca="1">IF(ISBLANK(A96),NA(),IFERROR(A96+(PLAYER_EXP_MAX-D96)/I96,NA()))</f>
        <v>43724.728104652684</v>
      </c>
      <c r="K96" s="317" t="str">
        <f t="shared" ca="1" si="6"/>
        <v>009 D 18 H</v>
      </c>
      <c r="L96" s="405">
        <f t="shared" si="7"/>
        <v>96564.945795507607</v>
      </c>
      <c r="M96" s="418">
        <f>IF(ISBLANK(A96),NA(),IFERROR(A96+(PLAYER_EXP_MAX-D96)/L96,NA()))</f>
        <v>43736.844518034908</v>
      </c>
      <c r="N96" s="317" t="str">
        <f t="shared" ca="1" si="8"/>
        <v>021 D 21 H</v>
      </c>
    </row>
    <row r="97" spans="1:14" ht="14.65" customHeight="1" x14ac:dyDescent="0.25">
      <c r="A97" s="31">
        <v>43688.70694444445</v>
      </c>
      <c r="B97" s="395">
        <v>178</v>
      </c>
      <c r="C97" s="395">
        <v>50275</v>
      </c>
      <c r="D97" s="413">
        <f t="shared" si="5"/>
        <v>6817215</v>
      </c>
      <c r="E97" s="399">
        <f>IF(ISBLANK(A97),"-",D97/PLAYER_EXP_MAX)</f>
        <v>0.59630190765982805</v>
      </c>
      <c r="F97" s="405">
        <f ca="1">IF(ISBLANK(A97),NA(),IFERROR(SLOPE(INDIRECT("D" &amp; MATCH(A97-$B$1,A:A,1)):D97, INDIRECT("A" &amp; MATCH(A97-$B$1,A:A,1)):A97),NA()))</f>
        <v>127928.73769606929</v>
      </c>
      <c r="G97" s="418">
        <f ca="1">IF(ISBLANK(A97),NA(),IFERROR(A97+(PLAYER_EXP_MAX-D97)/F97,NA()))</f>
        <v>43724.783857912982</v>
      </c>
      <c r="H97" s="317" t="str">
        <f ca="1">IF(ISBLANK(#REF!),NA(),IFERROR(TEXT(TRUNC(G97-NOW()),"000") &amp; " D " &amp; TEXT(TRUNC(ABS(G97-NOW()-TRUNC(G97-NOW()))*24),"00") &amp; " H", NA()))</f>
        <v>009 D 19 H</v>
      </c>
      <c r="I97" s="405">
        <f ca="1">IF(ISBLANK(A97),NA(),IFERROR(SLOPE(INDIRECT("D" &amp; MATCH(A97-$C$1,A:A,1)):D97, INDIRECT("A" &amp; MATCH(A97-$C$1,A:A,1)):A97),NA()))</f>
        <v>127889.46416532971</v>
      </c>
      <c r="J97" s="418">
        <f ca="1">IF(ISBLANK(A97),NA(),IFERROR(A97+(PLAYER_EXP_MAX-D97)/I97,NA()))</f>
        <v>43724.794936759703</v>
      </c>
      <c r="K97" s="317" t="str">
        <f t="shared" ca="1" si="6"/>
        <v>009 D 20 H</v>
      </c>
      <c r="L97" s="405">
        <f t="shared" si="7"/>
        <v>98085.410677287204</v>
      </c>
      <c r="M97" s="418">
        <f>IF(ISBLANK(A97),NA(),IFERROR(A97+(PLAYER_EXP_MAX-D97)/L97,NA()))</f>
        <v>43735.760568098885</v>
      </c>
      <c r="N97" s="317" t="str">
        <f t="shared" ca="1" si="8"/>
        <v>020 D 19 H</v>
      </c>
    </row>
    <row r="98" spans="1:14" ht="14.65" customHeight="1" x14ac:dyDescent="0.25">
      <c r="A98" s="31">
        <v>43688.764583333337</v>
      </c>
      <c r="B98" s="395">
        <v>178</v>
      </c>
      <c r="C98" s="395">
        <v>39943</v>
      </c>
      <c r="D98" s="413">
        <f t="shared" si="5"/>
        <v>6827547</v>
      </c>
      <c r="E98" s="399">
        <f>IF(ISBLANK(A98),"-",D98/PLAYER_EXP_MAX)</f>
        <v>0.59720564786898112</v>
      </c>
      <c r="F98" s="405">
        <f ca="1">IF(ISBLANK(A98),NA(),IFERROR(SLOPE(INDIRECT("D" &amp; MATCH(A98-$B$1,A:A,1)):D98, INDIRECT("A" &amp; MATCH(A98-$B$1,A:A,1)):A98),NA()))</f>
        <v>137092.5175265171</v>
      </c>
      <c r="G98" s="418">
        <f ca="1">IF(ISBLANK(A98),NA(),IFERROR(A98+(PLAYER_EXP_MAX-D98)/F98,NA()))</f>
        <v>43722.35461496369</v>
      </c>
      <c r="H98" s="317" t="str">
        <f ca="1">IF(ISBLANK(#REF!),NA(),IFERROR(TEXT(TRUNC(G98-NOW()),"000") &amp; " D " &amp; TEXT(TRUNC(ABS(G98-NOW()-TRUNC(G98-NOW()))*24),"00") &amp; " H", NA()))</f>
        <v>007 D 09 H</v>
      </c>
      <c r="I98" s="405">
        <f ca="1">IF(ISBLANK(A98),NA(),IFERROR(SLOPE(INDIRECT("D" &amp; MATCH(A98-$C$1,A:A,1)):D98, INDIRECT("A" &amp; MATCH(A98-$C$1,A:A,1)):A98),NA()))</f>
        <v>127791.67816550874</v>
      </c>
      <c r="J98" s="418">
        <f ca="1">IF(ISBLANK(A98),NA(),IFERROR(A98+(PLAYER_EXP_MAX-D98)/I98,NA()))</f>
        <v>43724.799339790923</v>
      </c>
      <c r="K98" s="317" t="str">
        <f t="shared" ca="1" si="6"/>
        <v>009 D 20 H</v>
      </c>
      <c r="L98" s="405">
        <f t="shared" si="7"/>
        <v>98299.568949077133</v>
      </c>
      <c r="M98" s="418">
        <f>IF(ISBLANK(A98),NA(),IFERROR(A98+(PLAYER_EXP_MAX-D98)/L98,NA()))</f>
        <v>43735.610587331437</v>
      </c>
      <c r="N98" s="317" t="str">
        <f t="shared" ca="1" si="8"/>
        <v>020 D 15 H</v>
      </c>
    </row>
    <row r="99" spans="1:14" ht="14.65" customHeight="1" x14ac:dyDescent="0.25">
      <c r="A99" s="31">
        <v>43689.26666666667</v>
      </c>
      <c r="B99" s="395">
        <v>179</v>
      </c>
      <c r="C99" s="395">
        <v>147950</v>
      </c>
      <c r="D99" s="413">
        <f t="shared" si="5"/>
        <v>6895540</v>
      </c>
      <c r="E99" s="399">
        <f>IF(ISBLANK(A99),"-",D99/PLAYER_EXP_MAX)</f>
        <v>0.60315299669214639</v>
      </c>
      <c r="F99" s="405">
        <f ca="1">IF(ISBLANK(A99),NA(),IFERROR(SLOPE(INDIRECT("D" &amp; MATCH(A99-$B$1,A:A,1)):D99, INDIRECT("A" &amp; MATCH(A99-$B$1,A:A,1)):A99),NA()))</f>
        <v>152759.93635594673</v>
      </c>
      <c r="G99" s="418">
        <f ca="1">IF(ISBLANK(A99),NA(),IFERROR(A99+(PLAYER_EXP_MAX-D99)/F99,NA()))</f>
        <v>43718.966528477482</v>
      </c>
      <c r="H99" s="317" t="str">
        <f ca="1">IF(ISBLANK(#REF!),NA(),IFERROR(TEXT(TRUNC(G99-NOW()),"000") &amp; " D " &amp; TEXT(TRUNC(ABS(G99-NOW()-TRUNC(G99-NOW()))*24),"00") &amp; " H", NA()))</f>
        <v>004 D 00 H</v>
      </c>
      <c r="I99" s="405">
        <f ca="1">IF(ISBLANK(A99),NA(),IFERROR(SLOPE(INDIRECT("D" &amp; MATCH(A99-$C$1,A:A,1)):D99, INDIRECT("A" &amp; MATCH(A99-$C$1,A:A,1)):A99),NA()))</f>
        <v>127249.63399049053</v>
      </c>
      <c r="J99" s="418">
        <f ca="1">IF(ISBLANK(A99),NA(),IFERROR(A99+(PLAYER_EXP_MAX-D99)/I99,NA()))</f>
        <v>43724.920592400864</v>
      </c>
      <c r="K99" s="317" t="str">
        <f t="shared" ca="1" si="6"/>
        <v>009 D 23 H</v>
      </c>
      <c r="L99" s="405">
        <f t="shared" si="7"/>
        <v>99133.580684258981</v>
      </c>
      <c r="M99" s="418">
        <f>IF(ISBLANK(A99),NA(),IFERROR(A99+(PLAYER_EXP_MAX-D99)/L99,NA()))</f>
        <v>43735.032682265868</v>
      </c>
      <c r="N99" s="317" t="str">
        <f t="shared" ref="N99:N115" ca="1" si="9">IF(ISBLANK(D99),NA(),IFERROR(TEXT(TRUNC(M99-NOW()),"000") &amp; " D " &amp; TEXT(TRUNC(ABS(M99-NOW()-TRUNC(M99-NOW()))*24),"00") &amp; " H", NA()))</f>
        <v>020 D 01 H</v>
      </c>
    </row>
    <row r="100" spans="1:14" ht="14.65" customHeight="1" x14ac:dyDescent="0.25">
      <c r="A100" s="31">
        <v>43689.381944444445</v>
      </c>
      <c r="B100" s="395">
        <v>179</v>
      </c>
      <c r="C100" s="395">
        <v>131406</v>
      </c>
      <c r="D100" s="413">
        <f t="shared" si="5"/>
        <v>6912084</v>
      </c>
      <c r="E100" s="399">
        <f>IF(ISBLANK(A100),"-",D100/PLAYER_EXP_MAX)</f>
        <v>0.60460010064300085</v>
      </c>
      <c r="F100" s="405">
        <f ca="1">IF(ISBLANK(A100),NA(),IFERROR(SLOPE(INDIRECT("D" &amp; MATCH(A100-$B$1,A:A,1)):D100, INDIRECT("A" &amp; MATCH(A100-$B$1,A:A,1)):A100),NA()))</f>
        <v>149760.758775936</v>
      </c>
      <c r="G100" s="418">
        <f ca="1">IF(ISBLANK(A100),NA(),IFERROR(A100+(PLAYER_EXP_MAX-D100)/F100,NA()))</f>
        <v>43719.566119771465</v>
      </c>
      <c r="H100" s="317" t="str">
        <f ca="1">IF(ISBLANK(#REF!),NA(),IFERROR(TEXT(TRUNC(G100-NOW()),"000") &amp; " D " &amp; TEXT(TRUNC(ABS(G100-NOW()-TRUNC(G100-NOW()))*24),"00") &amp; " H", NA()))</f>
        <v>004 D 14 H</v>
      </c>
      <c r="I100" s="405">
        <f ca="1">IF(ISBLANK(A100),NA(),IFERROR(SLOPE(INDIRECT("D" &amp; MATCH(A100-$C$1,A:A,1)):D100, INDIRECT("A" &amp; MATCH(A100-$C$1,A:A,1)):A100),NA()))</f>
        <v>127286.40433505065</v>
      </c>
      <c r="J100" s="418">
        <f ca="1">IF(ISBLANK(A100),NA(),IFERROR(A100+(PLAYER_EXP_MAX-D100)/I100,NA()))</f>
        <v>43724.895595911112</v>
      </c>
      <c r="K100" s="317" t="str">
        <f t="shared" ca="1" si="6"/>
        <v>009 D 22 H</v>
      </c>
      <c r="L100" s="405">
        <f t="shared" si="7"/>
        <v>99361.335517992673</v>
      </c>
      <c r="M100" s="418">
        <f>IF(ISBLANK(A100),NA(),IFERROR(A100+(PLAYER_EXP_MAX-D100)/L100,NA()))</f>
        <v>43734.876552346344</v>
      </c>
      <c r="N100" s="317" t="str">
        <f t="shared" ca="1" si="9"/>
        <v>019 D 21 H</v>
      </c>
    </row>
    <row r="101" spans="1:14" ht="14.65" customHeight="1" x14ac:dyDescent="0.25">
      <c r="A101" s="31">
        <v>43689.458333333336</v>
      </c>
      <c r="B101" s="395">
        <v>179</v>
      </c>
      <c r="C101" s="395">
        <v>119981</v>
      </c>
      <c r="D101" s="413">
        <f t="shared" si="5"/>
        <v>6923509</v>
      </c>
      <c r="E101" s="399">
        <f>IF(ISBLANK(A101),"-",D101/PLAYER_EXP_MAX)</f>
        <v>0.60559944558004819</v>
      </c>
      <c r="F101" s="405">
        <f ca="1">IF(ISBLANK(A101),NA(),IFERROR(SLOPE(INDIRECT("D" &amp; MATCH(A101-$B$1,A:A,1)):D101, INDIRECT("A" &amp; MATCH(A101-$B$1,A:A,1)):A101),NA()))</f>
        <v>148694.06008254565</v>
      </c>
      <c r="G101" s="418">
        <f ca="1">IF(ISBLANK(A101),NA(),IFERROR(A101+(PLAYER_EXP_MAX-D101)/F101,NA()))</f>
        <v>43719.782207720091</v>
      </c>
      <c r="H101" s="317" t="str">
        <f ca="1">IF(ISBLANK(#REF!),NA(),IFERROR(TEXT(TRUNC(G101-NOW()),"000") &amp; " D " &amp; TEXT(TRUNC(ABS(G101-NOW()-TRUNC(G101-NOW()))*24),"00") &amp; " H", NA()))</f>
        <v>004 D 19 H</v>
      </c>
      <c r="I101" s="405">
        <f ca="1">IF(ISBLANK(A101),NA(),IFERROR(SLOPE(INDIRECT("D" &amp; MATCH(A101-$C$1,A:A,1)):D101, INDIRECT("A" &amp; MATCH(A101-$C$1,A:A,1)):A101),NA()))</f>
        <v>127531.84591762052</v>
      </c>
      <c r="J101" s="418">
        <f ca="1">IF(ISBLANK(A101),NA(),IFERROR(A101+(PLAYER_EXP_MAX-D101)/I101,NA()))</f>
        <v>43724.814051487941</v>
      </c>
      <c r="K101" s="317" t="str">
        <f t="shared" ca="1" si="6"/>
        <v>009 D 20 H</v>
      </c>
      <c r="L101" s="405">
        <f t="shared" si="7"/>
        <v>99531.476106857634</v>
      </c>
      <c r="M101" s="418">
        <f>IF(ISBLANK(A101),NA(),IFERROR(A101+(PLAYER_EXP_MAX-D101)/L101,NA()))</f>
        <v>43734.760384266039</v>
      </c>
      <c r="N101" s="317" t="str">
        <f t="shared" ca="1" si="9"/>
        <v>019 D 19 H</v>
      </c>
    </row>
    <row r="102" spans="1:14" ht="14.65" customHeight="1" x14ac:dyDescent="0.25">
      <c r="A102" s="31">
        <v>43689.56527777778</v>
      </c>
      <c r="B102" s="395">
        <v>179</v>
      </c>
      <c r="C102" s="395">
        <v>100465</v>
      </c>
      <c r="D102" s="413">
        <f t="shared" si="5"/>
        <v>6943025</v>
      </c>
      <c r="E102" s="399">
        <f>IF(ISBLANK(A102),"-",D102/PLAYER_EXP_MAX)</f>
        <v>0.60730651041955952</v>
      </c>
      <c r="F102" s="405">
        <f ca="1">IF(ISBLANK(A102),NA(),IFERROR(SLOPE(INDIRECT("D" &amp; MATCH(A102-$B$1,A:A,1)):D102, INDIRECT("A" &amp; MATCH(A102-$B$1,A:A,1)):A102),NA()))</f>
        <v>149434.60540313675</v>
      </c>
      <c r="G102" s="418">
        <f ca="1">IF(ISBLANK(A102),NA(),IFERROR(A102+(PLAYER_EXP_MAX-D102)/F102,NA()))</f>
        <v>43719.608278780717</v>
      </c>
      <c r="H102" s="317" t="str">
        <f ca="1">IF(ISBLANK(#REF!),NA(),IFERROR(TEXT(TRUNC(G102-NOW()),"000") &amp; " D " &amp; TEXT(TRUNC(ABS(G102-NOW()-TRUNC(G102-NOW()))*24),"00") &amp; " H", NA()))</f>
        <v>004 D 15 H</v>
      </c>
      <c r="I102" s="405">
        <f ca="1">IF(ISBLANK(A102),NA(),IFERROR(SLOPE(INDIRECT("D" &amp; MATCH(A102-$C$1,A:A,1)):D102, INDIRECT("A" &amp; MATCH(A102-$C$1,A:A,1)):A102),NA()))</f>
        <v>127760.23676475137</v>
      </c>
      <c r="J102" s="418">
        <f ca="1">IF(ISBLANK(A102),NA(),IFERROR(A102+(PLAYER_EXP_MAX-D102)/I102,NA()))</f>
        <v>43724.705037328058</v>
      </c>
      <c r="K102" s="317" t="str">
        <f t="shared" ca="1" si="6"/>
        <v>009 D 17 H</v>
      </c>
      <c r="L102" s="405">
        <f t="shared" si="7"/>
        <v>99923.22099906081</v>
      </c>
      <c r="M102" s="418">
        <f>IF(ISBLANK(A102),NA(),IFERROR(A102+(PLAYER_EXP_MAX-D102)/L102,NA()))</f>
        <v>43734.494413919638</v>
      </c>
      <c r="N102" s="317" t="str">
        <f t="shared" ca="1" si="9"/>
        <v>019 D 12 H</v>
      </c>
    </row>
    <row r="103" spans="1:14" ht="14.65" customHeight="1" x14ac:dyDescent="0.25">
      <c r="A103" s="31">
        <v>43689.613888888889</v>
      </c>
      <c r="B103" s="395">
        <v>179</v>
      </c>
      <c r="C103" s="395">
        <v>92577</v>
      </c>
      <c r="D103" s="413">
        <f t="shared" si="5"/>
        <v>6950913</v>
      </c>
      <c r="E103" s="399">
        <f>IF(ISBLANK(A103),"-",D103/PLAYER_EXP_MAX)</f>
        <v>0.60799647390870004</v>
      </c>
      <c r="F103" s="405">
        <f ca="1">IF(ISBLANK(A103),NA(),IFERROR(SLOPE(INDIRECT("D" &amp; MATCH(A103-$B$1,A:A,1)):D103, INDIRECT("A" &amp; MATCH(A103-$B$1,A:A,1)):A103),NA()))</f>
        <v>150016.52940733664</v>
      </c>
      <c r="G103" s="418">
        <f ca="1">IF(ISBLANK(A103),NA(),IFERROR(A103+(PLAYER_EXP_MAX-D103)/F103,NA()))</f>
        <v>43719.487770238535</v>
      </c>
      <c r="H103" s="317" t="str">
        <f ca="1">IF(ISBLANK(#REF!),NA(),IFERROR(TEXT(TRUNC(G103-NOW()),"000") &amp; " D " &amp; TEXT(TRUNC(ABS(G103-NOW()-TRUNC(G103-NOW()))*24),"00") &amp; " H", NA()))</f>
        <v>004 D 12 H</v>
      </c>
      <c r="I103" s="405">
        <f ca="1">IF(ISBLANK(A103),NA(),IFERROR(SLOPE(INDIRECT("D" &amp; MATCH(A103-$C$1,A:A,1)):D103, INDIRECT("A" &amp; MATCH(A103-$C$1,A:A,1)):A103),NA()))</f>
        <v>128043.01588278852</v>
      </c>
      <c r="J103" s="418">
        <f ca="1">IF(ISBLANK(A103),NA(),IFERROR(A103+(PLAYER_EXP_MAX-D103)/I103,NA()))</f>
        <v>43724.61443904855</v>
      </c>
      <c r="K103" s="317" t="str">
        <f t="shared" ca="1" si="6"/>
        <v>009 D 15 H</v>
      </c>
      <c r="L103" s="405">
        <f t="shared" si="7"/>
        <v>100056.75713719304</v>
      </c>
      <c r="M103" s="418">
        <f>IF(ISBLANK(A103),NA(),IFERROR(A103+(PLAYER_EXP_MAX-D103)/L103,NA()))</f>
        <v>43734.404227175139</v>
      </c>
      <c r="N103" s="317" t="str">
        <f t="shared" ca="1" si="9"/>
        <v>019 D 10 H</v>
      </c>
    </row>
    <row r="104" spans="1:14" ht="14.65" customHeight="1" x14ac:dyDescent="0.25">
      <c r="A104" s="31">
        <v>43690.145138888889</v>
      </c>
      <c r="B104" s="395">
        <v>179</v>
      </c>
      <c r="C104" s="395">
        <v>78291</v>
      </c>
      <c r="D104" s="413">
        <f t="shared" si="5"/>
        <v>6965199</v>
      </c>
      <c r="E104" s="399">
        <f>IF(ISBLANK(A104),"-",D104/PLAYER_EXP_MAX)</f>
        <v>0.60924607056258706</v>
      </c>
      <c r="F104" s="405">
        <f ca="1">IF(ISBLANK(A104),NA(),IFERROR(SLOPE(INDIRECT("D" &amp; MATCH(A104-$B$1,A:A,1)):D104, INDIRECT("A" &amp; MATCH(A104-$B$1,A:A,1)):A104),NA()))</f>
        <v>104450.32604490203</v>
      </c>
      <c r="G104" s="418">
        <f ca="1">IF(ISBLANK(A104),NA(),IFERROR(A104+(PLAYER_EXP_MAX-D104)/F104,NA()))</f>
        <v>43732.914655932611</v>
      </c>
      <c r="H104" s="317" t="str">
        <f ca="1">IF(ISBLANK(#REF!),NA(),IFERROR(TEXT(TRUNC(G104-NOW()),"000") &amp; " D " &amp; TEXT(TRUNC(ABS(G104-NOW()-TRUNC(G104-NOW()))*24),"00") &amp; " H", NA()))</f>
        <v>017 D 22 H</v>
      </c>
      <c r="I104" s="405">
        <f ca="1">IF(ISBLANK(A104),NA(),IFERROR(SLOPE(INDIRECT("D" &amp; MATCH(A104-$C$1,A:A,1)):D104, INDIRECT("A" &amp; MATCH(A104-$C$1,A:A,1)):A104),NA()))</f>
        <v>126163.4417878747</v>
      </c>
      <c r="J104" s="418">
        <f ca="1">IF(ISBLANK(A104),NA(),IFERROR(A104+(PLAYER_EXP_MAX-D104)/I104,NA()))</f>
        <v>43725.553890716626</v>
      </c>
      <c r="K104" s="317" t="str">
        <f t="shared" ca="1" si="6"/>
        <v>010 D 14 H</v>
      </c>
      <c r="L104" s="405">
        <f t="shared" si="7"/>
        <v>98383.266160395724</v>
      </c>
      <c r="M104" s="418">
        <f>IF(ISBLANK(A104),NA(),IFERROR(A104+(PLAYER_EXP_MAX-D104)/L104,NA()))</f>
        <v>43735.552149393268</v>
      </c>
      <c r="N104" s="317" t="str">
        <f t="shared" ca="1" si="9"/>
        <v>020 D 14 H</v>
      </c>
    </row>
    <row r="105" spans="1:14" ht="14.65" customHeight="1" x14ac:dyDescent="0.25">
      <c r="A105" s="31">
        <v>43690.409722222226</v>
      </c>
      <c r="B105" s="395">
        <v>179</v>
      </c>
      <c r="C105" s="395">
        <v>49127</v>
      </c>
      <c r="D105" s="413">
        <f t="shared" si="5"/>
        <v>6994363</v>
      </c>
      <c r="E105" s="399">
        <f>IF(ISBLANK(A105),"-",D105/PLAYER_EXP_MAX)</f>
        <v>0.61179704612005315</v>
      </c>
      <c r="F105" s="405">
        <f ca="1">IF(ISBLANK(A105),NA(),IFERROR(SLOPE(INDIRECT("D" &amp; MATCH(A105-$B$1,A:A,1)):D105, INDIRECT("A" &amp; MATCH(A105-$B$1,A:A,1)):A105),NA()))</f>
        <v>67452.378943727643</v>
      </c>
      <c r="G105" s="418">
        <f ca="1">IF(ISBLANK(A105),NA(),IFERROR(A105+(PLAYER_EXP_MAX-D105)/F105,NA()))</f>
        <v>43756.206156232394</v>
      </c>
      <c r="H105" s="317" t="str">
        <f ca="1">IF(ISBLANK(#REF!),NA(),IFERROR(TEXT(TRUNC(G105-NOW()),"000") &amp; " D " &amp; TEXT(TRUNC(ABS(G105-NOW()-TRUNC(G105-NOW()))*24),"00") &amp; " H", NA()))</f>
        <v>041 D 05 H</v>
      </c>
      <c r="I105" s="405">
        <f ca="1">IF(ISBLANK(A105),NA(),IFERROR(SLOPE(INDIRECT("D" &amp; MATCH(A105-$C$1,A:A,1)):D105, INDIRECT("A" &amp; MATCH(A105-$C$1,A:A,1)):A105),NA()))</f>
        <v>123706.54314921932</v>
      </c>
      <c r="J105" s="418">
        <f ca="1">IF(ISBLANK(A105),NA(),IFERROR(A105+(PLAYER_EXP_MAX-D105)/I105,NA()))</f>
        <v>43726.28596520031</v>
      </c>
      <c r="K105" s="317" t="str">
        <f t="shared" ca="1" si="6"/>
        <v>011 D 07 H</v>
      </c>
      <c r="L105" s="405">
        <f t="shared" si="7"/>
        <v>98516.654743253792</v>
      </c>
      <c r="M105" s="418">
        <f>IF(ISBLANK(A105),NA(),IFERROR(A105+(PLAYER_EXP_MAX-D105)/L105,NA()))</f>
        <v>43735.459221837962</v>
      </c>
      <c r="N105" s="317" t="str">
        <f t="shared" ca="1" si="9"/>
        <v>020 D 11 H</v>
      </c>
    </row>
    <row r="106" spans="1:14" ht="14.65" customHeight="1" x14ac:dyDescent="0.25">
      <c r="A106" s="31">
        <v>43690.547222222223</v>
      </c>
      <c r="B106" s="395">
        <v>179</v>
      </c>
      <c r="C106" s="395">
        <v>25420</v>
      </c>
      <c r="D106" s="413">
        <f t="shared" si="5"/>
        <v>7018070</v>
      </c>
      <c r="E106" s="399">
        <f>IF(ISBLANK(A106),"-",D106/PLAYER_EXP_MAX)</f>
        <v>0.61387069779817849</v>
      </c>
      <c r="F106" s="405">
        <f ca="1">IF(ISBLANK(A106),NA(),IFERROR(SLOPE(INDIRECT("D" &amp; MATCH(A106-$B$1,A:A,1)):D106, INDIRECT("A" &amp; MATCH(A106-$B$1,A:A,1)):A106),NA()))</f>
        <v>71072.294190646076</v>
      </c>
      <c r="G106" s="418">
        <f ca="1">IF(ISBLANK(A106),NA(),IFERROR(A106+(PLAYER_EXP_MAX-D106)/F106,NA()))</f>
        <v>43752.658893869666</v>
      </c>
      <c r="H106" s="317" t="str">
        <f ca="1">IF(ISBLANK(#REF!),NA(),IFERROR(TEXT(TRUNC(G106-NOW()),"000") &amp; " D " &amp; TEXT(TRUNC(ABS(G106-NOW()-TRUNC(G106-NOW()))*24),"00") &amp; " H", NA()))</f>
        <v>037 D 16 H</v>
      </c>
      <c r="I106" s="405">
        <f ca="1">IF(ISBLANK(A106),NA(),IFERROR(SLOPE(INDIRECT("D" &amp; MATCH(A106-$C$1,A:A,1)):D106, INDIRECT("A" &amp; MATCH(A106-$C$1,A:A,1)):A106),NA()))</f>
        <v>122782.40069116873</v>
      </c>
      <c r="J106" s="418">
        <f ca="1">IF(ISBLANK(A106),NA(),IFERROR(A106+(PLAYER_EXP_MAX-D106)/I106,NA()))</f>
        <v>43726.500412379362</v>
      </c>
      <c r="K106" s="317" t="str">
        <f t="shared" ca="1" si="6"/>
        <v>011 D 12 H</v>
      </c>
      <c r="L106" s="405">
        <f t="shared" si="7"/>
        <v>98946.685084510231</v>
      </c>
      <c r="M106" s="418">
        <f>IF(ISBLANK(A106),NA(),IFERROR(A106+(PLAYER_EXP_MAX-D106)/L106,NA()))</f>
        <v>43735.161339372586</v>
      </c>
      <c r="N106" s="317" t="str">
        <f t="shared" ca="1" si="9"/>
        <v>020 D 04 H</v>
      </c>
    </row>
    <row r="107" spans="1:14" ht="14.65" customHeight="1" x14ac:dyDescent="0.25">
      <c r="A107" s="31">
        <v>43690.630555555559</v>
      </c>
      <c r="B107" s="395">
        <v>179</v>
      </c>
      <c r="C107" s="395">
        <v>12788</v>
      </c>
      <c r="D107" s="413">
        <f t="shared" si="5"/>
        <v>7030702</v>
      </c>
      <c r="E107" s="399">
        <f>IF(ISBLANK(A107),"-",D107/PLAYER_EXP_MAX)</f>
        <v>0.61497561904498665</v>
      </c>
      <c r="F107" s="405">
        <f ca="1">IF(ISBLANK(A107),NA(),IFERROR(SLOPE(INDIRECT("D" &amp; MATCH(A107-$B$1,A:A,1)):D107, INDIRECT("A" &amp; MATCH(A107-$B$1,A:A,1)):A107),NA()))</f>
        <v>77054.819067857403</v>
      </c>
      <c r="G107" s="418">
        <f ca="1">IF(ISBLANK(A107),NA(),IFERROR(A107+(PLAYER_EXP_MAX-D107)/F107,NA()))</f>
        <v>43747.755950868261</v>
      </c>
      <c r="H107" s="317" t="str">
        <f ca="1">IF(ISBLANK(#REF!),NA(),IFERROR(TEXT(TRUNC(G107-NOW()),"000") &amp; " D " &amp; TEXT(TRUNC(ABS(G107-NOW()-TRUNC(G107-NOW()))*24),"00") &amp; " H", NA()))</f>
        <v>032 D 19 H</v>
      </c>
      <c r="I107" s="405">
        <f ca="1">IF(ISBLANK(A107),NA(),IFERROR(SLOPE(INDIRECT("D" &amp; MATCH(A107-$C$1,A:A,1)):D107, INDIRECT("A" &amp; MATCH(A107-$C$1,A:A,1)):A107),NA()))</f>
        <v>122440.22467015345</v>
      </c>
      <c r="J107" s="418">
        <f ca="1">IF(ISBLANK(A107),NA(),IFERROR(A107+(PLAYER_EXP_MAX-D107)/I107,NA()))</f>
        <v>43726.581053129848</v>
      </c>
      <c r="K107" s="317" t="str">
        <f t="shared" ca="1" si="6"/>
        <v>011 D 14 H</v>
      </c>
      <c r="L107" s="405">
        <f t="shared" si="7"/>
        <v>99131.67491580364</v>
      </c>
      <c r="M107" s="418">
        <f>IF(ISBLANK(A107),NA(),IFERROR(A107+(PLAYER_EXP_MAX-D107)/L107,NA()))</f>
        <v>43735.03399173011</v>
      </c>
      <c r="N107" s="317" t="str">
        <f t="shared" ca="1" si="9"/>
        <v>020 D 01 H</v>
      </c>
    </row>
    <row r="108" spans="1:14" ht="14.65" customHeight="1" x14ac:dyDescent="0.25">
      <c r="A108" s="31">
        <v>43691.04791666667</v>
      </c>
      <c r="B108" s="395">
        <v>180</v>
      </c>
      <c r="C108" s="395">
        <v>144540</v>
      </c>
      <c r="D108" s="413">
        <f t="shared" si="5"/>
        <v>7077950</v>
      </c>
      <c r="E108" s="399">
        <f>IF(ISBLANK(A108),"-",D108/PLAYER_EXP_MAX)</f>
        <v>0.61910840237851972</v>
      </c>
      <c r="F108" s="405">
        <f ca="1">IF(ISBLANK(A108),NA(),IFERROR(SLOPE(INDIRECT("D" &amp; MATCH(A108-$B$1,A:A,1)):D108, INDIRECT("A" &amp; MATCH(A108-$B$1,A:A,1)):A108),NA()))</f>
        <v>91437.770573233953</v>
      </c>
      <c r="G108" s="418">
        <f ca="1">IF(ISBLANK(A108),NA(),IFERROR(A108+(PLAYER_EXP_MAX-D108)/F108,NA()))</f>
        <v>43738.670895362462</v>
      </c>
      <c r="H108" s="317" t="str">
        <f ca="1">IF(ISBLANK(#REF!),NA(),IFERROR(TEXT(TRUNC(G108-NOW()),"000") &amp; " D " &amp; TEXT(TRUNC(ABS(G108-NOW()-TRUNC(G108-NOW()))*24),"00") &amp; " H", NA()))</f>
        <v>023 D 17 H</v>
      </c>
      <c r="I108" s="405">
        <f ca="1">IF(ISBLANK(A108),NA(),IFERROR(SLOPE(INDIRECT("D" &amp; MATCH(A108-$C$1,A:A,1)):D108, INDIRECT("A" &amp; MATCH(A108-$C$1,A:A,1)):A108),NA()))</f>
        <v>121672.94879639958</v>
      </c>
      <c r="J108" s="418">
        <f ca="1">IF(ISBLANK(A108),NA(),IFERROR(A108+(PLAYER_EXP_MAX-D108)/I108,NA()))</f>
        <v>43726.836800252342</v>
      </c>
      <c r="K108" s="317" t="str">
        <f t="shared" ca="1" si="6"/>
        <v>011 D 21 H</v>
      </c>
      <c r="L108" s="405">
        <f t="shared" si="7"/>
        <v>99375.126921088435</v>
      </c>
      <c r="M108" s="418">
        <f>IF(ISBLANK(A108),NA(),IFERROR(A108+(PLAYER_EXP_MAX-D108)/L108,NA()))</f>
        <v>43734.867121078431</v>
      </c>
      <c r="N108" s="317" t="str">
        <f t="shared" ca="1" si="9"/>
        <v>019 D 21 H</v>
      </c>
    </row>
    <row r="109" spans="1:14" ht="14.65" customHeight="1" x14ac:dyDescent="0.25">
      <c r="A109" s="31">
        <v>43691.166666666672</v>
      </c>
      <c r="B109" s="395">
        <v>180</v>
      </c>
      <c r="C109" s="395">
        <v>123938</v>
      </c>
      <c r="D109" s="413">
        <f t="shared" si="5"/>
        <v>7098552</v>
      </c>
      <c r="E109" s="399">
        <f>IF(ISBLANK(A109),"-",D109/PLAYER_EXP_MAX)</f>
        <v>0.62091045965581071</v>
      </c>
      <c r="F109" s="405">
        <f ca="1">IF(ISBLANK(A109),NA(),IFERROR(SLOPE(INDIRECT("D" &amp; MATCH(A109-$B$1,A:A,1)):D109, INDIRECT("A" &amp; MATCH(A109-$B$1,A:A,1)):A109),NA()))</f>
        <v>129532.7173700898</v>
      </c>
      <c r="G109" s="418">
        <f ca="1">IF(ISBLANK(A109),NA(),IFERROR(A109+(PLAYER_EXP_MAX-D109)/F109,NA()))</f>
        <v>43724.624908630496</v>
      </c>
      <c r="H109" s="317" t="str">
        <f ca="1">IF(ISBLANK(#REF!),NA(),IFERROR(TEXT(TRUNC(G109-NOW()),"000") &amp; " D " &amp; TEXT(TRUNC(ABS(G109-NOW()-TRUNC(G109-NOW()))*24),"00") &amp; " H", NA()))</f>
        <v>009 D 15 H</v>
      </c>
      <c r="I109" s="405">
        <f ca="1">IF(ISBLANK(A109),NA(),IFERROR(SLOPE(INDIRECT("D" &amp; MATCH(A109-$C$1,A:A,1)):D109, INDIRECT("A" &amp; MATCH(A109-$C$1,A:A,1)):A109),NA()))</f>
        <v>121077.92992138737</v>
      </c>
      <c r="J109" s="418">
        <f ca="1">IF(ISBLANK(A109),NA(),IFERROR(A109+(PLAYER_EXP_MAX-D109)/I109,NA()))</f>
        <v>43726.961274344671</v>
      </c>
      <c r="K109" s="317" t="str">
        <f t="shared" ca="1" si="6"/>
        <v>012 D 00 H</v>
      </c>
      <c r="L109" s="405">
        <f t="shared" si="7"/>
        <v>99738.094337999544</v>
      </c>
      <c r="M109" s="418">
        <f>IF(ISBLANK(A109),NA(),IFERROR(A109+(PLAYER_EXP_MAX-D109)/L109,NA()))</f>
        <v>43734.619842995795</v>
      </c>
      <c r="N109" s="317" t="str">
        <f t="shared" ca="1" si="9"/>
        <v>019 D 15 H</v>
      </c>
    </row>
    <row r="110" spans="1:14" ht="14.65" customHeight="1" x14ac:dyDescent="0.25">
      <c r="A110" s="31">
        <v>43691.233333333337</v>
      </c>
      <c r="B110" s="395">
        <v>180</v>
      </c>
      <c r="C110" s="395">
        <v>112745</v>
      </c>
      <c r="D110" s="413">
        <f t="shared" si="5"/>
        <v>7109745</v>
      </c>
      <c r="E110" s="399">
        <f>IF(ISBLANK(A110),"-",D110/PLAYER_EXP_MAX)</f>
        <v>0.62188951154905991</v>
      </c>
      <c r="F110" s="405">
        <f ca="1">IF(ISBLANK(A110),NA(),IFERROR(SLOPE(INDIRECT("D" &amp; MATCH(A110-$B$1,A:A,1)):D110, INDIRECT("A" &amp; MATCH(A110-$B$1,A:A,1)):A110),NA()))</f>
        <v>131633.99751781696</v>
      </c>
      <c r="G110" s="418">
        <f ca="1">IF(ISBLANK(A110),NA(),IFERROR(A110+(PLAYER_EXP_MAX-D110)/F110,NA()))</f>
        <v>43724.072448467065</v>
      </c>
      <c r="H110" s="317" t="str">
        <f ca="1">IF(ISBLANK(#REF!),NA(),IFERROR(TEXT(TRUNC(G110-NOW()),"000") &amp; " D " &amp; TEXT(TRUNC(ABS(G110-NOW()-TRUNC(G110-NOW()))*24),"00") &amp; " H", NA()))</f>
        <v>009 D 02 H</v>
      </c>
      <c r="I110" s="405">
        <f ca="1">IF(ISBLANK(A110),NA(),IFERROR(SLOPE(INDIRECT("D" &amp; MATCH(A110-$C$1,A:A,1)):D110, INDIRECT("A" &amp; MATCH(A110-$C$1,A:A,1)):A110),NA()))</f>
        <v>121000.63916190818</v>
      </c>
      <c r="J110" s="418">
        <f ca="1">IF(ISBLANK(A110),NA(),IFERROR(A110+(PLAYER_EXP_MAX-D110)/I110,NA()))</f>
        <v>43726.958301647064</v>
      </c>
      <c r="K110" s="317" t="str">
        <f t="shared" ca="1" si="6"/>
        <v>011 D 23 H</v>
      </c>
      <c r="L110" s="405">
        <f t="shared" si="7"/>
        <v>99924.969582728416</v>
      </c>
      <c r="M110" s="418">
        <f>IF(ISBLANK(A110),NA(),IFERROR(A110+(PLAYER_EXP_MAX-D110)/L110,NA()))</f>
        <v>43734.493231415378</v>
      </c>
      <c r="N110" s="317" t="str">
        <f t="shared" ca="1" si="9"/>
        <v>019 D 12 H</v>
      </c>
    </row>
    <row r="111" spans="1:14" ht="14.65" customHeight="1" x14ac:dyDescent="0.25">
      <c r="A111" s="31">
        <v>43691.299305555556</v>
      </c>
      <c r="B111" s="395">
        <v>180</v>
      </c>
      <c r="C111" s="395">
        <v>102987</v>
      </c>
      <c r="D111" s="413">
        <f t="shared" si="5"/>
        <v>7119503</v>
      </c>
      <c r="E111" s="399">
        <f>IF(ISBLANK(A111),"-",D111/PLAYER_EXP_MAX)</f>
        <v>0.62274304396881552</v>
      </c>
      <c r="F111" s="405">
        <f ca="1">IF(ISBLANK(A111),NA(),IFERROR(SLOPE(INDIRECT("D" &amp; MATCH(A111-$B$1,A:A,1)):D111, INDIRECT("A" &amp; MATCH(A111-$B$1,A:A,1)):A111),NA()))</f>
        <v>133060.35250265643</v>
      </c>
      <c r="G111" s="418">
        <f ca="1">IF(ISBLANK(A111),NA(),IFERROR(A111+(PLAYER_EXP_MAX-D111)/F111,NA()))</f>
        <v>43723.713063063929</v>
      </c>
      <c r="H111" s="317" t="str">
        <f ca="1">IF(ISBLANK(#REF!),NA(),IFERROR(TEXT(TRUNC(G111-NOW()),"000") &amp; " D " &amp; TEXT(TRUNC(ABS(G111-NOW()-TRUNC(G111-NOW()))*24),"00") &amp; " H", NA()))</f>
        <v>008 D 18 H</v>
      </c>
      <c r="I111" s="405">
        <f ca="1">IF(ISBLANK(A111),NA(),IFERROR(SLOPE(INDIRECT("D" &amp; MATCH(A111-$C$1,A:A,1)):D111, INDIRECT("A" &amp; MATCH(A111-$C$1,A:A,1)):A111),NA()))</f>
        <v>120859.86912066284</v>
      </c>
      <c r="J111" s="418">
        <f ca="1">IF(ISBLANK(A111),NA(),IFERROR(A111+(PLAYER_EXP_MAX-D111)/I111,NA()))</f>
        <v>43726.985145953862</v>
      </c>
      <c r="K111" s="317" t="str">
        <f t="shared" ca="1" si="6"/>
        <v>012 D 00 H</v>
      </c>
      <c r="L111" s="405">
        <f t="shared" si="7"/>
        <v>100054.81599636938</v>
      </c>
      <c r="M111" s="418">
        <f>IF(ISBLANK(A111),NA(),IFERROR(A111+(PLAYER_EXP_MAX-D111)/L111,NA()))</f>
        <v>43734.4055364456</v>
      </c>
      <c r="N111" s="317" t="str">
        <f t="shared" ca="1" si="9"/>
        <v>019 D 10 H</v>
      </c>
    </row>
    <row r="112" spans="1:14" ht="14.65" customHeight="1" x14ac:dyDescent="0.25">
      <c r="A112" s="31">
        <v>43691.458333333336</v>
      </c>
      <c r="B112" s="395">
        <v>180</v>
      </c>
      <c r="C112" s="395">
        <v>74861</v>
      </c>
      <c r="D112" s="413">
        <f t="shared" si="5"/>
        <v>7147629</v>
      </c>
      <c r="E112" s="399">
        <f>IF(ISBLANK(A112),"-",D112/PLAYER_EXP_MAX)</f>
        <v>0.62520322564928776</v>
      </c>
      <c r="F112" s="405">
        <f ca="1">IF(ISBLANK(A112),NA(),IFERROR(SLOPE(INDIRECT("D" &amp; MATCH(A112-$B$1,A:A,1)):D112, INDIRECT("A" &amp; MATCH(A112-$B$1,A:A,1)):A112),NA()))</f>
        <v>138885.10331117013</v>
      </c>
      <c r="G112" s="418">
        <f ca="1">IF(ISBLANK(A112),NA(),IFERROR(A112+(PLAYER_EXP_MAX-D112)/F112,NA()))</f>
        <v>43722.310166235817</v>
      </c>
      <c r="H112" s="317" t="str">
        <f ca="1">IF(ISBLANK(#REF!),NA(),IFERROR(TEXT(TRUNC(G112-NOW()),"000") &amp; " D " &amp; TEXT(TRUNC(ABS(G112-NOW()-TRUNC(G112-NOW()))*24),"00") &amp; " H", NA()))</f>
        <v>007 D 08 H</v>
      </c>
      <c r="I112" s="405">
        <f ca="1">IF(ISBLANK(A112),NA(),IFERROR(SLOPE(INDIRECT("D" &amp; MATCH(A112-$C$1,A:A,1)):D112, INDIRECT("A" &amp; MATCH(A112-$C$1,A:A,1)):A112),NA()))</f>
        <v>120993.24754661811</v>
      </c>
      <c r="J112" s="418">
        <f ca="1">IF(ISBLANK(A112),NA(),IFERROR(A112+(PLAYER_EXP_MAX-D112)/I112,NA()))</f>
        <v>43726.872375743835</v>
      </c>
      <c r="K112" s="317" t="str">
        <f t="shared" ca="1" si="6"/>
        <v>011 D 21 H</v>
      </c>
      <c r="L112" s="405">
        <f t="shared" si="7"/>
        <v>100552.56303591932</v>
      </c>
      <c r="M112" s="418">
        <f>IF(ISBLANK(A112),NA(),IFERROR(A112+(PLAYER_EXP_MAX-D112)/L112,NA()))</f>
        <v>43734.07146889776</v>
      </c>
      <c r="N112" s="317" t="str">
        <f t="shared" ca="1" si="9"/>
        <v>019 D 02 H</v>
      </c>
    </row>
    <row r="113" spans="1:14" ht="14.65" customHeight="1" x14ac:dyDescent="0.25">
      <c r="A113" s="31">
        <v>43691.592361111114</v>
      </c>
      <c r="B113" s="395">
        <v>180</v>
      </c>
      <c r="C113" s="395">
        <v>54345</v>
      </c>
      <c r="D113" s="413">
        <f t="shared" si="5"/>
        <v>7168145</v>
      </c>
      <c r="E113" s="399">
        <f>IF(ISBLANK(A113),"-",D113/PLAYER_EXP_MAX)</f>
        <v>0.62699776050517086</v>
      </c>
      <c r="F113" s="405">
        <f ca="1">IF(ISBLANK(A113),NA(),IFERROR(SLOPE(INDIRECT("D" &amp; MATCH(A113-$B$1,A:A,1)):D113, INDIRECT("A" &amp; MATCH(A113-$B$1,A:A,1)):A113),NA()))</f>
        <v>141327.88112919315</v>
      </c>
      <c r="G113" s="418">
        <f ca="1">IF(ISBLANK(A113),NA(),IFERROR(A113+(PLAYER_EXP_MAX-D113)/F113,NA()))</f>
        <v>43721.765770391212</v>
      </c>
      <c r="H113" s="317" t="str">
        <f ca="1">IF(ISBLANK(#REF!),NA(),IFERROR(TEXT(TRUNC(G113-NOW()),"000") &amp; " D " &amp; TEXT(TRUNC(ABS(G113-NOW()-TRUNC(G113-NOW()))*24),"00") &amp; " H", NA()))</f>
        <v>006 D 19 H</v>
      </c>
      <c r="I113" s="405">
        <f ca="1">IF(ISBLANK(A113),NA(),IFERROR(SLOPE(INDIRECT("D" &amp; MATCH(A113-$C$1,A:A,1)):D113, INDIRECT("A" &amp; MATCH(A113-$C$1,A:A,1)):A113),NA()))</f>
        <v>121508.27650015183</v>
      </c>
      <c r="J113" s="418">
        <f ca="1">IF(ISBLANK(A113),NA(),IFERROR(A113+(PLAYER_EXP_MAX-D113)/I113,NA()))</f>
        <v>43726.687451938073</v>
      </c>
      <c r="K113" s="317" t="str">
        <f t="shared" ca="1" si="6"/>
        <v>011 D 17 H</v>
      </c>
      <c r="L113" s="405">
        <f t="shared" si="7"/>
        <v>100837.8542077184</v>
      </c>
      <c r="M113" s="418">
        <f>IF(ISBLANK(A113),NA(),IFERROR(A113+(PLAYER_EXP_MAX-D113)/L113,NA()))</f>
        <v>43733.881479949516</v>
      </c>
      <c r="N113" s="317" t="str">
        <f t="shared" ca="1" si="9"/>
        <v>018 D 22 H</v>
      </c>
    </row>
    <row r="114" spans="1:14" ht="14.65" customHeight="1" x14ac:dyDescent="0.25">
      <c r="A114" s="31">
        <v>43691.950000000004</v>
      </c>
      <c r="B114" s="395">
        <v>180</v>
      </c>
      <c r="C114" s="395">
        <v>37873</v>
      </c>
      <c r="D114" s="413">
        <f t="shared" si="5"/>
        <v>7184617</v>
      </c>
      <c r="E114" s="399">
        <f>IF(ISBLANK(A114),"-",D114/PLAYER_EXP_MAX)</f>
        <v>0.62843856661484654</v>
      </c>
      <c r="F114" s="405">
        <f ca="1">IF(ISBLANK(A114),NA(),IFERROR(SLOPE(INDIRECT("D" &amp; MATCH(A114-$B$1,A:A,1)):D114, INDIRECT("A" &amp; MATCH(A114-$B$1,A:A,1)):A114),NA()))</f>
        <v>125889.54293160973</v>
      </c>
      <c r="G114" s="418">
        <f ca="1">IF(ISBLANK(A114),NA(),IFERROR(A114+(PLAYER_EXP_MAX-D114)/F114,NA()))</f>
        <v>43725.692850288273</v>
      </c>
      <c r="H114" s="317" t="str">
        <f ca="1">IF(ISBLANK(#REF!),NA(),IFERROR(TEXT(TRUNC(G114-NOW()),"000") &amp; " D " &amp; TEXT(TRUNC(ABS(G114-NOW()-TRUNC(G114-NOW()))*24),"00") &amp; " H", NA()))</f>
        <v>010 D 17 H</v>
      </c>
      <c r="I114" s="405">
        <f ca="1">IF(ISBLANK(A114),NA(),IFERROR(SLOPE(INDIRECT("D" &amp; MATCH(A114-$C$1,A:A,1)):D114, INDIRECT("A" &amp; MATCH(A114-$C$1,A:A,1)):A114),NA()))</f>
        <v>121142.55668832926</v>
      </c>
      <c r="J114" s="418">
        <f ca="1">IF(ISBLANK(A114),NA(),IFERROR(A114+(PLAYER_EXP_MAX-D114)/I114,NA()))</f>
        <v>43727.01506809931</v>
      </c>
      <c r="K114" s="317" t="str">
        <f t="shared" ca="1" si="6"/>
        <v>012 D 01 H</v>
      </c>
      <c r="L114" s="405">
        <f t="shared" si="7"/>
        <v>100055.17103620475</v>
      </c>
      <c r="M114" s="418">
        <f>IF(ISBLANK(A114),NA(),IFERROR(A114+(PLAYER_EXP_MAX-D114)/L114,NA()))</f>
        <v>43734.405296972742</v>
      </c>
      <c r="N114" s="317" t="str">
        <f t="shared" ca="1" si="9"/>
        <v>019 D 10 H</v>
      </c>
    </row>
    <row r="115" spans="1:14" ht="14.65" customHeight="1" x14ac:dyDescent="0.25">
      <c r="A115" s="31">
        <v>43692.168750000004</v>
      </c>
      <c r="B115" s="395">
        <v>180</v>
      </c>
      <c r="C115" s="395">
        <v>14099</v>
      </c>
      <c r="D115" s="413">
        <f t="shared" si="5"/>
        <v>7208391</v>
      </c>
      <c r="E115" s="399">
        <f>IF(ISBLANK(A115),"-",D115/PLAYER_EXP_MAX)</f>
        <v>0.63051807878406885</v>
      </c>
      <c r="F115" s="405">
        <f ca="1">IF(ISBLANK(A115),NA(),IFERROR(SLOPE(INDIRECT("D" &amp; MATCH(A115-$B$1,A:A,1)):D115, INDIRECT("A" &amp; MATCH(A115-$B$1,A:A,1)):A115),NA()))</f>
        <v>105568.36917345885</v>
      </c>
      <c r="G115" s="418">
        <f ca="1">IF(ISBLANK(A115),NA(),IFERROR(A115+(PLAYER_EXP_MAX-D115)/F115,NA()))</f>
        <v>43732.181663271964</v>
      </c>
      <c r="H115" s="317" t="str">
        <f ca="1">IF(ISBLANK(#REF!),NA(),IFERROR(TEXT(TRUNC(G115-NOW()),"000") &amp; " D " &amp; TEXT(TRUNC(ABS(G115-NOW()-TRUNC(G115-NOW()))*24),"00") &amp; " H", NA()))</f>
        <v>017 D 05 H</v>
      </c>
      <c r="I115" s="405">
        <f ca="1">IF(ISBLANK(A115),NA(),IFERROR(SLOPE(INDIRECT("D" &amp; MATCH(A115-$C$1,A:A,1)):D115, INDIRECT("A" &amp; MATCH(A115-$C$1,A:A,1)):A115),NA()))</f>
        <v>120969.26200716723</v>
      </c>
      <c r="J115" s="418">
        <f ca="1">IF(ISBLANK(A115),NA(),IFERROR(A115+(PLAYER_EXP_MAX-D115)/I115,NA()))</f>
        <v>43727.087521346642</v>
      </c>
      <c r="K115" s="317" t="str">
        <f t="shared" ca="1" si="6"/>
        <v>012 D 03 H</v>
      </c>
      <c r="L115" s="405">
        <f t="shared" si="7"/>
        <v>100129.90099009901</v>
      </c>
      <c r="M115" s="418">
        <f>IF(ISBLANK(A115),NA(),IFERROR(A115+(PLAYER_EXP_MAX-D115)/L115,NA()))</f>
        <v>43734.354929734844</v>
      </c>
      <c r="N115" s="317" t="str">
        <f t="shared" ca="1" si="9"/>
        <v>019 D 09 H</v>
      </c>
    </row>
    <row r="116" spans="1:14" ht="14.65" customHeight="1" x14ac:dyDescent="0.25">
      <c r="A116" s="31">
        <v>43692.247222222228</v>
      </c>
      <c r="B116" s="395">
        <v>180</v>
      </c>
      <c r="C116" s="395">
        <v>7316</v>
      </c>
      <c r="D116" s="465">
        <f t="shared" si="5"/>
        <v>7215174</v>
      </c>
      <c r="E116" s="399">
        <f>IF(ISBLANK(A116),"-",D116/PLAYER_EXP_MAX)</f>
        <v>0.63111138790511845</v>
      </c>
      <c r="F116" s="405">
        <f ca="1">IF(ISBLANK(A116),NA(),IFERROR(SLOPE(INDIRECT("D" &amp; MATCH(A116-$B$1,A:A,1)):D116, INDIRECT("A" &amp; MATCH(A116-$B$1,A:A,1)):A116),NA()))</f>
        <v>97691.334551134511</v>
      </c>
      <c r="G116" s="418">
        <f ca="1">IF(ISBLANK(A116),NA(),IFERROR(A116+(PLAYER_EXP_MAX-D116)/F116,NA()))</f>
        <v>43735.417018390712</v>
      </c>
      <c r="H116" s="465" t="str">
        <f ca="1">IF(ISBLANK(#REF!),NA(),IFERROR(TEXT(TRUNC(G116-NOW()),"000") &amp; " D " &amp; TEXT(TRUNC(ABS(G116-NOW()-TRUNC(G116-NOW()))*24),"00") &amp; " H", NA()))</f>
        <v>020 D 10 H</v>
      </c>
      <c r="I116" s="405">
        <f ca="1">IF(ISBLANK(A116),NA(),IFERROR(SLOPE(INDIRECT("D" &amp; MATCH(A116-$C$1,A:A,1)):D116, INDIRECT("A" &amp; MATCH(A116-$C$1,A:A,1)):A116),NA()))</f>
        <v>120575.35513070833</v>
      </c>
      <c r="J116" s="418">
        <f ca="1">IF(ISBLANK(A116),NA(),IFERROR(A116+(PLAYER_EXP_MAX-D116)/I116,NA()))</f>
        <v>43727.223814208446</v>
      </c>
      <c r="K116" s="465" t="str">
        <f t="shared" ca="1" si="6"/>
        <v>012 D 06 H</v>
      </c>
      <c r="L116" s="405">
        <f t="shared" si="7"/>
        <v>100087.48169878642</v>
      </c>
      <c r="M116" s="418">
        <f>IF(ISBLANK(A116),NA(),IFERROR(A116+(PLAYER_EXP_MAX-D116)/L116,NA()))</f>
        <v>43734.383510681277</v>
      </c>
      <c r="N116" s="465" t="str">
        <f t="shared" ref="N116:N147" ca="1" si="10">IF(ISBLANK(D116),NA(),IFERROR(TEXT(TRUNC(M116-NOW()),"000") &amp; " D " &amp; TEXT(TRUNC(ABS(M116-NOW()-TRUNC(M116-NOW()))*24),"00") &amp; " H", NA()))</f>
        <v>019 D 10 H</v>
      </c>
    </row>
    <row r="117" spans="1:14" ht="14.65" customHeight="1" x14ac:dyDescent="0.25">
      <c r="A117" s="31">
        <v>43692.295833333337</v>
      </c>
      <c r="B117" s="395">
        <v>181</v>
      </c>
      <c r="C117" s="395">
        <v>181969</v>
      </c>
      <c r="D117" s="465">
        <f t="shared" si="5"/>
        <v>7222521</v>
      </c>
      <c r="E117" s="399">
        <f>IF(ISBLANK(A117),"-",D117/PLAYER_EXP_MAX)</f>
        <v>0.63175403011540177</v>
      </c>
      <c r="F117" s="405">
        <f ca="1">IF(ISBLANK(A117),NA(),IFERROR(SLOPE(INDIRECT("D" &amp; MATCH(A117-$B$1,A:A,1)):D117, INDIRECT("A" &amp; MATCH(A117-$B$1,A:A,1)):A117),NA()))</f>
        <v>97791.019123142381</v>
      </c>
      <c r="G117" s="418">
        <f ca="1">IF(ISBLANK(A117),NA(),IFERROR(A117+(PLAYER_EXP_MAX-D117)/F117,NA()))</f>
        <v>43735.346494199228</v>
      </c>
      <c r="H117" s="465" t="str">
        <f ca="1">IF(ISBLANK(#REF!),NA(),IFERROR(TEXT(TRUNC(G117-NOW()),"000") &amp; " D " &amp; TEXT(TRUNC(ABS(G117-NOW()-TRUNC(G117-NOW()))*24),"00") &amp; " H", NA()))</f>
        <v>020 D 09 H</v>
      </c>
      <c r="I117" s="405">
        <f ca="1">IF(ISBLANK(A117),NA(),IFERROR(SLOPE(INDIRECT("D" &amp; MATCH(A117-$C$1,A:A,1)):D117, INDIRECT("A" &amp; MATCH(A117-$C$1,A:A,1)):A117),NA()))</f>
        <v>120273.642190574</v>
      </c>
      <c r="J117" s="418">
        <f ca="1">IF(ISBLANK(A117),NA(),IFERROR(A117+(PLAYER_EXP_MAX-D117)/I117,NA()))</f>
        <v>43727.299080290213</v>
      </c>
      <c r="K117" s="465" t="str">
        <f t="shared" ca="1" si="6"/>
        <v>012 D 08 H</v>
      </c>
      <c r="L117" s="405">
        <f t="shared" si="7"/>
        <v>100185.27214514599</v>
      </c>
      <c r="M117" s="418">
        <f>IF(ISBLANK(A117),NA(),IFERROR(A117+(PLAYER_EXP_MAX-D117)/L117,NA()))</f>
        <v>43734.317658596243</v>
      </c>
      <c r="N117" s="465" t="str">
        <f t="shared" ca="1" si="10"/>
        <v>019 D 08 H</v>
      </c>
    </row>
    <row r="118" spans="1:14" ht="14.65" customHeight="1" x14ac:dyDescent="0.25">
      <c r="A118" s="31">
        <v>43693.11319444445</v>
      </c>
      <c r="B118" s="395">
        <v>181</v>
      </c>
      <c r="C118" s="395">
        <v>151591</v>
      </c>
      <c r="D118" s="465">
        <f t="shared" si="5"/>
        <v>7252899</v>
      </c>
      <c r="E118" s="399">
        <f>IF(ISBLANK(A118),"-",D118/PLAYER_EXP_MAX)</f>
        <v>0.63441119427274328</v>
      </c>
      <c r="F118" s="405">
        <f ca="1">IF(ISBLANK(A118),NA(),IFERROR(SLOPE(INDIRECT("D" &amp; MATCH(A118-$B$1,A:A,1)):D118, INDIRECT("A" &amp; MATCH(A118-$B$1,A:A,1)):A118),NA()))</f>
        <v>53008.313416373603</v>
      </c>
      <c r="G118" s="418">
        <f ca="1">IF(ISBLANK(A118),NA(),IFERROR(A118+(PLAYER_EXP_MAX-D118)/F118,NA()))</f>
        <v>43771.961015297944</v>
      </c>
      <c r="H118" s="465" t="str">
        <f ca="1">IF(ISBLANK(#REF!),NA(),IFERROR(TEXT(TRUNC(G118-NOW()),"000") &amp; " D " &amp; TEXT(TRUNC(ABS(G118-NOW()-TRUNC(G118-NOW()))*24),"00") &amp; " H", NA()))</f>
        <v>057 D 00 H</v>
      </c>
      <c r="I118" s="405">
        <f ca="1">IF(ISBLANK(A118),NA(),IFERROR(SLOPE(INDIRECT("D" &amp; MATCH(A118-$C$1,A:A,1)):D118, INDIRECT("A" &amp; MATCH(A118-$C$1,A:A,1)):A118),NA()))</f>
        <v>117821.88800069971</v>
      </c>
      <c r="J118" s="418">
        <f ca="1">IF(ISBLANK(A118),NA(),IFERROR(A118+(PLAYER_EXP_MAX-D118)/I118,NA()))</f>
        <v>43728.586993675839</v>
      </c>
      <c r="K118" s="465" t="str">
        <f t="shared" ca="1" si="6"/>
        <v>013 D 15 H</v>
      </c>
      <c r="L118" s="405">
        <f t="shared" si="7"/>
        <v>98218.841993634298</v>
      </c>
      <c r="M118" s="418">
        <f>IF(ISBLANK(A118),NA(),IFERROR(A118+(PLAYER_EXP_MAX-D118)/L118,NA()))</f>
        <v>43735.667045774433</v>
      </c>
      <c r="N118" s="465" t="str">
        <f t="shared" ca="1" si="10"/>
        <v>020 D 16 H</v>
      </c>
    </row>
    <row r="119" spans="1:14" ht="14.65" customHeight="1" x14ac:dyDescent="0.25">
      <c r="A119" s="31">
        <v>43693.369444444448</v>
      </c>
      <c r="B119" s="395">
        <v>181</v>
      </c>
      <c r="C119" s="395">
        <v>92346</v>
      </c>
      <c r="D119" s="465">
        <f t="shared" si="5"/>
        <v>7312144</v>
      </c>
      <c r="E119" s="399">
        <f>IF(ISBLANK(A119),"-",D119/PLAYER_EXP_MAX)</f>
        <v>0.63959335539268836</v>
      </c>
      <c r="F119" s="405">
        <f ca="1">IF(ISBLANK(A119),NA(),IFERROR(SLOPE(INDIRECT("D" &amp; MATCH(A119-$B$1,A:A,1)):D119, INDIRECT("A" &amp; MATCH(A119-$B$1,A:A,1)):A119),NA()))</f>
        <v>72218.366410042247</v>
      </c>
      <c r="G119" s="418">
        <f ca="1">IF(ISBLANK(A119),NA(),IFERROR(A119+(PLAYER_EXP_MAX-D119)/F119,NA()))</f>
        <v>43750.423421221014</v>
      </c>
      <c r="H119" s="465" t="str">
        <f ca="1">IF(ISBLANK(#REF!),NA(),IFERROR(TEXT(TRUNC(G119-NOW()),"000") &amp; " D " &amp; TEXT(TRUNC(ABS(G119-NOW()-TRUNC(G119-NOW()))*24),"00") &amp; " H", NA()))</f>
        <v>035 D 11 H</v>
      </c>
      <c r="I119" s="405">
        <f ca="1">IF(ISBLANK(A119),NA(),IFERROR(SLOPE(INDIRECT("D" &amp; MATCH(A119-$C$1,A:A,1)):D119, INDIRECT("A" &amp; MATCH(A119-$C$1,A:A,1)):A119),NA()))</f>
        <v>116422.00054958214</v>
      </c>
      <c r="J119" s="418">
        <f ca="1">IF(ISBLANK(A119),NA(),IFERROR(A119+(PLAYER_EXP_MAX-D119)/I119,NA()))</f>
        <v>43728.760908090058</v>
      </c>
      <c r="K119" s="465" t="str">
        <f t="shared" ca="1" si="6"/>
        <v>013 D 19 H</v>
      </c>
      <c r="L119" s="405">
        <f t="shared" si="7"/>
        <v>99507.141694454898</v>
      </c>
      <c r="M119" s="418">
        <f>IF(ISBLANK(A119),NA(),IFERROR(A119+(PLAYER_EXP_MAX-D119)/L119,NA()))</f>
        <v>43734.77697489741</v>
      </c>
      <c r="N119" s="465" t="str">
        <f t="shared" ca="1" si="10"/>
        <v>019 D 19 H</v>
      </c>
    </row>
    <row r="120" spans="1:14" ht="14.65" customHeight="1" x14ac:dyDescent="0.25">
      <c r="A120" s="31">
        <v>43694.386805555558</v>
      </c>
      <c r="B120" s="395">
        <v>182</v>
      </c>
      <c r="C120" s="395">
        <v>109517</v>
      </c>
      <c r="D120" s="465">
        <f t="shared" si="5"/>
        <v>7479973</v>
      </c>
      <c r="E120" s="399">
        <f>IF(ISBLANK(A120),"-",D120/PLAYER_EXP_MAX)</f>
        <v>0.65427336077034493</v>
      </c>
      <c r="F120" s="405">
        <f ca="1">IF(ISBLANK(A120),NA(),IFERROR(SLOPE(INDIRECT("D" &amp; MATCH(A120-$B$1,A:A,1)):D120, INDIRECT("A" &amp; MATCH(A120-$B$1,A:A,1)):A120),NA()))</f>
        <v>164965.02389104717</v>
      </c>
      <c r="G120" s="418">
        <f ca="1">IF(ISBLANK(A120),NA(),IFERROR(A120+(PLAYER_EXP_MAX-D120)/F120,NA()))</f>
        <v>43718.346526875699</v>
      </c>
      <c r="H120" s="465" t="str">
        <f ca="1">IF(ISBLANK(#REF!),NA(),IFERROR(TEXT(TRUNC(G120-NOW()),"000") &amp; " D " &amp; TEXT(TRUNC(ABS(G120-NOW()-TRUNC(G120-NOW()))*24),"00") &amp; " H", NA()))</f>
        <v>003 D 09 H</v>
      </c>
      <c r="I120" s="405">
        <f ca="1">IF(ISBLANK(A120),NA(),IFERROR(SLOPE(INDIRECT("D" &amp; MATCH(A120-$C$1,A:A,1)):D120, INDIRECT("A" &amp; MATCH(A120-$C$1,A:A,1)):A120),NA()))</f>
        <v>114957.25979500465</v>
      </c>
      <c r="J120" s="418">
        <f ca="1">IF(ISBLANK(A120),NA(),IFERROR(A120+(PLAYER_EXP_MAX-D120)/I120,NA()))</f>
        <v>43728.769288289128</v>
      </c>
      <c r="K120" s="465" t="str">
        <f t="shared" ca="1" si="6"/>
        <v>013 D 19 H</v>
      </c>
      <c r="L120" s="405">
        <f t="shared" si="7"/>
        <v>101931.56899429469</v>
      </c>
      <c r="M120" s="418">
        <f>IF(ISBLANK(A120),NA(),IFERROR(A120+(PLAYER_EXP_MAX-D120)/L120,NA()))</f>
        <v>43733.162977049804</v>
      </c>
      <c r="N120" s="465" t="str">
        <f t="shared" ca="1" si="10"/>
        <v>018 D 04 H</v>
      </c>
    </row>
    <row r="121" spans="1:14" ht="14.65" customHeight="1" x14ac:dyDescent="0.25">
      <c r="A121" s="31">
        <v>43695.855555555558</v>
      </c>
      <c r="B121" s="395">
        <v>182</v>
      </c>
      <c r="C121" s="395">
        <v>46463</v>
      </c>
      <c r="D121" s="465">
        <f t="shared" si="5"/>
        <v>7543027</v>
      </c>
      <c r="E121" s="399">
        <f>IF(ISBLANK(A121),"-",D121/PLAYER_EXP_MAX)</f>
        <v>0.65978869518265004</v>
      </c>
      <c r="F121" s="405">
        <f ca="1">IF(ISBLANK(A121),NA(),IFERROR(SLOPE(INDIRECT("D" &amp; MATCH(A121-$B$1,A:A,1)):D121, INDIRECT("A" &amp; MATCH(A121-$B$1,A:A,1)):A121),NA()))</f>
        <v>42930.382978723406</v>
      </c>
      <c r="G121" s="418">
        <f ca="1">IF(ISBLANK(A121),NA(),IFERROR(A121+(PLAYER_EXP_MAX-D121)/F121,NA()))</f>
        <v>43786.454840493861</v>
      </c>
      <c r="H121" s="465" t="str">
        <f ca="1">IF(ISBLANK(#REF!),NA(),IFERROR(TEXT(TRUNC(G121-NOW()),"000") &amp; " D " &amp; TEXT(TRUNC(ABS(G121-NOW()-TRUNC(G121-NOW()))*24),"00") &amp; " H", NA()))</f>
        <v>071 D 11 H</v>
      </c>
      <c r="I121" s="405">
        <f ca="1">IF(ISBLANK(A121),NA(),IFERROR(SLOPE(INDIRECT("D" &amp; MATCH(A121-$C$1,A:A,1)):D121, INDIRECT("A" &amp; MATCH(A121-$C$1,A:A,1)):A121),NA()))</f>
        <v>103273.57764374824</v>
      </c>
      <c r="J121" s="418">
        <f ca="1">IF(ISBLANK(A121),NA(),IFERROR(A121+(PLAYER_EXP_MAX-D121)/I121,NA()))</f>
        <v>43733.517289454394</v>
      </c>
      <c r="K121" s="465" t="str">
        <f t="shared" ca="1" si="6"/>
        <v>018 D 13 H</v>
      </c>
      <c r="L121" s="405">
        <f t="shared" si="7"/>
        <v>98936.836497163895</v>
      </c>
      <c r="M121" s="418">
        <f>IF(ISBLANK(A121),NA(),IFERROR(A121+(PLAYER_EXP_MAX-D121)/L121,NA()))</f>
        <v>43735.168132525934</v>
      </c>
      <c r="N121" s="465" t="str">
        <f t="shared" ca="1" si="10"/>
        <v>020 D 04 H</v>
      </c>
    </row>
    <row r="122" spans="1:14" ht="14.65" customHeight="1" x14ac:dyDescent="0.25">
      <c r="A122" s="31">
        <v>43696.416666666672</v>
      </c>
      <c r="B122" s="395">
        <v>182</v>
      </c>
      <c r="C122" s="395">
        <v>11000</v>
      </c>
      <c r="D122" s="465">
        <f t="shared" si="5"/>
        <v>7578490</v>
      </c>
      <c r="E122" s="399">
        <f>IF(ISBLANK(A122),"-",D122/PLAYER_EXP_MAX)</f>
        <v>0.66289064437324186</v>
      </c>
      <c r="F122" s="405">
        <f ca="1">IF(ISBLANK(A122),NA(),IFERROR(SLOPE(INDIRECT("D" &amp; MATCH(A122-$B$1,A:A,1)):D122, INDIRECT("A" &amp; MATCH(A122-$B$1,A:A,1)):A122),NA()))</f>
        <v>47400.745719527476</v>
      </c>
      <c r="G122" s="418">
        <f ca="1">IF(ISBLANK(A122),NA(),IFERROR(A122+(PLAYER_EXP_MAX-D122)/F122,NA()))</f>
        <v>43777.723383291013</v>
      </c>
      <c r="H122" s="465" t="str">
        <f ca="1">IF(ISBLANK(#REF!),NA(),IFERROR(TEXT(TRUNC(G122-NOW()),"000") &amp; " D " &amp; TEXT(TRUNC(ABS(G122-NOW()-TRUNC(G122-NOW()))*24),"00") &amp; " H", NA()))</f>
        <v>062 D 18 H</v>
      </c>
      <c r="I122" s="405">
        <f ca="1">IF(ISBLANK(A122),NA(),IFERROR(SLOPE(INDIRECT("D" &amp; MATCH(A122-$C$1,A:A,1)):D122, INDIRECT("A" &amp; MATCH(A122-$C$1,A:A,1)):A122),NA()))</f>
        <v>98902.101491349924</v>
      </c>
      <c r="J122" s="418">
        <f ca="1">IF(ISBLANK(A122),NA(),IFERROR(A122+(PLAYER_EXP_MAX-D122)/I122,NA()))</f>
        <v>43735.384483749272</v>
      </c>
      <c r="K122" s="465" t="str">
        <f t="shared" ca="1" si="6"/>
        <v>020 D 10 H</v>
      </c>
      <c r="L122" s="405">
        <f t="shared" si="7"/>
        <v>98257.074652163079</v>
      </c>
      <c r="M122" s="418">
        <f>IF(ISBLANK(A122),NA(),IFERROR(A122+(PLAYER_EXP_MAX-D122)/L122,NA()))</f>
        <v>43735.640295231264</v>
      </c>
      <c r="N122" s="465" t="str">
        <f t="shared" ca="1" si="10"/>
        <v>020 D 16 H</v>
      </c>
    </row>
    <row r="123" spans="1:14" ht="14.65" customHeight="1" x14ac:dyDescent="0.25">
      <c r="A123" s="31">
        <v>43696.540972222225</v>
      </c>
      <c r="B123" s="395">
        <v>183</v>
      </c>
      <c r="C123" s="395">
        <v>183759</v>
      </c>
      <c r="D123" s="465">
        <f t="shared" si="5"/>
        <v>7593731</v>
      </c>
      <c r="E123" s="399">
        <f>IF(ISBLANK(A123),"-",D123/PLAYER_EXP_MAX)</f>
        <v>0.66422377489276396</v>
      </c>
      <c r="F123" s="405">
        <f ca="1">IF(ISBLANK(A123),NA(),IFERROR(SLOPE(INDIRECT("D" &amp; MATCH(A123-$B$1,A:A,1)):D123, INDIRECT("A" &amp; MATCH(A123-$B$1,A:A,1)):A123),NA()))</f>
        <v>50706.783967061579</v>
      </c>
      <c r="G123" s="418">
        <f ca="1">IF(ISBLANK(A123),NA(),IFERROR(A123+(PLAYER_EXP_MAX-D123)/F123,NA()))</f>
        <v>43772.245990361291</v>
      </c>
      <c r="H123" s="465" t="str">
        <f ca="1">IF(ISBLANK(#REF!),NA(),IFERROR(TEXT(TRUNC(G123-NOW()),"000") &amp; " D " &amp; TEXT(TRUNC(ABS(G123-NOW()-TRUNC(G123-NOW()))*24),"00") &amp; " H", NA()))</f>
        <v>057 D 06 H</v>
      </c>
      <c r="I123" s="405">
        <f ca="1">IF(ISBLANK(A123),NA(),IFERROR(SLOPE(INDIRECT("D" &amp; MATCH(A123-$C$1,A:A,1)):D123, INDIRECT("A" &amp; MATCH(A123-$C$1,A:A,1)):A123),NA()))</f>
        <v>97057.631303445203</v>
      </c>
      <c r="J123" s="418">
        <f ca="1">IF(ISBLANK(A123),NA(),IFERROR(A123+(PLAYER_EXP_MAX-D123)/I123,NA()))</f>
        <v>43736.092298052528</v>
      </c>
      <c r="K123" s="465" t="str">
        <f t="shared" ca="1" si="6"/>
        <v>021 D 03 H</v>
      </c>
      <c r="L123" s="405">
        <f t="shared" si="7"/>
        <v>98359.26481620995</v>
      </c>
      <c r="M123" s="418">
        <f>IF(ISBLANK(A123),NA(),IFERROR(A123+(PLAYER_EXP_MAX-D123)/L123,NA()))</f>
        <v>43735.568897117482</v>
      </c>
      <c r="N123" s="465" t="str">
        <f t="shared" ca="1" si="10"/>
        <v>020 D 14 H</v>
      </c>
    </row>
    <row r="124" spans="1:14" ht="14.65" customHeight="1" x14ac:dyDescent="0.25">
      <c r="A124" s="31">
        <v>43697.338888888895</v>
      </c>
      <c r="B124" s="395">
        <v>183</v>
      </c>
      <c r="C124" s="395">
        <v>104328</v>
      </c>
      <c r="D124" s="465">
        <f t="shared" si="5"/>
        <v>7673162</v>
      </c>
      <c r="E124" s="399">
        <f>IF(ISBLANK(A124),"-",D124/PLAYER_EXP_MAX)</f>
        <v>0.67117160576318946</v>
      </c>
      <c r="F124" s="405">
        <f ca="1">IF(ISBLANK(A124),NA(),IFERROR(SLOPE(INDIRECT("D" &amp; MATCH(A124-$B$1,A:A,1)):D124, INDIRECT("A" &amp; MATCH(A124-$B$1,A:A,1)):A124),NA()))</f>
        <v>89195.518477038568</v>
      </c>
      <c r="G124" s="418">
        <f ca="1">IF(ISBLANK(A124),NA(),IFERROR(A124+(PLAYER_EXP_MAX-D124)/F124,NA()))</f>
        <v>43739.485927935122</v>
      </c>
      <c r="H124" s="465" t="str">
        <f ca="1">IF(ISBLANK(#REF!),NA(),IFERROR(TEXT(TRUNC(G124-NOW()),"000") &amp; " D " &amp; TEXT(TRUNC(ABS(G124-NOW()-TRUNC(G124-NOW()))*24),"00") &amp; " H", NA()))</f>
        <v>024 D 12 H</v>
      </c>
      <c r="I124" s="405">
        <f ca="1">IF(ISBLANK(A124),NA(),IFERROR(SLOPE(INDIRECT("D" &amp; MATCH(A124-$C$1,A:A,1)):D124, INDIRECT("A" &amp; MATCH(A124-$C$1,A:A,1)):A124),NA()))</f>
        <v>95904.480523869992</v>
      </c>
      <c r="J124" s="418">
        <f ca="1">IF(ISBLANK(A124),NA(),IFERROR(A124+(PLAYER_EXP_MAX-D124)/I124,NA()))</f>
        <v>43736.5375475904</v>
      </c>
      <c r="K124" s="465" t="str">
        <f t="shared" ca="1" si="6"/>
        <v>021 D 13 H</v>
      </c>
      <c r="L124" s="405">
        <f t="shared" si="7"/>
        <v>98390.444926373035</v>
      </c>
      <c r="M124" s="418">
        <f>IF(ISBLANK(A124),NA(),IFERROR(A124+(PLAYER_EXP_MAX-D124)/L124,NA()))</f>
        <v>43735.547141761548</v>
      </c>
      <c r="N124" s="465" t="str">
        <f t="shared" ca="1" si="10"/>
        <v>020 D 14 H</v>
      </c>
    </row>
    <row r="125" spans="1:14" ht="14.65" customHeight="1" x14ac:dyDescent="0.25">
      <c r="A125" s="31">
        <v>43697.827083333337</v>
      </c>
      <c r="B125" s="395">
        <v>183</v>
      </c>
      <c r="C125" s="395">
        <v>32675</v>
      </c>
      <c r="D125" s="465">
        <f t="shared" si="5"/>
        <v>7744815</v>
      </c>
      <c r="E125" s="399">
        <f>IF(ISBLANK(A125),"-",D125/PLAYER_EXP_MAX)</f>
        <v>0.6774390948462754</v>
      </c>
      <c r="F125" s="405">
        <f ca="1">IF(ISBLANK(A125),NA(),IFERROR(SLOPE(INDIRECT("D" &amp; MATCH(A125-$B$1,A:A,1)):D125, INDIRECT("A" &amp; MATCH(A125-$B$1,A:A,1)):A125),NA()))</f>
        <v>115721.90723878205</v>
      </c>
      <c r="G125" s="418">
        <f ca="1">IF(ISBLANK(A125),NA(),IFERROR(A125+(PLAYER_EXP_MAX-D125)/F125,NA()))</f>
        <v>43729.693772087361</v>
      </c>
      <c r="H125" s="465" t="str">
        <f ca="1">IF(ISBLANK(#REF!),NA(),IFERROR(TEXT(TRUNC(G125-NOW()),"000") &amp; " D " &amp; TEXT(TRUNC(ABS(G125-NOW()-TRUNC(G125-NOW()))*24),"00") &amp; " H", NA()))</f>
        <v>014 D 17 H</v>
      </c>
      <c r="I125" s="405">
        <f ca="1">IF(ISBLANK(A125),NA(),IFERROR(SLOPE(INDIRECT("D" &amp; MATCH(A125-$C$1,A:A,1)):D125, INDIRECT("A" &amp; MATCH(A125-$C$1,A:A,1)):A125),NA()))</f>
        <v>93833.201630096301</v>
      </c>
      <c r="J125" s="418">
        <f ca="1">IF(ISBLANK(A125),NA(),IFERROR(A125+(PLAYER_EXP_MAX-D125)/I125,NA()))</f>
        <v>43737.127394267387</v>
      </c>
      <c r="K125" s="465" t="str">
        <f t="shared" ca="1" si="6"/>
        <v>022 D 03 H</v>
      </c>
      <c r="L125" s="405">
        <f t="shared" si="7"/>
        <v>99154.618495552917</v>
      </c>
      <c r="M125" s="418">
        <f>IF(ISBLANK(A125),NA(),IFERROR(A125+(PLAYER_EXP_MAX-D125)/L125,NA()))</f>
        <v>43735.018230412032</v>
      </c>
      <c r="N125" s="465" t="str">
        <f t="shared" ca="1" si="10"/>
        <v>020 D 01 H</v>
      </c>
    </row>
    <row r="126" spans="1:14" ht="14.65" customHeight="1" x14ac:dyDescent="0.25">
      <c r="A126" s="31">
        <v>43698.55</v>
      </c>
      <c r="B126" s="395">
        <v>184</v>
      </c>
      <c r="C126" s="395">
        <v>169365</v>
      </c>
      <c r="D126" s="465">
        <f t="shared" si="5"/>
        <v>7799125</v>
      </c>
      <c r="E126" s="399">
        <f>IF(ISBLANK(A126),"-",D126/PLAYER_EXP_MAX)</f>
        <v>0.68218959143542579</v>
      </c>
      <c r="F126" s="405">
        <f ca="1">IF(ISBLANK(A126),NA(),IFERROR(SLOPE(INDIRECT("D" &amp; MATCH(A126-$B$1,A:A,1)):D126, INDIRECT("A" &amp; MATCH(A126-$B$1,A:A,1)):A126),NA()))</f>
        <v>101806.3861269942</v>
      </c>
      <c r="G126" s="418">
        <f ca="1">IF(ISBLANK(A126),NA(),IFERROR(A126+(PLAYER_EXP_MAX-D126)/F126,NA()))</f>
        <v>43734.238959585186</v>
      </c>
      <c r="H126" s="465" t="str">
        <f ca="1">IF(ISBLANK(#REF!),NA(),IFERROR(TEXT(TRUNC(G126-NOW()),"000") &amp; " D " &amp; TEXT(TRUNC(ABS(G126-NOW()-TRUNC(G126-NOW()))*24),"00") &amp; " H", NA()))</f>
        <v>019 D 06 H</v>
      </c>
      <c r="I126" s="405">
        <f ca="1">IF(ISBLANK(A126),NA(),IFERROR(SLOPE(INDIRECT("D" &amp; MATCH(A126-$C$1,A:A,1)):D126, INDIRECT("A" &amp; MATCH(A126-$C$1,A:A,1)):A126),NA()))</f>
        <v>91645.166556435259</v>
      </c>
      <c r="J126" s="418">
        <f ca="1">IF(ISBLANK(A126),NA(),IFERROR(A126+(PLAYER_EXP_MAX-D126)/I126,NA()))</f>
        <v>43738.195997017887</v>
      </c>
      <c r="K126" s="465" t="str">
        <f t="shared" ca="1" si="6"/>
        <v>023 D 05 H</v>
      </c>
      <c r="L126" s="405">
        <f t="shared" si="7"/>
        <v>98605.461371275043</v>
      </c>
      <c r="M126" s="418">
        <f>IF(ISBLANK(A126),NA(),IFERROR(A126+(PLAYER_EXP_MAX-D126)/L126,NA()))</f>
        <v>43735.397492516866</v>
      </c>
      <c r="N126" s="465" t="str">
        <f t="shared" ca="1" si="10"/>
        <v>020 D 10 H</v>
      </c>
    </row>
    <row r="127" spans="1:14" ht="14.65" customHeight="1" x14ac:dyDescent="0.25">
      <c r="A127" s="31">
        <v>43698.892361111117</v>
      </c>
      <c r="B127" s="395">
        <v>184</v>
      </c>
      <c r="C127" s="395">
        <v>116937</v>
      </c>
      <c r="D127" s="465">
        <f t="shared" si="5"/>
        <v>7851553</v>
      </c>
      <c r="E127" s="399">
        <f>IF(ISBLANK(A127),"-",D127/PLAYER_EXP_MAX)</f>
        <v>0.68677546945376466</v>
      </c>
      <c r="F127" s="405">
        <f ca="1">IF(ISBLANK(A127),NA(),IFERROR(SLOPE(INDIRECT("D" &amp; MATCH(A127-$B$1,A:A,1)):D127, INDIRECT("A" &amp; MATCH(A127-$B$1,A:A,1)):A127),NA()))</f>
        <v>96310.733712873363</v>
      </c>
      <c r="G127" s="418">
        <f ca="1">IF(ISBLANK(A127),NA(),IFERROR(A127+(PLAYER_EXP_MAX-D127)/F127,NA()))</f>
        <v>43736.073429741286</v>
      </c>
      <c r="H127" s="465" t="str">
        <f ca="1">IF(ISBLANK(#REF!),NA(),IFERROR(TEXT(TRUNC(G127-NOW()),"000") &amp; " D " &amp; TEXT(TRUNC(ABS(G127-NOW()-TRUNC(G127-NOW()))*24),"00") &amp; " H", NA()))</f>
        <v>021 D 02 H</v>
      </c>
      <c r="I127" s="405">
        <f ca="1">IF(ISBLANK(A127),NA(),IFERROR(SLOPE(INDIRECT("D" &amp; MATCH(A127-$C$1,A:A,1)):D127, INDIRECT("A" &amp; MATCH(A127-$C$1,A:A,1)):A127),NA()))</f>
        <v>92870.436150385241</v>
      </c>
      <c r="J127" s="418">
        <f ca="1">IF(ISBLANK(A127),NA(),IFERROR(A127+(PLAYER_EXP_MAX-D127)/I127,NA()))</f>
        <v>43737.450767299728</v>
      </c>
      <c r="K127" s="465" t="str">
        <f t="shared" ca="1" si="6"/>
        <v>022 D 11 H</v>
      </c>
      <c r="L127" s="405">
        <f t="shared" si="7"/>
        <v>99189.359280652774</v>
      </c>
      <c r="M127" s="418">
        <f>IF(ISBLANK(A127),NA(),IFERROR(A127+(PLAYER_EXP_MAX-D127)/L127,NA()))</f>
        <v>43734.994378766736</v>
      </c>
      <c r="N127" s="465" t="str">
        <f t="shared" ca="1" si="10"/>
        <v>020 D 00 H</v>
      </c>
    </row>
    <row r="128" spans="1:14" ht="14.65" customHeight="1" x14ac:dyDescent="0.25">
      <c r="A128" s="31">
        <v>43699.05069444445</v>
      </c>
      <c r="B128" s="395">
        <v>184</v>
      </c>
      <c r="C128" s="395">
        <v>96674</v>
      </c>
      <c r="D128" s="465">
        <f t="shared" si="5"/>
        <v>7871816</v>
      </c>
      <c r="E128" s="399">
        <f>IF(ISBLANK(A128),"-",D128/PLAYER_EXP_MAX)</f>
        <v>0.68854787439550569</v>
      </c>
      <c r="F128" s="405">
        <f ca="1">IF(ISBLANK(A128),NA(),IFERROR(SLOPE(INDIRECT("D" &amp; MATCH(A128-$B$1,A:A,1)):D128, INDIRECT("A" &amp; MATCH(A128-$B$1,A:A,1)):A128),NA()))</f>
        <v>103145.24923269781</v>
      </c>
      <c r="G128" s="418">
        <f ca="1">IF(ISBLANK(A128),NA(),IFERROR(A128+(PLAYER_EXP_MAX-D128)/F128,NA()))</f>
        <v>43733.571654221931</v>
      </c>
      <c r="H128" s="465" t="str">
        <f ca="1">IF(ISBLANK(#REF!),NA(),IFERROR(TEXT(TRUNC(G128-NOW()),"000") &amp; " D " &amp; TEXT(TRUNC(ABS(G128-NOW()-TRUNC(G128-NOW()))*24),"00") &amp; " H", NA()))</f>
        <v>018 D 14 H</v>
      </c>
      <c r="I128" s="405">
        <f ca="1">IF(ISBLANK(A128),NA(),IFERROR(SLOPE(INDIRECT("D" &amp; MATCH(A128-$C$1,A:A,1)):D128, INDIRECT("A" &amp; MATCH(A128-$C$1,A:A,1)):A128),NA()))</f>
        <v>94343.022874737988</v>
      </c>
      <c r="J128" s="418">
        <f ca="1">IF(ISBLANK(A128),NA(),IFERROR(A128+(PLAYER_EXP_MAX-D128)/I128,NA()))</f>
        <v>43736.79246793763</v>
      </c>
      <c r="K128" s="465" t="str">
        <f t="shared" ca="1" si="6"/>
        <v>021 D 19 H</v>
      </c>
      <c r="L128" s="405">
        <f t="shared" si="7"/>
        <v>99331.212448668346</v>
      </c>
      <c r="M128" s="418">
        <f>IF(ISBLANK(A128),NA(),IFERROR(A128+(PLAYER_EXP_MAX-D128)/L128,NA()))</f>
        <v>43734.897161151377</v>
      </c>
      <c r="N128" s="465" t="str">
        <f t="shared" ca="1" si="10"/>
        <v>019 D 22 H</v>
      </c>
    </row>
    <row r="129" spans="1:14" ht="14.65" customHeight="1" x14ac:dyDescent="0.25">
      <c r="A129" s="31">
        <v>43699.563888888893</v>
      </c>
      <c r="B129" s="395">
        <v>184</v>
      </c>
      <c r="C129" s="395">
        <v>53751</v>
      </c>
      <c r="D129" s="465">
        <f t="shared" si="5"/>
        <v>7914739</v>
      </c>
      <c r="E129" s="399">
        <f>IF(ISBLANK(A129),"-",D129/PLAYER_EXP_MAX)</f>
        <v>0.69230234990823081</v>
      </c>
      <c r="F129" s="405">
        <f ca="1">IF(ISBLANK(A129),NA(),IFERROR(SLOPE(INDIRECT("D" &amp; MATCH(A129-$B$1,A:A,1)):D129, INDIRECT("A" &amp; MATCH(A129-$B$1,A:A,1)):A129),NA()))</f>
        <v>112038.75261188895</v>
      </c>
      <c r="G129" s="418">
        <f ca="1">IF(ISBLANK(A129),NA(),IFERROR(A129+(PLAYER_EXP_MAX-D129)/F129,NA()))</f>
        <v>43730.96150728425</v>
      </c>
      <c r="H129" s="465" t="str">
        <f ca="1">IF(ISBLANK(#REF!),NA(),IFERROR(TEXT(TRUNC(G129-NOW()),"000") &amp; " D " &amp; TEXT(TRUNC(ABS(G129-NOW()-TRUNC(G129-NOW()))*24),"00") &amp; " H", NA()))</f>
        <v>016 D 00 H</v>
      </c>
      <c r="I129" s="405">
        <f ca="1">IF(ISBLANK(A129),NA(),IFERROR(SLOPE(INDIRECT("D" &amp; MATCH(A129-$C$1,A:A,1)):D129, INDIRECT("A" &amp; MATCH(A129-$C$1,A:A,1)):A129),NA()))</f>
        <v>95577.292658545775</v>
      </c>
      <c r="J129" s="418">
        <f ca="1">IF(ISBLANK(A129),NA(),IFERROR(A129+(PLAYER_EXP_MAX-D129)/I129,NA()))</f>
        <v>43736.369179163928</v>
      </c>
      <c r="K129" s="465" t="str">
        <f t="shared" ca="1" si="6"/>
        <v>021 D 09 H</v>
      </c>
      <c r="L129" s="405">
        <f t="shared" si="7"/>
        <v>99084.522538236866</v>
      </c>
      <c r="M129" s="418">
        <f>IF(ISBLANK(A129),NA(),IFERROR(A129+(PLAYER_EXP_MAX-D129)/L129,NA()))</f>
        <v>43735.066406435391</v>
      </c>
      <c r="N129" s="465" t="str">
        <f t="shared" ca="1" si="10"/>
        <v>020 D 02 H</v>
      </c>
    </row>
    <row r="130" spans="1:14" ht="14.65" customHeight="1" x14ac:dyDescent="0.25">
      <c r="A130" s="31">
        <v>43700.182638888888</v>
      </c>
      <c r="B130" s="395">
        <v>185</v>
      </c>
      <c r="C130" s="395">
        <v>166928</v>
      </c>
      <c r="D130" s="465">
        <f t="shared" si="5"/>
        <v>7995562</v>
      </c>
      <c r="E130" s="399">
        <f>IF(ISBLANK(A130),"-",D130/PLAYER_EXP_MAX)</f>
        <v>0.69937193904144579</v>
      </c>
      <c r="F130" s="405">
        <f ca="1">IF(ISBLANK(A130),NA(),IFERROR(SLOPE(INDIRECT("D" &amp; MATCH(A130-$B$1,A:A,1)):D130, INDIRECT("A" &amp; MATCH(A130-$B$1,A:A,1)):A130),NA()))</f>
        <v>110043.40181531686</v>
      </c>
      <c r="G130" s="418">
        <f ca="1">IF(ISBLANK(A130),NA(),IFERROR(A130+(PLAYER_EXP_MAX-D130)/F130,NA()))</f>
        <v>43731.415106654364</v>
      </c>
      <c r="H130" s="465" t="str">
        <f ca="1">IF(ISBLANK(#REF!),NA(),IFERROR(TEXT(TRUNC(G130-NOW()),"000") &amp; " D " &amp; TEXT(TRUNC(ABS(G130-NOW()-TRUNC(G130-NOW()))*24),"00") &amp; " H", NA()))</f>
        <v>016 D 10 H</v>
      </c>
      <c r="I130" s="405">
        <f ca="1">IF(ISBLANK(A130),NA(),IFERROR(SLOPE(INDIRECT("D" &amp; MATCH(A130-$C$1,A:A,1)):D130, INDIRECT("A" &amp; MATCH(A130-$C$1,A:A,1)):A130),NA()))</f>
        <v>97970.350546807385</v>
      </c>
      <c r="J130" s="418">
        <f ca="1">IF(ISBLANK(A130),NA(),IFERROR(A130+(PLAYER_EXP_MAX-D130)/I130,NA()))</f>
        <v>43735.263936248928</v>
      </c>
      <c r="K130" s="465" t="str">
        <f t="shared" ca="1" si="6"/>
        <v>020 D 07 H</v>
      </c>
      <c r="L130" s="405">
        <f t="shared" si="7"/>
        <v>99671.178288117168</v>
      </c>
      <c r="M130" s="418">
        <f>IF(ISBLANK(A130),NA(),IFERROR(A130+(PLAYER_EXP_MAX-D130)/L130,NA()))</f>
        <v>43734.665295350169</v>
      </c>
      <c r="N130" s="465" t="str">
        <f t="shared" ca="1" si="10"/>
        <v>019 D 16 H</v>
      </c>
    </row>
    <row r="131" spans="1:14" ht="14.65" customHeight="1" x14ac:dyDescent="0.25">
      <c r="A131" s="31">
        <v>43700.598611111112</v>
      </c>
      <c r="B131" s="395">
        <v>185</v>
      </c>
      <c r="C131" s="395">
        <v>133297</v>
      </c>
      <c r="D131" s="465">
        <f t="shared" ref="D131:D194" si="11">IF(ISBLANK(A131),"-",INDEX(DATA_PLAYER_EXP, B131, 3) + INDEX(DATA_PLAYER_EXP, B131, 2) - C131)</f>
        <v>8029193</v>
      </c>
      <c r="E131" s="399">
        <f>IF(ISBLANK(A131),"-",D131/PLAYER_EXP_MAX)</f>
        <v>0.70231364316204459</v>
      </c>
      <c r="F131" s="405">
        <f ca="1">IF(ISBLANK(A131),NA(),IFERROR(SLOPE(INDIRECT("D" &amp; MATCH(A131-$B$1,A:A,1)):D131, INDIRECT("A" &amp; MATCH(A131-$B$1,A:A,1)):A131),NA()))</f>
        <v>112156.78916727155</v>
      </c>
      <c r="G131" s="418">
        <f ca="1">IF(ISBLANK(A131),NA(),IFERROR(A131+(PLAYER_EXP_MAX-D131)/F131,NA()))</f>
        <v>43730.942703744899</v>
      </c>
      <c r="H131" s="465" t="str">
        <f ca="1">IF(ISBLANK(#REF!),NA(),IFERROR(TEXT(TRUNC(G131-NOW()),"000") &amp; " D " &amp; TEXT(TRUNC(ABS(G131-NOW()-TRUNC(G131-NOW()))*24),"00") &amp; " H", NA()))</f>
        <v>015 D 23 H</v>
      </c>
      <c r="I131" s="405">
        <f ca="1">IF(ISBLANK(A131),NA(),IFERROR(SLOPE(INDIRECT("D" &amp; MATCH(A131-$C$1,A:A,1)):D131, INDIRECT("A" &amp; MATCH(A131-$C$1,A:A,1)):A131),NA()))</f>
        <v>96588.08348155109</v>
      </c>
      <c r="J131" s="418">
        <f ca="1">IF(ISBLANK(A131),NA(),IFERROR(A131+(PLAYER_EXP_MAX-D131)/I131,NA()))</f>
        <v>43735.833765152136</v>
      </c>
      <c r="K131" s="465" t="str">
        <f t="shared" ref="K131:K194" ca="1" si="12">IF(ISBLANK(A131),NA(),IFERROR(TEXT(TRUNC(J131-NOW()),"000") &amp; " D " &amp; TEXT(TRUNC(ABS(J131-NOW()-TRUNC(J131-NOW()))*24),"00") &amp; " H", NA()))</f>
        <v>020 D 20 H</v>
      </c>
      <c r="L131" s="405">
        <f t="shared" ref="L131:L194" si="13">IFERROR(IF(OR(ISBLANK($A131),$A131-$A$3 &lt; $B$1),NA(),($D131-$D$3)/($A131-$A$3)),NA())</f>
        <v>99438.711726024034</v>
      </c>
      <c r="M131" s="418">
        <f>IF(ISBLANK(A131),NA(),IFERROR(A131+(PLAYER_EXP_MAX-D131)/L131,NA()))</f>
        <v>43734.8236723667</v>
      </c>
      <c r="N131" s="465" t="str">
        <f t="shared" ca="1" si="10"/>
        <v>019 D 20 H</v>
      </c>
    </row>
    <row r="132" spans="1:14" ht="14.65" customHeight="1" x14ac:dyDescent="0.25">
      <c r="A132" s="31">
        <v>43700.984722222223</v>
      </c>
      <c r="B132" s="395">
        <v>185</v>
      </c>
      <c r="C132" s="395">
        <v>80385</v>
      </c>
      <c r="D132" s="465">
        <f t="shared" si="11"/>
        <v>8082105</v>
      </c>
      <c r="E132" s="399">
        <f>IF(ISBLANK(A132),"-",D132/PLAYER_EXP_MAX)</f>
        <v>0.70694185666830733</v>
      </c>
      <c r="F132" s="405">
        <f ca="1">IF(ISBLANK(A132),NA(),IFERROR(SLOPE(INDIRECT("D" &amp; MATCH(A132-$B$1,A:A,1)):D132, INDIRECT("A" &amp; MATCH(A132-$B$1,A:A,1)):A132),NA()))</f>
        <v>114939.77432679766</v>
      </c>
      <c r="G132" s="418">
        <f ca="1">IF(ISBLANK(A132),NA(),IFERROR(A132+(PLAYER_EXP_MAX-D132)/F132,NA()))</f>
        <v>43730.133761531055</v>
      </c>
      <c r="H132" s="465" t="str">
        <f ca="1">IF(ISBLANK(#REF!),NA(),IFERROR(TEXT(TRUNC(G132-NOW()),"000") &amp; " D " &amp; TEXT(TRUNC(ABS(G132-NOW()-TRUNC(G132-NOW()))*24),"00") &amp; " H", NA()))</f>
        <v>015 D 04 H</v>
      </c>
      <c r="I132" s="405">
        <f ca="1">IF(ISBLANK(A132),NA(),IFERROR(SLOPE(INDIRECT("D" &amp; MATCH(A132-$C$1,A:A,1)):D132, INDIRECT("A" &amp; MATCH(A132-$C$1,A:A,1)):A132),NA()))</f>
        <v>98028.775363738256</v>
      </c>
      <c r="J132" s="418">
        <f ca="1">IF(ISBLANK(A132),NA(),IFERROR(A132+(PLAYER_EXP_MAX-D132)/I132,NA()))</f>
        <v>43735.162278634292</v>
      </c>
      <c r="K132" s="465" t="str">
        <f t="shared" ca="1" si="12"/>
        <v>020 D 04 H</v>
      </c>
      <c r="L132" s="405">
        <f t="shared" si="13"/>
        <v>99864.873305482921</v>
      </c>
      <c r="M132" s="418">
        <f>IF(ISBLANK(A132),NA(),IFERROR(A132+(PLAYER_EXP_MAX-D132)/L132,NA()))</f>
        <v>43734.533896111941</v>
      </c>
      <c r="N132" s="465" t="str">
        <f t="shared" ca="1" si="10"/>
        <v>019 D 13 H</v>
      </c>
    </row>
    <row r="133" spans="1:14" ht="14.65" customHeight="1" x14ac:dyDescent="0.25">
      <c r="A133" s="31">
        <v>43701.518750000003</v>
      </c>
      <c r="B133" s="395">
        <v>185</v>
      </c>
      <c r="C133" s="395">
        <v>34907</v>
      </c>
      <c r="D133" s="465">
        <f t="shared" si="11"/>
        <v>8127583</v>
      </c>
      <c r="E133" s="399">
        <f>IF(ISBLANK(A133),"-",D133/PLAYER_EXP_MAX)</f>
        <v>0.71091981807286231</v>
      </c>
      <c r="F133" s="405">
        <f ca="1">IF(ISBLANK(A133),NA(),IFERROR(SLOPE(INDIRECT("D" &amp; MATCH(A133-$B$1,A:A,1)):D133, INDIRECT("A" &amp; MATCH(A133-$B$1,A:A,1)):A133),NA()))</f>
        <v>101751.2557227895</v>
      </c>
      <c r="G133" s="418">
        <f ca="1">IF(ISBLANK(A133),NA(),IFERROR(A133+(PLAYER_EXP_MAX-D133)/F133,NA()))</f>
        <v>43733.998997801602</v>
      </c>
      <c r="H133" s="465" t="str">
        <f ca="1">IF(ISBLANK(#REF!),NA(),IFERROR(TEXT(TRUNC(G133-NOW()),"000") &amp; " D " &amp; TEXT(TRUNC(ABS(G133-NOW()-TRUNC(G133-NOW()))*24),"00") &amp; " H", NA()))</f>
        <v>019 D 00 H</v>
      </c>
      <c r="I133" s="405">
        <f ca="1">IF(ISBLANK(A133),NA(),IFERROR(SLOPE(INDIRECT("D" &amp; MATCH(A133-$C$1,A:A,1)):D133, INDIRECT("A" &amp; MATCH(A133-$C$1,A:A,1)):A133),NA()))</f>
        <v>99082.53716394004</v>
      </c>
      <c r="J133" s="418">
        <f ca="1">IF(ISBLANK(A133),NA(),IFERROR(A133+(PLAYER_EXP_MAX-D133)/I133,NA()))</f>
        <v>43734.87383046723</v>
      </c>
      <c r="K133" s="465" t="str">
        <f t="shared" ca="1" si="12"/>
        <v>019 D 21 H</v>
      </c>
      <c r="L133" s="405">
        <f t="shared" si="13"/>
        <v>99637.919075148704</v>
      </c>
      <c r="M133" s="418">
        <f>IF(ISBLANK(A133),NA(),IFERROR(A133+(PLAYER_EXP_MAX-D133)/L133,NA()))</f>
        <v>43734.687909198394</v>
      </c>
      <c r="N133" s="465" t="str">
        <f t="shared" ca="1" si="10"/>
        <v>019 D 17 H</v>
      </c>
    </row>
    <row r="134" spans="1:14" ht="14.65" customHeight="1" x14ac:dyDescent="0.25">
      <c r="A134" s="31">
        <v>43701.775694444441</v>
      </c>
      <c r="B134" s="395">
        <v>186</v>
      </c>
      <c r="C134" s="395">
        <v>193737</v>
      </c>
      <c r="D134" s="465">
        <f t="shared" si="11"/>
        <v>8165753</v>
      </c>
      <c r="E134" s="399">
        <f>IF(ISBLANK(A134),"-",D134/PLAYER_EXP_MAX)</f>
        <v>0.71425854859777249</v>
      </c>
      <c r="F134" s="405">
        <f ca="1">IF(ISBLANK(A134),NA(),IFERROR(SLOPE(INDIRECT("D" &amp; MATCH(A134-$B$1,A:A,1)):D134, INDIRECT("A" &amp; MATCH(A134-$B$1,A:A,1)):A134),NA()))</f>
        <v>110765.48438080249</v>
      </c>
      <c r="G134" s="418">
        <f ca="1">IF(ISBLANK(A134),NA(),IFERROR(A134+(PLAYER_EXP_MAX-D134)/F134,NA()))</f>
        <v>43731.268058588939</v>
      </c>
      <c r="H134" s="465" t="str">
        <f ca="1">IF(ISBLANK(#REF!),NA(),IFERROR(TEXT(TRUNC(G134-NOW()),"000") &amp; " D " &amp; TEXT(TRUNC(ABS(G134-NOW()-TRUNC(G134-NOW()))*24),"00") &amp; " H", NA()))</f>
        <v>016 D 07 H</v>
      </c>
      <c r="I134" s="405">
        <f ca="1">IF(ISBLANK(A134),NA(),IFERROR(SLOPE(INDIRECT("D" &amp; MATCH(A134-$C$1,A:A,1)):D134, INDIRECT("A" &amp; MATCH(A134-$C$1,A:A,1)):A134),NA()))</f>
        <v>100275.24666473205</v>
      </c>
      <c r="J134" s="418">
        <f ca="1">IF(ISBLANK(A134),NA(),IFERROR(A134+(PLAYER_EXP_MAX-D134)/I134,NA()))</f>
        <v>43734.353385436538</v>
      </c>
      <c r="K134" s="465" t="str">
        <f t="shared" ca="1" si="12"/>
        <v>019 D 09 H</v>
      </c>
      <c r="L134" s="405">
        <f t="shared" si="13"/>
        <v>99998.495437724443</v>
      </c>
      <c r="M134" s="418">
        <f>IF(ISBLANK(A134),NA(),IFERROR(A134+(PLAYER_EXP_MAX-D134)/L134,NA()))</f>
        <v>43734.443545952614</v>
      </c>
      <c r="N134" s="465" t="str">
        <f t="shared" ca="1" si="10"/>
        <v>019 D 11 H</v>
      </c>
    </row>
    <row r="135" spans="1:14" ht="14.65" customHeight="1" x14ac:dyDescent="0.25">
      <c r="A135" s="31">
        <v>43703.731249999997</v>
      </c>
      <c r="B135" s="395">
        <v>187</v>
      </c>
      <c r="C135" s="395">
        <v>168485</v>
      </c>
      <c r="D135" s="465">
        <f t="shared" si="11"/>
        <v>8391005</v>
      </c>
      <c r="E135" s="399">
        <f>IF(ISBLANK(A135),"-",D135/PLAYER_EXP_MAX)</f>
        <v>0.73396134472554486</v>
      </c>
      <c r="F135" s="405">
        <f ca="1">IF(ISBLANK(A135),NA(),IFERROR(SLOPE(INDIRECT("D" &amp; MATCH(A135-$B$1,A:A,1)):D135, INDIRECT("A" &amp; MATCH(A135-$B$1,A:A,1)):A135),NA()))</f>
        <v>115185.68181814373</v>
      </c>
      <c r="G135" s="418">
        <f ca="1">IF(ISBLANK(A135),NA(),IFERROR(A135+(PLAYER_EXP_MAX-D135)/F135,NA()))</f>
        <v>43730.13630271134</v>
      </c>
      <c r="H135" s="465" t="str">
        <f ca="1">IF(ISBLANK(#REF!),NA(),IFERROR(TEXT(TRUNC(G135-NOW()),"000") &amp; " D " &amp; TEXT(TRUNC(ABS(G135-NOW()-TRUNC(G135-NOW()))*24),"00") &amp; " H", NA()))</f>
        <v>015 D 04 H</v>
      </c>
      <c r="I135" s="405">
        <f ca="1">IF(ISBLANK(A135),NA(),IFERROR(SLOPE(INDIRECT("D" &amp; MATCH(A135-$C$1,A:A,1)):D135, INDIRECT("A" &amp; MATCH(A135-$C$1,A:A,1)):A135),NA()))</f>
        <v>110108.18659100711</v>
      </c>
      <c r="J135" s="418">
        <f ca="1">IF(ISBLANK(A135),NA(),IFERROR(A135+(PLAYER_EXP_MAX-D135)/I135,NA()))</f>
        <v>43731.353937233034</v>
      </c>
      <c r="K135" s="465" t="str">
        <f t="shared" ca="1" si="12"/>
        <v>016 D 09 H</v>
      </c>
      <c r="L135" s="405">
        <f t="shared" si="13"/>
        <v>100805.26994908614</v>
      </c>
      <c r="M135" s="418">
        <f>IF(ISBLANK(A135),NA(),IFERROR(A135+(PLAYER_EXP_MAX-D135)/L135,NA()))</f>
        <v>43733.903124957884</v>
      </c>
      <c r="N135" s="465" t="str">
        <f t="shared" ca="1" si="10"/>
        <v>018 D 22 H</v>
      </c>
    </row>
    <row r="136" spans="1:14" ht="14.65" customHeight="1" x14ac:dyDescent="0.25">
      <c r="A136" s="31">
        <v>43704.039583333331</v>
      </c>
      <c r="B136" s="395">
        <v>187</v>
      </c>
      <c r="C136" s="395">
        <v>138373</v>
      </c>
      <c r="D136" s="465">
        <f t="shared" si="11"/>
        <v>8421117</v>
      </c>
      <c r="E136" s="399">
        <f>IF(ISBLANK(A136),"-",D136/PLAYER_EXP_MAX)</f>
        <v>0.73659524185853142</v>
      </c>
      <c r="F136" s="405">
        <f ca="1">IF(ISBLANK(A136),NA(),IFERROR(SLOPE(INDIRECT("D" &amp; MATCH(A136-$B$1,A:A,1)):D136, INDIRECT("A" &amp; MATCH(A136-$B$1,A:A,1)):A136),NA()))</f>
        <v>113648.91542288719</v>
      </c>
      <c r="G136" s="418">
        <f ca="1">IF(ISBLANK(A136),NA(),IFERROR(A136+(PLAYER_EXP_MAX-D136)/F136,NA()))</f>
        <v>43730.536730171865</v>
      </c>
      <c r="H136" s="465" t="str">
        <f ca="1">IF(ISBLANK(#REF!),NA(),IFERROR(TEXT(TRUNC(G136-NOW()),"000") &amp; " D " &amp; TEXT(TRUNC(ABS(G136-NOW()-TRUNC(G136-NOW()))*24),"00") &amp; " H", NA()))</f>
        <v>015 D 13 H</v>
      </c>
      <c r="I136" s="405">
        <f ca="1">IF(ISBLANK(A136),NA(),IFERROR(SLOPE(INDIRECT("D" &amp; MATCH(A136-$C$1,A:A,1)):D136, INDIRECT("A" &amp; MATCH(A136-$C$1,A:A,1)):A136),NA()))</f>
        <v>110451.51288716085</v>
      </c>
      <c r="J136" s="418">
        <f ca="1">IF(ISBLANK(A136),NA(),IFERROR(A136+(PLAYER_EXP_MAX-D136)/I136,NA()))</f>
        <v>43731.303782087009</v>
      </c>
      <c r="K136" s="465" t="str">
        <f t="shared" ca="1" si="12"/>
        <v>016 D 08 H</v>
      </c>
      <c r="L136" s="405">
        <f t="shared" si="13"/>
        <v>100779.1491750087</v>
      </c>
      <c r="M136" s="418">
        <f>IF(ISBLANK(A136),NA(),IFERROR(A136+(PLAYER_EXP_MAX-D136)/L136,NA()))</f>
        <v>43733.920486522649</v>
      </c>
      <c r="N136" s="465" t="str">
        <f t="shared" ca="1" si="10"/>
        <v>018 D 23 H</v>
      </c>
    </row>
    <row r="137" spans="1:14" ht="14.65" customHeight="1" x14ac:dyDescent="0.25">
      <c r="A137" s="31">
        <v>43704.647222222222</v>
      </c>
      <c r="B137" s="395">
        <v>187</v>
      </c>
      <c r="C137" s="395">
        <v>81012</v>
      </c>
      <c r="D137" s="465">
        <f t="shared" si="11"/>
        <v>8478478</v>
      </c>
      <c r="E137" s="399">
        <f>IF(ISBLANK(A137),"-",D137/PLAYER_EXP_MAX)</f>
        <v>0.74161260946763208</v>
      </c>
      <c r="F137" s="405">
        <f ca="1">IF(ISBLANK(A137),NA(),IFERROR(SLOPE(INDIRECT("D" &amp; MATCH(A137-$B$1,A:A,1)):D137, INDIRECT("A" &amp; MATCH(A137-$B$1,A:A,1)):A137),NA()))</f>
        <v>110327.02332994599</v>
      </c>
      <c r="G137" s="418">
        <f ca="1">IF(ISBLANK(A137),NA(),IFERROR(A137+(PLAYER_EXP_MAX-D137)/F137,NA()))</f>
        <v>43731.422267091926</v>
      </c>
      <c r="H137" s="465" t="str">
        <f ca="1">IF(ISBLANK(#REF!),NA(),IFERROR(TEXT(TRUNC(G137-NOW()),"000") &amp; " D " &amp; TEXT(TRUNC(ABS(G137-NOW()-TRUNC(G137-NOW()))*24),"00") &amp; " H", NA()))</f>
        <v>016 D 11 H</v>
      </c>
      <c r="I137" s="405">
        <f ca="1">IF(ISBLANK(A137),NA(),IFERROR(SLOPE(INDIRECT("D" &amp; MATCH(A137-$C$1,A:A,1)):D137, INDIRECT("A" &amp; MATCH(A137-$C$1,A:A,1)):A137),NA()))</f>
        <v>110382.96360954897</v>
      </c>
      <c r="J137" s="418">
        <f ca="1">IF(ISBLANK(A137),NA(),IFERROR(A137+(PLAYER_EXP_MAX-D137)/I137,NA()))</f>
        <v>43731.408697937346</v>
      </c>
      <c r="K137" s="465" t="str">
        <f t="shared" ca="1" si="12"/>
        <v>016 D 10 H</v>
      </c>
      <c r="L137" s="405">
        <f t="shared" si="13"/>
        <v>100676.4063391684</v>
      </c>
      <c r="M137" s="418">
        <f>IF(ISBLANK(A137),NA(),IFERROR(A137+(PLAYER_EXP_MAX-D137)/L137,NA()))</f>
        <v>43733.988863500599</v>
      </c>
      <c r="N137" s="465" t="str">
        <f t="shared" ca="1" si="10"/>
        <v>019 D 00 H</v>
      </c>
    </row>
    <row r="138" spans="1:14" ht="14.65" customHeight="1" x14ac:dyDescent="0.25">
      <c r="A138" s="31">
        <v>43706.906944444447</v>
      </c>
      <c r="B138" s="395">
        <v>188</v>
      </c>
      <c r="C138" s="467">
        <v>47030</v>
      </c>
      <c r="D138" s="465">
        <f t="shared" si="11"/>
        <v>8715460</v>
      </c>
      <c r="E138" s="399">
        <f>IF(ISBLANK(A138),"-",D138/PLAYER_EXP_MAX)</f>
        <v>0.76234142888744527</v>
      </c>
      <c r="F138" s="405">
        <f ca="1">IF(ISBLANK(A138),NA(),IFERROR(SLOPE(INDIRECT("D" &amp; MATCH(A138-$B$1,A:A,1)):D138, INDIRECT("A" &amp; MATCH(A138-$B$1,A:A,1)):A138),NA()))</f>
        <v>104872.18192981233</v>
      </c>
      <c r="G138" s="418">
        <f ca="1">IF(ISBLANK(A138),NA(),IFERROR(A138+(PLAYER_EXP_MAX-D138)/F138,NA()))</f>
        <v>43732.814949312873</v>
      </c>
      <c r="H138" s="465" t="str">
        <f ca="1">IF(ISBLANK(#REF!),NA(),IFERROR(TEXT(TRUNC(G138-NOW()),"000") &amp; " D " &amp; TEXT(TRUNC(ABS(G138-NOW()-TRUNC(G138-NOW()))*24),"00") &amp; " H", NA()))</f>
        <v>017 D 20 H</v>
      </c>
      <c r="I138" s="405">
        <f ca="1">IF(ISBLANK(A138),NA(),IFERROR(SLOPE(INDIRECT("D" &amp; MATCH(A138-$C$1,A:A,1)):D138, INDIRECT("A" &amp; MATCH(A138-$C$1,A:A,1)):A138),NA()))</f>
        <v>109548.19827167204</v>
      </c>
      <c r="J138" s="418">
        <f ca="1">IF(ISBLANK(A138),NA(),IFERROR(A138+(PLAYER_EXP_MAX-D138)/I138,NA()))</f>
        <v>43731.709077595573</v>
      </c>
      <c r="K138" s="465" t="str">
        <f t="shared" ca="1" si="12"/>
        <v>016 D 17 H</v>
      </c>
      <c r="L138" s="405">
        <f t="shared" si="13"/>
        <v>100913.5085007781</v>
      </c>
      <c r="M138" s="418">
        <f>IF(ISBLANK(A138),NA(),IFERROR(A138+(PLAYER_EXP_MAX-D138)/L138,NA()))</f>
        <v>43733.831278365302</v>
      </c>
      <c r="N138" s="465" t="str">
        <f t="shared" ca="1" si="10"/>
        <v>018 D 20 H</v>
      </c>
    </row>
    <row r="139" spans="1:14" ht="14.65" customHeight="1" x14ac:dyDescent="0.25">
      <c r="A139" s="31">
        <v>43707.510416666664</v>
      </c>
      <c r="B139" s="395">
        <v>189</v>
      </c>
      <c r="C139" s="395">
        <v>201162</v>
      </c>
      <c r="D139" s="465">
        <f t="shared" si="11"/>
        <v>8767328</v>
      </c>
      <c r="E139" s="399">
        <f>IF(ISBLANK(A139),"-",D139/PLAYER_EXP_MAX)</f>
        <v>0.76687832369661579</v>
      </c>
      <c r="F139" s="405">
        <f ca="1">IF(ISBLANK(A139),NA(),IFERROR(SLOPE(INDIRECT("D" &amp; MATCH(A139-$B$1,A:A,1)):D139, INDIRECT("A" &amp; MATCH(A139-$B$1,A:A,1)):A139),NA()))</f>
        <v>101975.90982349377</v>
      </c>
      <c r="G139" s="418">
        <f ca="1">IF(ISBLANK(A139),NA(),IFERROR(A139+(PLAYER_EXP_MAX-D139)/F139,NA()))</f>
        <v>43733.645618643415</v>
      </c>
      <c r="H139" s="465" t="str">
        <f ca="1">IF(ISBLANK(#REF!),NA(),IFERROR(TEXT(TRUNC(G139-NOW()),"000") &amp; " D " &amp; TEXT(TRUNC(ABS(G139-NOW()-TRUNC(G139-NOW()))*24),"00") &amp; " H", NA()))</f>
        <v>018 D 16 H</v>
      </c>
      <c r="I139" s="405">
        <f ca="1">IF(ISBLANK(A139),NA(),IFERROR(SLOPE(INDIRECT("D" &amp; MATCH(A139-$C$1,A:A,1)):D139, INDIRECT("A" &amp; MATCH(A139-$C$1,A:A,1)):A139),NA()))</f>
        <v>107337.63270474457</v>
      </c>
      <c r="J139" s="418">
        <f ca="1">IF(ISBLANK(A139),NA(),IFERROR(A139+(PLAYER_EXP_MAX-D139)/I139,NA()))</f>
        <v>43732.340114628525</v>
      </c>
      <c r="K139" s="465" t="str">
        <f t="shared" ca="1" si="12"/>
        <v>017 D 09 H</v>
      </c>
      <c r="L139" s="405">
        <f t="shared" si="13"/>
        <v>100691.03674811785</v>
      </c>
      <c r="M139" s="418">
        <f>IF(ISBLANK(A139),NA(),IFERROR(A139+(PLAYER_EXP_MAX-D139)/L139,NA()))</f>
        <v>43733.979118212235</v>
      </c>
      <c r="N139" s="465" t="str">
        <f t="shared" ca="1" si="10"/>
        <v>019 D 00 H</v>
      </c>
    </row>
    <row r="140" spans="1:14" ht="14.65" customHeight="1" x14ac:dyDescent="0.25">
      <c r="A140" s="31">
        <v>43707.730555555558</v>
      </c>
      <c r="B140" s="395">
        <v>189</v>
      </c>
      <c r="C140" s="395">
        <v>172462</v>
      </c>
      <c r="D140" s="465">
        <f t="shared" si="11"/>
        <v>8796028</v>
      </c>
      <c r="E140" s="399">
        <f>IF(ISBLANK(A140),"-",D140/PLAYER_EXP_MAX)</f>
        <v>0.76938871316648549</v>
      </c>
      <c r="F140" s="405">
        <f ca="1">IF(ISBLANK(A140),NA(),IFERROR(SLOPE(INDIRECT("D" &amp; MATCH(A140-$B$1,A:A,1)):D140, INDIRECT("A" &amp; MATCH(A140-$B$1,A:A,1)):A140),NA()))</f>
        <v>102318.64696373147</v>
      </c>
      <c r="G140" s="418">
        <f ca="1">IF(ISBLANK(A140),NA(),IFERROR(A140+(PLAYER_EXP_MAX-D140)/F140,NA()))</f>
        <v>43733.497716070633</v>
      </c>
      <c r="H140" s="465" t="str">
        <f ca="1">IF(ISBLANK(#REF!),NA(),IFERROR(TEXT(TRUNC(G140-NOW()),"000") &amp; " D " &amp; TEXT(TRUNC(ABS(G140-NOW()-TRUNC(G140-NOW()))*24),"00") &amp; " H", NA()))</f>
        <v>018 D 12 H</v>
      </c>
      <c r="I140" s="405">
        <f ca="1">IF(ISBLANK(A140),NA(),IFERROR(SLOPE(INDIRECT("D" &amp; MATCH(A140-$C$1,A:A,1)):D140, INDIRECT("A" &amp; MATCH(A140-$C$1,A:A,1)):A140),NA()))</f>
        <v>106896.76803992363</v>
      </c>
      <c r="J140" s="418">
        <f ca="1">IF(ISBLANK(A140),NA(),IFERROR(A140+(PLAYER_EXP_MAX-D140)/I140,NA()))</f>
        <v>43732.394173065637</v>
      </c>
      <c r="K140" s="465" t="str">
        <f t="shared" ca="1" si="12"/>
        <v>017 D 10 H</v>
      </c>
      <c r="L140" s="405">
        <f t="shared" si="13"/>
        <v>100851.13716415677</v>
      </c>
      <c r="M140" s="418">
        <f>IF(ISBLANK(A140),NA(),IFERROR(A140+(PLAYER_EXP_MAX-D140)/L140,NA()))</f>
        <v>43733.872660385852</v>
      </c>
      <c r="N140" s="465" t="str">
        <f t="shared" ca="1" si="10"/>
        <v>018 D 21 H</v>
      </c>
    </row>
    <row r="141" spans="1:14" ht="14.65" customHeight="1" x14ac:dyDescent="0.25">
      <c r="A141" s="31">
        <v>43708.020833333336</v>
      </c>
      <c r="B141" s="395">
        <v>189</v>
      </c>
      <c r="C141" s="395">
        <v>134519</v>
      </c>
      <c r="D141" s="465">
        <f t="shared" si="11"/>
        <v>8833971</v>
      </c>
      <c r="E141" s="399">
        <f>IF(ISBLANK(A141),"-",D141/PLAYER_EXP_MAX)</f>
        <v>0.77270758799767925</v>
      </c>
      <c r="F141" s="405">
        <f ca="1">IF(ISBLANK(A141),NA(),IFERROR(SLOPE(INDIRECT("D" &amp; MATCH(A141-$B$1,A:A,1)):D141, INDIRECT("A" &amp; MATCH(A141-$B$1,A:A,1)):A141),NA()))</f>
        <v>104992.46555009212</v>
      </c>
      <c r="G141" s="418">
        <f ca="1">IF(ISBLANK(A141),NA(),IFERROR(A141+(PLAYER_EXP_MAX-D141)/F141,NA()))</f>
        <v>43732.770399755893</v>
      </c>
      <c r="H141" s="465" t="str">
        <f ca="1">IF(ISBLANK(#REF!),NA(),IFERROR(TEXT(TRUNC(G141-NOW()),"000") &amp; " D " &amp; TEXT(TRUNC(ABS(G141-NOW()-TRUNC(G141-NOW()))*24),"00") &amp; " H", NA()))</f>
        <v>017 D 19 H</v>
      </c>
      <c r="I141" s="405">
        <f ca="1">IF(ISBLANK(A141),NA(),IFERROR(SLOPE(INDIRECT("D" &amp; MATCH(A141-$C$1,A:A,1)):D141, INDIRECT("A" &amp; MATCH(A141-$C$1,A:A,1)):A141),NA()))</f>
        <v>106290.99374563659</v>
      </c>
      <c r="J141" s="418">
        <f ca="1">IF(ISBLANK(A141),NA(),IFERROR(A141+(PLAYER_EXP_MAX-D141)/I141,NA()))</f>
        <v>43732.468041026383</v>
      </c>
      <c r="K141" s="465" t="str">
        <f t="shared" ca="1" si="12"/>
        <v>017 D 12 H</v>
      </c>
      <c r="L141" s="405">
        <f t="shared" si="13"/>
        <v>101062.03051346212</v>
      </c>
      <c r="M141" s="418">
        <f>IF(ISBLANK(A141),NA(),IFERROR(A141+(PLAYER_EXP_MAX-D141)/L141,NA()))</f>
        <v>43733.732942884249</v>
      </c>
      <c r="N141" s="465" t="str">
        <f t="shared" ca="1" si="10"/>
        <v>018 D 18 H</v>
      </c>
    </row>
    <row r="142" spans="1:14" ht="14.65" customHeight="1" x14ac:dyDescent="0.25">
      <c r="A142" s="31">
        <v>43708.252083333333</v>
      </c>
      <c r="B142" s="395">
        <v>189</v>
      </c>
      <c r="C142" s="395">
        <v>109469</v>
      </c>
      <c r="D142" s="465">
        <f t="shared" si="11"/>
        <v>8859021</v>
      </c>
      <c r="E142" s="399">
        <f>IF(ISBLANK(A142),"-",D142/PLAYER_EXP_MAX)</f>
        <v>0.77489871190779192</v>
      </c>
      <c r="F142" s="405">
        <f ca="1">IF(ISBLANK(A142),NA(),IFERROR(SLOPE(INDIRECT("D" &amp; MATCH(A142-$B$1,A:A,1)):D142, INDIRECT("A" &amp; MATCH(A142-$B$1,A:A,1)):A142),NA()))</f>
        <v>108324.12315950931</v>
      </c>
      <c r="G142" s="418">
        <f ca="1">IF(ISBLANK(A142),NA(),IFERROR(A142+(PLAYER_EXP_MAX-D142)/F142,NA()))</f>
        <v>43732.009192321981</v>
      </c>
      <c r="H142" s="465" t="str">
        <f ca="1">IF(ISBLANK(#REF!),NA(),IFERROR(TEXT(TRUNC(G142-NOW()),"000") &amp; " D " &amp; TEXT(TRUNC(ABS(G142-NOW()-TRUNC(G142-NOW()))*24),"00") &amp; " H", NA()))</f>
        <v>017 D 01 H</v>
      </c>
      <c r="I142" s="405">
        <f ca="1">IF(ISBLANK(A142),NA(),IFERROR(SLOPE(INDIRECT("D" &amp; MATCH(A142-$C$1,A:A,1)):D142, INDIRECT("A" &amp; MATCH(A142-$C$1,A:A,1)):A142),NA()))</f>
        <v>106380.27309813842</v>
      </c>
      <c r="J142" s="418">
        <f ca="1">IF(ISBLANK(A142),NA(),IFERROR(A142+(PLAYER_EXP_MAX-D142)/I142,NA()))</f>
        <v>43732.443297785525</v>
      </c>
      <c r="K142" s="465" t="str">
        <f t="shared" ca="1" si="12"/>
        <v>017 D 11 H</v>
      </c>
      <c r="L142" s="405">
        <f t="shared" si="13"/>
        <v>101102.66129033445</v>
      </c>
      <c r="M142" s="418">
        <f>IF(ISBLANK(A142),NA(),IFERROR(A142+(PLAYER_EXP_MAX-D142)/L142,NA()))</f>
        <v>43733.706091834749</v>
      </c>
      <c r="N142" s="465" t="str">
        <f t="shared" ca="1" si="10"/>
        <v>018 D 17 H</v>
      </c>
    </row>
    <row r="143" spans="1:14" ht="14.65" customHeight="1" x14ac:dyDescent="0.25">
      <c r="A143" s="31">
        <v>43708.755555555559</v>
      </c>
      <c r="B143" s="395">
        <v>189</v>
      </c>
      <c r="C143" s="395">
        <v>82912</v>
      </c>
      <c r="D143" s="465">
        <f t="shared" si="11"/>
        <v>8885578</v>
      </c>
      <c r="E143" s="399">
        <f>IF(ISBLANK(A143),"-",D143/PLAYER_EXP_MAX)</f>
        <v>0.77722165313257685</v>
      </c>
      <c r="F143" s="405">
        <f ca="1">IF(ISBLANK(A143),NA(),IFERROR(SLOPE(INDIRECT("D" &amp; MATCH(A143-$B$1,A:A,1)):D143, INDIRECT("A" &amp; MATCH(A143-$B$1,A:A,1)):A143),NA()))</f>
        <v>85521.383434978299</v>
      </c>
      <c r="G143" s="418">
        <f ca="1">IF(ISBLANK(A143),NA(),IFERROR(A143+(PLAYER_EXP_MAX-D143)/F143,NA()))</f>
        <v>43738.536540119923</v>
      </c>
      <c r="H143" s="465" t="str">
        <f ca="1">IF(ISBLANK(#REF!),NA(),IFERROR(TEXT(TRUNC(G143-NOW()),"000") &amp; " D " &amp; TEXT(TRUNC(ABS(G143-NOW()-TRUNC(G143-NOW()))*24),"00") &amp; " H", NA()))</f>
        <v>023 D 13 H</v>
      </c>
      <c r="I143" s="405">
        <f ca="1">IF(ISBLANK(A143),NA(),IFERROR(SLOPE(INDIRECT("D" &amp; MATCH(A143-$C$1,A:A,1)):D143, INDIRECT("A" &amp; MATCH(A143-$C$1,A:A,1)):A143),NA()))</f>
        <v>105148.83294926383</v>
      </c>
      <c r="J143" s="418">
        <f ca="1">IF(ISBLANK(A143),NA(),IFERROR(A143+(PLAYER_EXP_MAX-D143)/I143,NA()))</f>
        <v>43732.977517212792</v>
      </c>
      <c r="K143" s="465" t="str">
        <f t="shared" ca="1" si="12"/>
        <v>018 D 00 H</v>
      </c>
      <c r="L143" s="405">
        <f t="shared" si="13"/>
        <v>100520.74827786733</v>
      </c>
      <c r="M143" s="418">
        <f>IF(ISBLANK(A143),NA(),IFERROR(A143+(PLAYER_EXP_MAX-D143)/L143,NA()))</f>
        <v>43734.092722694026</v>
      </c>
      <c r="N143" s="465" t="str">
        <f t="shared" ca="1" si="10"/>
        <v>019 D 03 H</v>
      </c>
    </row>
    <row r="144" spans="1:14" ht="14.65" customHeight="1" x14ac:dyDescent="0.25">
      <c r="A144" s="31">
        <v>43708.856944444444</v>
      </c>
      <c r="B144" s="395">
        <v>189</v>
      </c>
      <c r="C144" s="395">
        <v>68833</v>
      </c>
      <c r="D144" s="465">
        <f t="shared" si="11"/>
        <v>8899657</v>
      </c>
      <c r="E144" s="399">
        <f>IF(ISBLANK(A144),"-",D144/PLAYER_EXP_MAX)</f>
        <v>0.77845314349307482</v>
      </c>
      <c r="F144" s="405">
        <f ca="1">IF(ISBLANK(A144),NA(),IFERROR(SLOPE(INDIRECT("D" &amp; MATCH(A144-$B$1,A:A,1)):D144, INDIRECT("A" &amp; MATCH(A144-$B$1,A:A,1)):A144),NA()))</f>
        <v>84911.14416370925</v>
      </c>
      <c r="G144" s="418">
        <f ca="1">IF(ISBLANK(A144),NA(),IFERROR(A144+(PLAYER_EXP_MAX-D144)/F144,NA()))</f>
        <v>43738.686150315429</v>
      </c>
      <c r="H144" s="465" t="str">
        <f ca="1">IF(ISBLANK(#REF!),NA(),IFERROR(TEXT(TRUNC(G144-NOW()),"000") &amp; " D " &amp; TEXT(TRUNC(ABS(G144-NOW()-TRUNC(G144-NOW()))*24),"00") &amp; " H", NA()))</f>
        <v>023 D 17 H</v>
      </c>
      <c r="I144" s="405">
        <f ca="1">IF(ISBLANK(A144),NA(),IFERROR(SLOPE(INDIRECT("D" &amp; MATCH(A144-$C$1,A:A,1)):D144, INDIRECT("A" &amp; MATCH(A144-$C$1,A:A,1)):A144),NA()))</f>
        <v>103079.0180576101</v>
      </c>
      <c r="J144" s="418">
        <f ca="1">IF(ISBLANK(A144),NA(),IFERROR(A144+(PLAYER_EXP_MAX-D144)/I144,NA()))</f>
        <v>43733.428695783638</v>
      </c>
      <c r="K144" s="465" t="str">
        <f t="shared" ca="1" si="12"/>
        <v>018 D 11 H</v>
      </c>
      <c r="L144" s="405">
        <f t="shared" si="13"/>
        <v>100613.43975096829</v>
      </c>
      <c r="M144" s="418">
        <f>IF(ISBLANK(A144),NA(),IFERROR(A144+(PLAYER_EXP_MAX-D144)/L144,NA()))</f>
        <v>43734.030837775885</v>
      </c>
      <c r="N144" s="465" t="str">
        <f t="shared" ca="1" si="10"/>
        <v>019 D 01 H</v>
      </c>
    </row>
    <row r="145" spans="1:14" ht="14.65" customHeight="1" x14ac:dyDescent="0.25">
      <c r="A145" s="31">
        <v>43709.65</v>
      </c>
      <c r="B145" s="395">
        <v>190</v>
      </c>
      <c r="C145" s="395">
        <v>202507</v>
      </c>
      <c r="D145" s="465">
        <f t="shared" si="11"/>
        <v>8974983</v>
      </c>
      <c r="E145" s="399">
        <f>IF(ISBLANK(A145),"-",D145/PLAYER_EXP_MAX)</f>
        <v>0.7850419099462943</v>
      </c>
      <c r="F145" s="405">
        <f ca="1">IF(ISBLANK(A145),NA(),IFERROR(SLOPE(INDIRECT("D" &amp; MATCH(A145-$B$1,A:A,1)):D145, INDIRECT("A" &amp; MATCH(A145-$B$1,A:A,1)):A145),NA()))</f>
        <v>85025.774901254466</v>
      </c>
      <c r="G145" s="418">
        <f ca="1">IF(ISBLANK(A145),NA(),IFERROR(A145+(PLAYER_EXP_MAX-D145)/F145,NA()))</f>
        <v>43738.553070896494</v>
      </c>
      <c r="H145" s="465" t="str">
        <f ca="1">IF(ISBLANK(#REF!),NA(),IFERROR(TEXT(TRUNC(G145-NOW()),"000") &amp; " D " &amp; TEXT(TRUNC(ABS(G145-NOW()-TRUNC(G145-NOW()))*24),"00") &amp; " H", NA()))</f>
        <v>023 D 14 H</v>
      </c>
      <c r="I145" s="405">
        <f ca="1">IF(ISBLANK(A145),NA(),IFERROR(SLOPE(INDIRECT("D" &amp; MATCH(A145-$C$1,A:A,1)):D145, INDIRECT("A" &amp; MATCH(A145-$C$1,A:A,1)):A145),NA()))</f>
        <v>102310.72764816589</v>
      </c>
      <c r="J145" s="418">
        <f ca="1">IF(ISBLANK(A145),NA(),IFERROR(A145+(PLAYER_EXP_MAX-D145)/I145,NA()))</f>
        <v>43733.670022694503</v>
      </c>
      <c r="K145" s="465" t="str">
        <f t="shared" ca="1" si="12"/>
        <v>018 D 17 H</v>
      </c>
      <c r="L145" s="405">
        <f t="shared" si="13"/>
        <v>100508.92496709767</v>
      </c>
      <c r="M145" s="418">
        <f>IF(ISBLANK(A145),NA(),IFERROR(A145+(PLAYER_EXP_MAX-D145)/L145,NA()))</f>
        <v>43734.100624666462</v>
      </c>
      <c r="N145" s="465" t="str">
        <f t="shared" ca="1" si="10"/>
        <v>019 D 03 H</v>
      </c>
    </row>
    <row r="146" spans="1:14" ht="14.65" customHeight="1" x14ac:dyDescent="0.25">
      <c r="A146" s="31">
        <v>43709.729861111111</v>
      </c>
      <c r="B146" s="395">
        <v>190</v>
      </c>
      <c r="C146" s="395">
        <v>190166</v>
      </c>
      <c r="D146" s="465">
        <f t="shared" si="11"/>
        <v>8987324</v>
      </c>
      <c r="E146" s="399">
        <f>IF(ISBLANK(A146),"-",D146/PLAYER_EXP_MAX)</f>
        <v>0.78612137741833821</v>
      </c>
      <c r="F146" s="405">
        <f ca="1">IF(ISBLANK(A146),NA(),IFERROR(SLOPE(INDIRECT("D" &amp; MATCH(A146-$B$1,A:A,1)):D146, INDIRECT("A" &amp; MATCH(A146-$B$1,A:A,1)):A146),NA()))</f>
        <v>89387.787438649699</v>
      </c>
      <c r="G146" s="418">
        <f ca="1">IF(ISBLANK(A146),NA(),IFERROR(A146+(PLAYER_EXP_MAX-D146)/F146,NA()))</f>
        <v>43737.08443683185</v>
      </c>
      <c r="H146" s="465" t="str">
        <f ca="1">IF(ISBLANK(#REF!),NA(),IFERROR(TEXT(TRUNC(G146-NOW()),"000") &amp; " D " &amp; TEXT(TRUNC(ABS(G146-NOW()-TRUNC(G146-NOW()))*24),"00") &amp; " H", NA()))</f>
        <v>022 D 02 H</v>
      </c>
      <c r="I146" s="405">
        <f ca="1">IF(ISBLANK(A146),NA(),IFERROR(SLOPE(INDIRECT("D" &amp; MATCH(A146-$C$1,A:A,1)):D146, INDIRECT("A" &amp; MATCH(A146-$C$1,A:A,1)):A146),NA()))</f>
        <v>101959.12859831368</v>
      </c>
      <c r="J146" s="418">
        <f ca="1">IF(ISBLANK(A146),NA(),IFERROR(A146+(PLAYER_EXP_MAX-D146)/I146,NA()))</f>
        <v>43733.711676507286</v>
      </c>
      <c r="K146" s="465" t="str">
        <f t="shared" ca="1" si="12"/>
        <v>018 D 18 H</v>
      </c>
      <c r="L146" s="405">
        <f t="shared" si="13"/>
        <v>100609.69893590474</v>
      </c>
      <c r="M146" s="418">
        <f>IF(ISBLANK(A146),NA(),IFERROR(A146+(PLAYER_EXP_MAX-D146)/L146,NA()))</f>
        <v>43734.033333101004</v>
      </c>
      <c r="N146" s="465" t="str">
        <f t="shared" ca="1" si="10"/>
        <v>019 D 01 H</v>
      </c>
    </row>
    <row r="147" spans="1:14" ht="14.65" customHeight="1" x14ac:dyDescent="0.25">
      <c r="A147" s="31">
        <v>43709.788888888892</v>
      </c>
      <c r="B147" s="395">
        <v>190</v>
      </c>
      <c r="C147" s="395">
        <v>180121</v>
      </c>
      <c r="D147" s="465">
        <f t="shared" si="11"/>
        <v>8997369</v>
      </c>
      <c r="E147" s="399">
        <f>IF(ISBLANK(A147),"-",D147/PLAYER_EXP_MAX)</f>
        <v>0.7870000137327926</v>
      </c>
      <c r="F147" s="405">
        <f ca="1">IF(ISBLANK(A147),NA(),IFERROR(SLOPE(INDIRECT("D" &amp; MATCH(A147-$B$1,A:A,1)):D147, INDIRECT("A" &amp; MATCH(A147-$B$1,A:A,1)):A147),NA()))</f>
        <v>103217.88274243085</v>
      </c>
      <c r="G147" s="418">
        <f ca="1">IF(ISBLANK(A147),NA(),IFERROR(A147+(PLAYER_EXP_MAX-D147)/F147,NA()))</f>
        <v>43733.380924835576</v>
      </c>
      <c r="H147" s="465" t="str">
        <f ca="1">IF(ISBLANK(#REF!),NA(),IFERROR(TEXT(TRUNC(G147-NOW()),"000") &amp; " D " &amp; TEXT(TRUNC(ABS(G147-NOW()-TRUNC(G147-NOW()))*24),"00") &amp; " H", NA()))</f>
        <v>018 D 10 H</v>
      </c>
      <c r="I147" s="405">
        <f ca="1">IF(ISBLANK(A147),NA(),IFERROR(SLOPE(INDIRECT("D" &amp; MATCH(A147-$C$1,A:A,1)):D147, INDIRECT("A" &amp; MATCH(A147-$C$1,A:A,1)):A147),NA()))</f>
        <v>101840.10159999476</v>
      </c>
      <c r="J147" s="418">
        <f ca="1">IF(ISBLANK(A147),NA(),IFERROR(A147+(PLAYER_EXP_MAX-D147)/I147,NA()))</f>
        <v>43733.700098341185</v>
      </c>
      <c r="K147" s="465" t="str">
        <f t="shared" ca="1" si="12"/>
        <v>018 D 17 H</v>
      </c>
      <c r="L147" s="405">
        <f t="shared" si="13"/>
        <v>100705.48199504621</v>
      </c>
      <c r="M147" s="418">
        <f>IF(ISBLANK(A147),NA(),IFERROR(A147+(PLAYER_EXP_MAX-D147)/L147,NA()))</f>
        <v>43733.969499038001</v>
      </c>
      <c r="N147" s="465" t="str">
        <f t="shared" ca="1" si="10"/>
        <v>019 D 00 H</v>
      </c>
    </row>
    <row r="148" spans="1:14" ht="14.65" customHeight="1" x14ac:dyDescent="0.25">
      <c r="A148" s="31">
        <v>43709.885416666664</v>
      </c>
      <c r="B148" s="395">
        <v>190</v>
      </c>
      <c r="C148" s="395">
        <v>165366</v>
      </c>
      <c r="D148" s="466">
        <f t="shared" si="11"/>
        <v>9012124</v>
      </c>
      <c r="E148" s="399">
        <f>IF(ISBLANK(A148),"-",D148/PLAYER_EXP_MAX)</f>
        <v>0.78829063382435793</v>
      </c>
      <c r="F148" s="405">
        <f ca="1">IF(ISBLANK(A148),NA(),IFERROR(SLOPE(INDIRECT("D" &amp; MATCH(A148-$B$1,A:A,1)):D148, INDIRECT("A" &amp; MATCH(A148-$B$1,A:A,1)):A148),NA()))</f>
        <v>105292.10849968468</v>
      </c>
      <c r="G148" s="418">
        <f ca="1">IF(ISBLANK(A148),NA(),IFERROR(A148+(PLAYER_EXP_MAX-D148)/F148,NA()))</f>
        <v>43732.872561994911</v>
      </c>
      <c r="H148" s="466" t="str">
        <f ca="1">IF(ISBLANK(#REF!),NA(),IFERROR(TEXT(TRUNC(G148-NOW()),"000") &amp; " D " &amp; TEXT(TRUNC(ABS(G148-NOW()-TRUNC(G148-NOW()))*24),"00") &amp; " H", NA()))</f>
        <v>017 D 21 H</v>
      </c>
      <c r="I148" s="405">
        <f ca="1">IF(ISBLANK(A148),NA(),IFERROR(SLOPE(INDIRECT("D" &amp; MATCH(A148-$C$1,A:A,1)):D148, INDIRECT("A" &amp; MATCH(A148-$C$1,A:A,1)):A148),NA()))</f>
        <v>101890.59788752173</v>
      </c>
      <c r="J148" s="418">
        <f ca="1">IF(ISBLANK(A148),NA(),IFERROR(A148+(PLAYER_EXP_MAX-D148)/I148,NA()))</f>
        <v>43733.639963702219</v>
      </c>
      <c r="K148" s="466" t="str">
        <f t="shared" ca="1" si="12"/>
        <v>018 D 16 H</v>
      </c>
      <c r="L148" s="405">
        <f t="shared" si="13"/>
        <v>100822.64546161407</v>
      </c>
      <c r="M148" s="418">
        <f>IF(ISBLANK(A148),NA(),IFERROR(A148+(PLAYER_EXP_MAX-D148)/L148,NA()))</f>
        <v>43733.891581044896</v>
      </c>
      <c r="N148" s="466" t="str">
        <f t="shared" ref="N148:N211" ca="1" si="14">IF(ISBLANK(D148),NA(),IFERROR(TEXT(TRUNC(M148-NOW()),"000") &amp; " D " &amp; TEXT(TRUNC(ABS(M148-NOW()-TRUNC(M148-NOW()))*24),"00") &amp; " H", NA()))</f>
        <v>018 D 22 H</v>
      </c>
    </row>
    <row r="149" spans="1:14" ht="14.65" customHeight="1" x14ac:dyDescent="0.25">
      <c r="A149" s="31">
        <v>43709.972916666666</v>
      </c>
      <c r="B149" s="395">
        <v>190</v>
      </c>
      <c r="C149" s="395">
        <v>153774</v>
      </c>
      <c r="D149" s="466">
        <f t="shared" si="11"/>
        <v>9023716</v>
      </c>
      <c r="E149" s="399">
        <f>IF(ISBLANK(A149),"-",D149/PLAYER_EXP_MAX)</f>
        <v>0.78930458625413946</v>
      </c>
      <c r="F149" s="405">
        <f ca="1">IF(ISBLANK(A149),NA(),IFERROR(SLOPE(INDIRECT("D" &amp; MATCH(A149-$B$1,A:A,1)):D149, INDIRECT("A" &amp; MATCH(A149-$B$1,A:A,1)):A149),NA()))</f>
        <v>108605.86180135183</v>
      </c>
      <c r="G149" s="418">
        <f ca="1">IF(ISBLANK(A149),NA(),IFERROR(A149+(PLAYER_EXP_MAX-D149)/F149,NA()))</f>
        <v>43732.151949732171</v>
      </c>
      <c r="H149" s="466" t="str">
        <f ca="1">IF(ISBLANK(#REF!),NA(),IFERROR(TEXT(TRUNC(G149-NOW()),"000") &amp; " D " &amp; TEXT(TRUNC(ABS(G149-NOW()-TRUNC(G149-NOW()))*24),"00") &amp; " H", NA()))</f>
        <v>017 D 04 H</v>
      </c>
      <c r="I149" s="405">
        <f ca="1">IF(ISBLANK(A149),NA(),IFERROR(SLOPE(INDIRECT("D" &amp; MATCH(A149-$C$1,A:A,1)):D149, INDIRECT("A" &amp; MATCH(A149-$C$1,A:A,1)):A149),NA()))</f>
        <v>101998.33096929338</v>
      </c>
      <c r="J149" s="418">
        <f ca="1">IF(ISBLANK(A149),NA(),IFERROR(A149+(PLAYER_EXP_MAX-D149)/I149,NA()))</f>
        <v>43733.588724661851</v>
      </c>
      <c r="K149" s="466" t="str">
        <f t="shared" ca="1" si="12"/>
        <v>018 D 15 H</v>
      </c>
      <c r="L149" s="405">
        <f t="shared" si="13"/>
        <v>100886.98345109157</v>
      </c>
      <c r="M149" s="418">
        <f>IF(ISBLANK(A149),NA(),IFERROR(A149+(PLAYER_EXP_MAX-D149)/L149,NA()))</f>
        <v>43733.848870903792</v>
      </c>
      <c r="N149" s="466" t="str">
        <f t="shared" ca="1" si="14"/>
        <v>018 D 21 H</v>
      </c>
    </row>
    <row r="150" spans="1:14" ht="14.65" customHeight="1" x14ac:dyDescent="0.25">
      <c r="A150" s="31">
        <v>43710.634722222225</v>
      </c>
      <c r="B150" s="395">
        <v>190</v>
      </c>
      <c r="C150" s="395">
        <v>106981</v>
      </c>
      <c r="D150" s="466">
        <f t="shared" si="11"/>
        <v>9070509</v>
      </c>
      <c r="E150" s="399">
        <f>IF(ISBLANK(A150),"-",D150/PLAYER_EXP_MAX)</f>
        <v>0.79339757073022332</v>
      </c>
      <c r="F150" s="405">
        <f ca="1">IF(ISBLANK(A150),NA(),IFERROR(SLOPE(INDIRECT("D" &amp; MATCH(A150-$B$1,A:A,1)):D150, INDIRECT("A" &amp; MATCH(A150-$B$1,A:A,1)):A150),NA()))</f>
        <v>98728.638740137962</v>
      </c>
      <c r="G150" s="418">
        <f ca="1">IF(ISBLANK(A150),NA(),IFERROR(A150+(PLAYER_EXP_MAX-D150)/F150,NA()))</f>
        <v>43734.558682180963</v>
      </c>
      <c r="H150" s="466" t="str">
        <f ca="1">IF(ISBLANK(#REF!),NA(),IFERROR(TEXT(TRUNC(G150-NOW()),"000") &amp; " D " &amp; TEXT(TRUNC(ABS(G150-NOW()-TRUNC(G150-NOW()))*24),"00") &amp; " H", NA()))</f>
        <v>019 D 14 H</v>
      </c>
      <c r="I150" s="405">
        <f ca="1">IF(ISBLANK(A150),NA(),IFERROR(SLOPE(INDIRECT("D" &amp; MATCH(A150-$C$1,A:A,1)):D150, INDIRECT("A" &amp; MATCH(A150-$C$1,A:A,1)):A150),NA()))</f>
        <v>101525.38617897917</v>
      </c>
      <c r="J150" s="418">
        <f ca="1">IF(ISBLANK(A150),NA(),IFERROR(A150+(PLAYER_EXP_MAX-D150)/I150,NA()))</f>
        <v>43733.899642346107</v>
      </c>
      <c r="K150" s="466" t="str">
        <f t="shared" ca="1" si="12"/>
        <v>018 D 22 H</v>
      </c>
      <c r="L150" s="405">
        <f t="shared" si="13"/>
        <v>100430.06655970926</v>
      </c>
      <c r="M150" s="418">
        <f>IF(ISBLANK(A150),NA(),IFERROR(A150+(PLAYER_EXP_MAX-D150)/L150,NA()))</f>
        <v>43734.153376355505</v>
      </c>
      <c r="N150" s="466" t="str">
        <f t="shared" ca="1" si="14"/>
        <v>019 D 04 H</v>
      </c>
    </row>
    <row r="151" spans="1:14" ht="14.65" customHeight="1" x14ac:dyDescent="0.25">
      <c r="A151" s="31">
        <v>43711.76666666667</v>
      </c>
      <c r="B151" s="395">
        <v>191</v>
      </c>
      <c r="C151" s="395">
        <v>177557</v>
      </c>
      <c r="D151" s="466">
        <f t="shared" si="11"/>
        <v>9211933</v>
      </c>
      <c r="E151" s="399">
        <f>IF(ISBLANK(A151),"-",D151/PLAYER_EXP_MAX)</f>
        <v>0.80576793032558347</v>
      </c>
      <c r="F151" s="405">
        <f ca="1">IF(ISBLANK(A151),NA(),IFERROR(SLOPE(INDIRECT("D" &amp; MATCH(A151-$B$1,A:A,1)):D151, INDIRECT("A" &amp; MATCH(A151-$B$1,A:A,1)):A151),NA()))</f>
        <v>124938.99386494145</v>
      </c>
      <c r="G151" s="418">
        <f ca="1">IF(ISBLANK(A151),NA(),IFERROR(A151+(PLAYER_EXP_MAX-D151)/F151,NA()))</f>
        <v>43729.539788822593</v>
      </c>
      <c r="H151" s="466" t="str">
        <f ca="1">IF(ISBLANK(#REF!),NA(),IFERROR(TEXT(TRUNC(G151-NOW()),"000") &amp; " D " &amp; TEXT(TRUNC(ABS(G151-NOW()-TRUNC(G151-NOW()))*24),"00") &amp; " H", NA()))</f>
        <v>014 D 13 H</v>
      </c>
      <c r="I151" s="405">
        <f ca="1">IF(ISBLANK(A151),NA(),IFERROR(SLOPE(INDIRECT("D" &amp; MATCH(A151-$C$1,A:A,1)):D151, INDIRECT("A" &amp; MATCH(A151-$C$1,A:A,1)):A151),NA()))</f>
        <v>100464.14959290033</v>
      </c>
      <c r="J151" s="418">
        <f ca="1">IF(ISBLANK(A151),NA(),IFERROR(A151+(PLAYER_EXP_MAX-D151)/I151,NA()))</f>
        <v>43733.8696358253</v>
      </c>
      <c r="K151" s="466" t="str">
        <f t="shared" ca="1" si="12"/>
        <v>018 D 21 H</v>
      </c>
      <c r="L151" s="405">
        <f t="shared" si="13"/>
        <v>101048.66260974809</v>
      </c>
      <c r="M151" s="418">
        <f>IF(ISBLANK(A151),NA(),IFERROR(A151+(PLAYER_EXP_MAX-D151)/L151,NA()))</f>
        <v>43733.741781850287</v>
      </c>
      <c r="N151" s="466" t="str">
        <f t="shared" ca="1" si="14"/>
        <v>018 D 18 H</v>
      </c>
    </row>
    <row r="152" spans="1:14" ht="14.65" customHeight="1" x14ac:dyDescent="0.25">
      <c r="A152" s="31">
        <v>43711.905555555553</v>
      </c>
      <c r="B152" s="395">
        <v>191</v>
      </c>
      <c r="C152" s="395">
        <v>167223</v>
      </c>
      <c r="D152" s="466">
        <f t="shared" si="11"/>
        <v>9222267</v>
      </c>
      <c r="E152" s="399">
        <f>IF(ISBLANK(A152),"-",D152/PLAYER_EXP_MAX)</f>
        <v>0.80667184547476933</v>
      </c>
      <c r="F152" s="405">
        <f ca="1">IF(ISBLANK(A152),NA(),IFERROR(SLOPE(INDIRECT("D" &amp; MATCH(A152-$B$1,A:A,1)):D152, INDIRECT("A" &amp; MATCH(A152-$B$1,A:A,1)):A152),NA()))</f>
        <v>121545.41771173901</v>
      </c>
      <c r="G152" s="418">
        <f ca="1">IF(ISBLANK(A152),NA(),IFERROR(A152+(PLAYER_EXP_MAX-D152)/F152,NA()))</f>
        <v>43730.089885673551</v>
      </c>
      <c r="H152" s="466" t="str">
        <f ca="1">IF(ISBLANK(#REF!),NA(),IFERROR(TEXT(TRUNC(G152-NOW()),"000") &amp; " D " &amp; TEXT(TRUNC(ABS(G152-NOW()-TRUNC(G152-NOW()))*24),"00") &amp; " H", NA()))</f>
        <v>015 D 03 H</v>
      </c>
      <c r="I152" s="405">
        <f ca="1">IF(ISBLANK(A152),NA(),IFERROR(SLOPE(INDIRECT("D" &amp; MATCH(A152-$C$1,A:A,1)):D152, INDIRECT("A" &amp; MATCH(A152-$C$1,A:A,1)):A152),NA()))</f>
        <v>101041.36195118733</v>
      </c>
      <c r="J152" s="418">
        <f ca="1">IF(ISBLANK(A152),NA(),IFERROR(A152+(PLAYER_EXP_MAX-D152)/I152,NA()))</f>
        <v>43733.779983585016</v>
      </c>
      <c r="K152" s="466" t="str">
        <f t="shared" ca="1" si="12"/>
        <v>018 D 19 H</v>
      </c>
      <c r="L152" s="405">
        <f t="shared" si="13"/>
        <v>100966.40434696845</v>
      </c>
      <c r="M152" s="418">
        <f>IF(ISBLANK(A152),NA(),IFERROR(A152+(PLAYER_EXP_MAX-D152)/L152,NA()))</f>
        <v>43733.796223191937</v>
      </c>
      <c r="N152" s="466" t="str">
        <f t="shared" ca="1" si="14"/>
        <v>018 D 20 H</v>
      </c>
    </row>
    <row r="153" spans="1:14" ht="14.65" customHeight="1" x14ac:dyDescent="0.25">
      <c r="A153" s="31">
        <v>43712.520833333336</v>
      </c>
      <c r="B153" s="395">
        <v>191</v>
      </c>
      <c r="C153" s="395">
        <v>114634</v>
      </c>
      <c r="D153" s="466">
        <f t="shared" si="11"/>
        <v>9274856</v>
      </c>
      <c r="E153" s="399">
        <f>IF(ISBLANK(A153),"-",D153/PLAYER_EXP_MAX)</f>
        <v>0.81127180616574401</v>
      </c>
      <c r="F153" s="405">
        <f ca="1">IF(ISBLANK(A153),NA(),IFERROR(SLOPE(INDIRECT("D" &amp; MATCH(A153-$B$1,A:A,1)):D153, INDIRECT("A" &amp; MATCH(A153-$B$1,A:A,1)):A153),NA()))</f>
        <v>110454.41089434452</v>
      </c>
      <c r="G153" s="418">
        <f ca="1">IF(ISBLANK(A153),NA(),IFERROR(A153+(PLAYER_EXP_MAX-D153)/F153,NA()))</f>
        <v>43732.054983056551</v>
      </c>
      <c r="H153" s="466" t="str">
        <f ca="1">IF(ISBLANK(#REF!),NA(),IFERROR(TEXT(TRUNC(G153-NOW()),"000") &amp; " D " &amp; TEXT(TRUNC(ABS(G153-NOW()-TRUNC(G153-NOW()))*24),"00") &amp; " H", NA()))</f>
        <v>017 D 02 H</v>
      </c>
      <c r="I153" s="405">
        <f ca="1">IF(ISBLANK(A153),NA(),IFERROR(SLOPE(INDIRECT("D" &amp; MATCH(A153-$C$1,A:A,1)):D153, INDIRECT("A" &amp; MATCH(A153-$C$1,A:A,1)):A153),NA()))</f>
        <v>100946.69419309517</v>
      </c>
      <c r="J153" s="418">
        <f ca="1">IF(ISBLANK(A153),NA(),IFERROR(A153+(PLAYER_EXP_MAX-D153)/I153,NA()))</f>
        <v>43733.894817070461</v>
      </c>
      <c r="K153" s="466" t="str">
        <f t="shared" ca="1" si="12"/>
        <v>018 D 22 H</v>
      </c>
      <c r="L153" s="405">
        <f t="shared" si="13"/>
        <v>100757.34843985992</v>
      </c>
      <c r="M153" s="418">
        <f>IF(ISBLANK(A153),NA(),IFERROR(A153+(PLAYER_EXP_MAX-D153)/L153,NA()))</f>
        <v>43733.934983600382</v>
      </c>
      <c r="N153" s="466" t="str">
        <f t="shared" ca="1" si="14"/>
        <v>018 D 23 H</v>
      </c>
    </row>
    <row r="154" spans="1:14" ht="14.65" customHeight="1" x14ac:dyDescent="0.25">
      <c r="A154" s="31">
        <v>43712.629166666666</v>
      </c>
      <c r="B154" s="395">
        <v>191</v>
      </c>
      <c r="C154" s="395">
        <v>98269</v>
      </c>
      <c r="D154" s="466">
        <f t="shared" si="11"/>
        <v>9291221</v>
      </c>
      <c r="E154" s="399">
        <f>IF(ISBLANK(A154),"-",D154/PLAYER_EXP_MAX)</f>
        <v>0.81270325298366786</v>
      </c>
      <c r="F154" s="405">
        <f ca="1">IF(ISBLANK(A154),NA(),IFERROR(SLOPE(INDIRECT("D" &amp; MATCH(A154-$B$1,A:A,1)):D154, INDIRECT("A" &amp; MATCH(A154-$B$1,A:A,1)):A154),NA()))</f>
        <v>108844.19085054069</v>
      </c>
      <c r="G154" s="418">
        <f ca="1">IF(ISBLANK(A154),NA(),IFERROR(A154+(PLAYER_EXP_MAX-D154)/F154,NA()))</f>
        <v>43732.301948312313</v>
      </c>
      <c r="H154" s="466" t="str">
        <f ca="1">IF(ISBLANK(#REF!),NA(),IFERROR(TEXT(TRUNC(G154-NOW()),"000") &amp; " D " &amp; TEXT(TRUNC(ABS(G154-NOW()-TRUNC(G154-NOW()))*24),"00") &amp; " H", NA()))</f>
        <v>017 D 08 H</v>
      </c>
      <c r="I154" s="405">
        <f ca="1">IF(ISBLANK(A154),NA(),IFERROR(SLOPE(INDIRECT("D" &amp; MATCH(A154-$C$1,A:A,1)):D154, INDIRECT("A" &amp; MATCH(A154-$C$1,A:A,1)):A154),NA()))</f>
        <v>101125.14343323221</v>
      </c>
      <c r="J154" s="418">
        <f ca="1">IF(ISBLANK(A154),NA(),IFERROR(A154+(PLAYER_EXP_MAX-D154)/I154,NA()))</f>
        <v>43733.80360387687</v>
      </c>
      <c r="K154" s="466" t="str">
        <f t="shared" ca="1" si="12"/>
        <v>018 D 20 H</v>
      </c>
      <c r="L154" s="405">
        <f t="shared" si="13"/>
        <v>100876.56898045934</v>
      </c>
      <c r="M154" s="418">
        <f>IF(ISBLANK(A154),NA(),IFERROR(A154+(PLAYER_EXP_MAX-D154)/L154,NA()))</f>
        <v>43733.85578075199</v>
      </c>
      <c r="N154" s="466" t="str">
        <f t="shared" ca="1" si="14"/>
        <v>018 D 21 H</v>
      </c>
    </row>
    <row r="155" spans="1:14" ht="14.65" customHeight="1" x14ac:dyDescent="0.25">
      <c r="A155" s="31">
        <v>43712.790972222225</v>
      </c>
      <c r="B155" s="395">
        <v>191</v>
      </c>
      <c r="C155" s="395">
        <v>66801</v>
      </c>
      <c r="D155" s="466">
        <f t="shared" si="11"/>
        <v>9322689</v>
      </c>
      <c r="E155" s="399">
        <f>IF(ISBLANK(A155),"-",D155/PLAYER_EXP_MAX)</f>
        <v>0.81545575945885451</v>
      </c>
      <c r="F155" s="405">
        <f ca="1">IF(ISBLANK(A155),NA(),IFERROR(SLOPE(INDIRECT("D" &amp; MATCH(A155-$B$1,A:A,1)):D155, INDIRECT("A" &amp; MATCH(A155-$B$1,A:A,1)):A155),NA()))</f>
        <v>100923.29986575861</v>
      </c>
      <c r="G155" s="418">
        <f ca="1">IF(ISBLANK(A155),NA(),IFERROR(A155+(PLAYER_EXP_MAX-D155)/F155,NA()))</f>
        <v>43733.695956530173</v>
      </c>
      <c r="H155" s="466" t="str">
        <f ca="1">IF(ISBLANK(#REF!),NA(),IFERROR(TEXT(TRUNC(G155-NOW()),"000") &amp; " D " &amp; TEXT(TRUNC(ABS(G155-NOW()-TRUNC(G155-NOW()))*24),"00") &amp; " H", NA()))</f>
        <v>018 D 17 H</v>
      </c>
      <c r="I155" s="405">
        <f ca="1">IF(ISBLANK(A155),NA(),IFERROR(SLOPE(INDIRECT("D" &amp; MATCH(A155-$C$1,A:A,1)):D155, INDIRECT("A" &amp; MATCH(A155-$C$1,A:A,1)):A155),NA()))</f>
        <v>101824.1210481075</v>
      </c>
      <c r="J155" s="418">
        <f ca="1">IF(ISBLANK(A155),NA(),IFERROR(A155+(PLAYER_EXP_MAX-D155)/I155,NA()))</f>
        <v>43733.511013586525</v>
      </c>
      <c r="K155" s="466" t="str">
        <f t="shared" ca="1" si="12"/>
        <v>018 D 13 H</v>
      </c>
      <c r="L155" s="405">
        <f t="shared" si="13"/>
        <v>101206.7385248919</v>
      </c>
      <c r="M155" s="418">
        <f>IF(ISBLANK(A155),NA(),IFERROR(A155+(PLAYER_EXP_MAX-D155)/L155,NA()))</f>
        <v>43733.63741022379</v>
      </c>
      <c r="N155" s="466" t="str">
        <f t="shared" ca="1" si="14"/>
        <v>018 D 16 H</v>
      </c>
    </row>
    <row r="156" spans="1:14" ht="14.65" customHeight="1" x14ac:dyDescent="0.25">
      <c r="A156" s="31">
        <v>43712.988194444442</v>
      </c>
      <c r="B156" s="395">
        <v>191</v>
      </c>
      <c r="C156" s="395">
        <v>35854</v>
      </c>
      <c r="D156" s="466">
        <f t="shared" si="11"/>
        <v>9353636</v>
      </c>
      <c r="E156" s="399">
        <f>IF(ISBLANK(A156),"-",D156/PLAYER_EXP_MAX)</f>
        <v>0.81816269405551145</v>
      </c>
      <c r="F156" s="405">
        <f ca="1">IF(ISBLANK(A156),NA(),IFERROR(SLOPE(INDIRECT("D" &amp; MATCH(A156-$B$1,A:A,1)):D156, INDIRECT("A" &amp; MATCH(A156-$B$1,A:A,1)):A156),NA()))</f>
        <v>118768.04703146801</v>
      </c>
      <c r="G156" s="418">
        <f ca="1">IF(ISBLANK(A156),NA(),IFERROR(A156+(PLAYER_EXP_MAX-D156)/F156,NA()))</f>
        <v>43730.491664880807</v>
      </c>
      <c r="H156" s="466" t="str">
        <f ca="1">IF(ISBLANK(#REF!),NA(),IFERROR(TEXT(TRUNC(G156-NOW()),"000") &amp; " D " &amp; TEXT(TRUNC(ABS(G156-NOW()-TRUNC(G156-NOW()))*24),"00") &amp; " H", NA()))</f>
        <v>015 D 12 H</v>
      </c>
      <c r="I156" s="405">
        <f ca="1">IF(ISBLANK(A156),NA(),IFERROR(SLOPE(INDIRECT("D" &amp; MATCH(A156-$C$1,A:A,1)):D156, INDIRECT("A" &amp; MATCH(A156-$C$1,A:A,1)):A156),NA()))</f>
        <v>102706.94843254179</v>
      </c>
      <c r="J156" s="418">
        <f ca="1">IF(ISBLANK(A156),NA(),IFERROR(A156+(PLAYER_EXP_MAX-D156)/I156,NA()))</f>
        <v>43733.228821117969</v>
      </c>
      <c r="K156" s="466" t="str">
        <f t="shared" ca="1" si="12"/>
        <v>018 D 06 H</v>
      </c>
      <c r="L156" s="405">
        <f t="shared" si="13"/>
        <v>101445.22158578451</v>
      </c>
      <c r="M156" s="418">
        <f>IF(ISBLANK(A156),NA(),IFERROR(A156+(PLAYER_EXP_MAX-D156)/L156,NA()))</f>
        <v>43733.480564291967</v>
      </c>
      <c r="N156" s="466" t="str">
        <f t="shared" ca="1" si="14"/>
        <v>018 D 12 H</v>
      </c>
    </row>
    <row r="157" spans="1:14" ht="14.65" customHeight="1" x14ac:dyDescent="0.25">
      <c r="A157" s="31">
        <v>43713.013888888891</v>
      </c>
      <c r="B157" s="395">
        <v>191</v>
      </c>
      <c r="C157" s="395">
        <v>31836</v>
      </c>
      <c r="D157" s="466">
        <f t="shared" si="11"/>
        <v>9357654</v>
      </c>
      <c r="E157" s="399">
        <f>IF(ISBLANK(A157),"-",D157/PLAYER_EXP_MAX)</f>
        <v>0.81851414858129323</v>
      </c>
      <c r="F157" s="405">
        <f ca="1">IF(ISBLANK(A157),NA(),IFERROR(SLOPE(INDIRECT("D" &amp; MATCH(A157-$B$1,A:A,1)):D157, INDIRECT("A" &amp; MATCH(A157-$B$1,A:A,1)):A157),NA()))</f>
        <v>123943.23507637085</v>
      </c>
      <c r="G157" s="418">
        <f ca="1">IF(ISBLANK(A157),NA(),IFERROR(A157+(PLAYER_EXP_MAX-D157)/F157,NA()))</f>
        <v>43729.754092569405</v>
      </c>
      <c r="H157" s="466" t="str">
        <f ca="1">IF(ISBLANK(#REF!),NA(),IFERROR(TEXT(TRUNC(G157-NOW()),"000") &amp; " D " &amp; TEXT(TRUNC(ABS(G157-NOW()-TRUNC(G157-NOW()))*24),"00") &amp; " H", NA()))</f>
        <v>014 D 19 H</v>
      </c>
      <c r="I157" s="405">
        <f ca="1">IF(ISBLANK(A157),NA(),IFERROR(SLOPE(INDIRECT("D" &amp; MATCH(A157-$C$1,A:A,1)):D157, INDIRECT("A" &amp; MATCH(A157-$C$1,A:A,1)):A157),NA()))</f>
        <v>103390.96329312363</v>
      </c>
      <c r="J157" s="418">
        <f ca="1">IF(ISBLANK(A157),NA(),IFERROR(A157+(PLAYER_EXP_MAX-D157)/I157,NA()))</f>
        <v>43733.081745246098</v>
      </c>
      <c r="K157" s="466" t="str">
        <f t="shared" ca="1" si="12"/>
        <v>018 D 02 H</v>
      </c>
      <c r="L157" s="405">
        <f t="shared" si="13"/>
        <v>101475.84133058743</v>
      </c>
      <c r="M157" s="418">
        <f>IF(ISBLANK(A157),NA(),IFERROR(A157+(PLAYER_EXP_MAX-D157)/L157,NA()))</f>
        <v>43733.460479651716</v>
      </c>
      <c r="N157" s="466" t="str">
        <f t="shared" ca="1" si="14"/>
        <v>018 D 11 H</v>
      </c>
    </row>
    <row r="158" spans="1:14" ht="14.65" customHeight="1" x14ac:dyDescent="0.25">
      <c r="A158" s="31">
        <v>43713.513194444444</v>
      </c>
      <c r="B158" s="395">
        <v>192</v>
      </c>
      <c r="C158" s="395">
        <v>205633</v>
      </c>
      <c r="D158" s="466">
        <f t="shared" si="11"/>
        <v>9398857</v>
      </c>
      <c r="E158" s="399">
        <f>IF(ISBLANK(A158),"-",D158/PLAYER_EXP_MAX)</f>
        <v>0.82211817566585899</v>
      </c>
      <c r="F158" s="405">
        <f ca="1">IF(ISBLANK(A158),NA(),IFERROR(SLOPE(INDIRECT("D" &amp; MATCH(A158-$B$1,A:A,1)):D158, INDIRECT("A" &amp; MATCH(A158-$B$1,A:A,1)):A158),NA()))</f>
        <v>117463.27370709059</v>
      </c>
      <c r="G158" s="418">
        <f ca="1">IF(ISBLANK(A158),NA(),IFERROR(A158+(PLAYER_EXP_MAX-D158)/F158,NA()))</f>
        <v>43730.82611222563</v>
      </c>
      <c r="H158" s="466" t="str">
        <f ca="1">IF(ISBLANK(#REF!),NA(),IFERROR(TEXT(TRUNC(G158-NOW()),"000") &amp; " D " &amp; TEXT(TRUNC(ABS(G158-NOW()-TRUNC(G158-NOW()))*24),"00") &amp; " H", NA()))</f>
        <v>015 D 20 H</v>
      </c>
      <c r="I158" s="405">
        <f ca="1">IF(ISBLANK(A158),NA(),IFERROR(SLOPE(INDIRECT("D" &amp; MATCH(A158-$C$1,A:A,1)):D158, INDIRECT("A" &amp; MATCH(A158-$C$1,A:A,1)):A158),NA()))</f>
        <v>103670.43780739108</v>
      </c>
      <c r="J158" s="418">
        <f ca="1">IF(ISBLANK(A158),NA(),IFERROR(A158+(PLAYER_EXP_MAX-D158)/I158,NA()))</f>
        <v>43733.1295097896</v>
      </c>
      <c r="K158" s="466" t="str">
        <f t="shared" ca="1" si="12"/>
        <v>018 D 04 H</v>
      </c>
      <c r="L158" s="405">
        <f t="shared" si="13"/>
        <v>101272.71730059513</v>
      </c>
      <c r="M158" s="418">
        <f>IF(ISBLANK(A158),NA(),IFERROR(A158+(PLAYER_EXP_MAX-D158)/L158,NA()))</f>
        <v>43733.593943279928</v>
      </c>
      <c r="N158" s="466" t="str">
        <f t="shared" ca="1" si="14"/>
        <v>018 D 15 H</v>
      </c>
    </row>
    <row r="159" spans="1:14" ht="14.65" customHeight="1" x14ac:dyDescent="0.25">
      <c r="A159" s="31">
        <v>43713.556944444441</v>
      </c>
      <c r="B159" s="395">
        <v>192</v>
      </c>
      <c r="C159" s="395">
        <v>198171</v>
      </c>
      <c r="D159" s="466">
        <f t="shared" si="11"/>
        <v>9406319</v>
      </c>
      <c r="E159" s="399">
        <f>IF(ISBLANK(A159),"-",D159/PLAYER_EXP_MAX)</f>
        <v>0.82277087692802509</v>
      </c>
      <c r="F159" s="405">
        <f ca="1">IF(ISBLANK(A159),NA(),IFERROR(SLOPE(INDIRECT("D" &amp; MATCH(A159-$B$1,A:A,1)):D159, INDIRECT("A" &amp; MATCH(A159-$B$1,A:A,1)):A159),NA()))</f>
        <v>121969.26490257519</v>
      </c>
      <c r="G159" s="418">
        <f ca="1">IF(ISBLANK(A159),NA(),IFERROR(A159+(PLAYER_EXP_MAX-D159)/F159,NA()))</f>
        <v>43730.16908031013</v>
      </c>
      <c r="H159" s="466" t="str">
        <f ca="1">IF(ISBLANK(#REF!),NA(),IFERROR(TEXT(TRUNC(G159-NOW()),"000") &amp; " D " &amp; TEXT(TRUNC(ABS(G159-NOW()-TRUNC(G159-NOW()))*24),"00") &amp; " H", NA()))</f>
        <v>015 D 04 H</v>
      </c>
      <c r="I159" s="405">
        <f ca="1">IF(ISBLANK(A159),NA(),IFERROR(SLOPE(INDIRECT("D" &amp; MATCH(A159-$C$1,A:A,1)):D159, INDIRECT("A" &amp; MATCH(A159-$C$1,A:A,1)):A159),NA()))</f>
        <v>103956.15369223351</v>
      </c>
      <c r="J159" s="418">
        <f ca="1">IF(ISBLANK(A159),NA(),IFERROR(A159+(PLAYER_EXP_MAX-D159)/I159,NA()))</f>
        <v>43733.047565519155</v>
      </c>
      <c r="K159" s="466" t="str">
        <f t="shared" ca="1" si="12"/>
        <v>018 D 02 H</v>
      </c>
      <c r="L159" s="405">
        <f t="shared" si="13"/>
        <v>101337.71378372454</v>
      </c>
      <c r="M159" s="418">
        <f>IF(ISBLANK(A159),NA(),IFERROR(A159+(PLAYER_EXP_MAX-D159)/L159,NA()))</f>
        <v>43733.551178815309</v>
      </c>
      <c r="N159" s="466" t="str">
        <f t="shared" ca="1" si="14"/>
        <v>018 D 14 H</v>
      </c>
    </row>
    <row r="160" spans="1:14" ht="14.65" customHeight="1" x14ac:dyDescent="0.25">
      <c r="A160" s="31">
        <v>43713.772222222222</v>
      </c>
      <c r="B160" s="395">
        <v>192</v>
      </c>
      <c r="C160" s="395">
        <v>172223</v>
      </c>
      <c r="D160" s="466">
        <f t="shared" si="11"/>
        <v>9432267</v>
      </c>
      <c r="E160" s="399">
        <f>IF(ISBLANK(A160),"-",D160/PLAYER_EXP_MAX)</f>
        <v>0.82504054891283951</v>
      </c>
      <c r="F160" s="405">
        <f ca="1">IF(ISBLANK(A160),NA(),IFERROR(SLOPE(INDIRECT("D" &amp; MATCH(A160-$B$1,A:A,1)):D160, INDIRECT("A" &amp; MATCH(A160-$B$1,A:A,1)):A160),NA()))</f>
        <v>113260.12634497177</v>
      </c>
      <c r="G160" s="418">
        <f ca="1">IF(ISBLANK(A160),NA(),IFERROR(A160+(PLAYER_EXP_MAX-D160)/F160,NA()))</f>
        <v>43731.432647515299</v>
      </c>
      <c r="H160" s="466" t="str">
        <f ca="1">IF(ISBLANK(#REF!),NA(),IFERROR(TEXT(TRUNC(G160-NOW()),"000") &amp; " D " &amp; TEXT(TRUNC(ABS(G160-NOW()-TRUNC(G160-NOW()))*24),"00") &amp; " H", NA()))</f>
        <v>016 D 11 H</v>
      </c>
      <c r="I160" s="405">
        <f ca="1">IF(ISBLANK(A160),NA(),IFERROR(SLOPE(INDIRECT("D" &amp; MATCH(A160-$C$1,A:A,1)):D160, INDIRECT("A" &amp; MATCH(A160-$C$1,A:A,1)):A160),NA()))</f>
        <v>104273.93268462858</v>
      </c>
      <c r="J160" s="418">
        <f ca="1">IF(ISBLANK(A160),NA(),IFERROR(A160+(PLAYER_EXP_MAX-D160)/I160,NA()))</f>
        <v>43732.954600296034</v>
      </c>
      <c r="K160" s="466" t="str">
        <f t="shared" ca="1" si="12"/>
        <v>017 D 23 H</v>
      </c>
      <c r="L160" s="405">
        <f t="shared" si="13"/>
        <v>101425.90878774971</v>
      </c>
      <c r="M160" s="418">
        <f>IF(ISBLANK(A160),NA(),IFERROR(A160+(PLAYER_EXP_MAX-D160)/L160,NA()))</f>
        <v>43733.493238517833</v>
      </c>
      <c r="N160" s="466" t="str">
        <f t="shared" ca="1" si="14"/>
        <v>018 D 12 H</v>
      </c>
    </row>
    <row r="161" spans="1:14" ht="14.65" customHeight="1" x14ac:dyDescent="0.25">
      <c r="A161" s="31">
        <v>43713.874305555553</v>
      </c>
      <c r="B161" s="395">
        <v>192</v>
      </c>
      <c r="C161" s="395">
        <v>154716</v>
      </c>
      <c r="D161" s="466">
        <f t="shared" si="11"/>
        <v>9449774</v>
      </c>
      <c r="E161" s="399">
        <f>IF(ISBLANK(A161),"-",D161/PLAYER_EXP_MAX)</f>
        <v>0.82657188648946001</v>
      </c>
      <c r="F161" s="405">
        <f ca="1">IF(ISBLANK(A161),NA(),IFERROR(SLOPE(INDIRECT("D" &amp; MATCH(A161-$B$1,A:A,1)):D161, INDIRECT("A" &amp; MATCH(A161-$B$1,A:A,1)):A161),NA()))</f>
        <v>107316.20245065942</v>
      </c>
      <c r="G161" s="418">
        <f ca="1">IF(ISBLANK(A161),NA(),IFERROR(A161+(PLAYER_EXP_MAX-D161)/F161,NA()))</f>
        <v>43732.349754320261</v>
      </c>
      <c r="H161" s="466" t="str">
        <f ca="1">IF(ISBLANK(#REF!),NA(),IFERROR(TEXT(TRUNC(G161-NOW()),"000") &amp; " D " &amp; TEXT(TRUNC(ABS(G161-NOW()-TRUNC(G161-NOW()))*24),"00") &amp; " H", NA()))</f>
        <v>017 D 09 H</v>
      </c>
      <c r="I161" s="405">
        <f ca="1">IF(ISBLANK(A161),NA(),IFERROR(SLOPE(INDIRECT("D" &amp; MATCH(A161-$C$1,A:A,1)):D161, INDIRECT("A" &amp; MATCH(A161-$C$1,A:A,1)):A161),NA()))</f>
        <v>104678.55895177538</v>
      </c>
      <c r="J161" s="418">
        <f ca="1">IF(ISBLANK(A161),NA(),IFERROR(A161+(PLAYER_EXP_MAX-D161)/I161,NA()))</f>
        <v>43732.815290412953</v>
      </c>
      <c r="K161" s="466" t="str">
        <f t="shared" ca="1" si="12"/>
        <v>017 D 20 H</v>
      </c>
      <c r="L161" s="405">
        <f t="shared" si="13"/>
        <v>101578.24656887379</v>
      </c>
      <c r="M161" s="418">
        <f>IF(ISBLANK(A161),NA(),IFERROR(A161+(PLAYER_EXP_MAX-D161)/L161,NA()))</f>
        <v>43733.393396177533</v>
      </c>
      <c r="N161" s="466" t="str">
        <f t="shared" ca="1" si="14"/>
        <v>018 D 10 H</v>
      </c>
    </row>
    <row r="162" spans="1:14" ht="14.65" customHeight="1" x14ac:dyDescent="0.25">
      <c r="A162" s="31">
        <v>43714.000694444447</v>
      </c>
      <c r="B162" s="395">
        <v>192</v>
      </c>
      <c r="C162" s="395">
        <v>132617</v>
      </c>
      <c r="D162" s="466">
        <f t="shared" si="11"/>
        <v>9471873</v>
      </c>
      <c r="E162" s="399">
        <f>IF(ISBLANK(A162),"-",D162/PLAYER_EXP_MAX)</f>
        <v>0.82850488638125963</v>
      </c>
      <c r="F162" s="405">
        <f ca="1">IF(ISBLANK(A162),NA(),IFERROR(SLOPE(INDIRECT("D" &amp; MATCH(A162-$B$1,A:A,1)):D162, INDIRECT("A" &amp; MATCH(A162-$B$1,A:A,1)):A162),NA()))</f>
        <v>110299.58571450882</v>
      </c>
      <c r="G162" s="418">
        <f ca="1">IF(ISBLANK(A162),NA(),IFERROR(A162+(PLAYER_EXP_MAX-D162)/F162,NA()))</f>
        <v>43731.77606492566</v>
      </c>
      <c r="H162" s="466" t="str">
        <f ca="1">IF(ISBLANK(#REF!),NA(),IFERROR(TEXT(TRUNC(G162-NOW()),"000") &amp; " D " &amp; TEXT(TRUNC(ABS(G162-NOW()-TRUNC(G162-NOW()))*24),"00") &amp; " H", NA()))</f>
        <v>016 D 19 H</v>
      </c>
      <c r="I162" s="405">
        <f ca="1">IF(ISBLANK(A162),NA(),IFERROR(SLOPE(INDIRECT("D" &amp; MATCH(A162-$C$1,A:A,1)):D162, INDIRECT("A" &amp; MATCH(A162-$C$1,A:A,1)):A162),NA()))</f>
        <v>105826.26092549592</v>
      </c>
      <c r="J162" s="418">
        <f ca="1">IF(ISBLANK(A162),NA(),IFERROR(A162+(PLAYER_EXP_MAX-D162)/I162,NA()))</f>
        <v>43732.527438022589</v>
      </c>
      <c r="K162" s="466" t="str">
        <f t="shared" ca="1" si="12"/>
        <v>017 D 13 H</v>
      </c>
      <c r="L162" s="405">
        <f t="shared" si="13"/>
        <v>101774.93849376542</v>
      </c>
      <c r="M162" s="418">
        <f>IF(ISBLANK(A162),NA(),IFERROR(A162+(PLAYER_EXP_MAX-D162)/L162,NA()))</f>
        <v>43733.264926179843</v>
      </c>
      <c r="N162" s="466" t="str">
        <f t="shared" ca="1" si="14"/>
        <v>018 D 07 H</v>
      </c>
    </row>
    <row r="163" spans="1:14" ht="14.65" customHeight="1" x14ac:dyDescent="0.25">
      <c r="A163" s="31">
        <v>43714.567361111112</v>
      </c>
      <c r="B163" s="395">
        <v>192</v>
      </c>
      <c r="C163" s="395">
        <v>74273</v>
      </c>
      <c r="D163" s="466">
        <f t="shared" si="11"/>
        <v>9530217</v>
      </c>
      <c r="E163" s="399">
        <f>IF(ISBLANK(A163),"-",D163/PLAYER_EXP_MAX)</f>
        <v>0.8336082370164537</v>
      </c>
      <c r="F163" s="405">
        <f ca="1">IF(ISBLANK(A163),NA(),IFERROR(SLOPE(INDIRECT("D" &amp; MATCH(A163-$B$1,A:A,1)):D163, INDIRECT("A" &amp; MATCH(A163-$B$1,A:A,1)):A163),NA()))</f>
        <v>123029.90770888126</v>
      </c>
      <c r="G163" s="418">
        <f ca="1">IF(ISBLANK(A163),NA(),IFERROR(A163+(PLAYER_EXP_MAX-D163)/F163,NA()))</f>
        <v>43730.029227542007</v>
      </c>
      <c r="H163" s="466" t="str">
        <f ca="1">IF(ISBLANK(#REF!),NA(),IFERROR(TEXT(TRUNC(G163-NOW()),"000") &amp; " D " &amp; TEXT(TRUNC(ABS(G163-NOW()-TRUNC(G163-NOW()))*24),"00") &amp; " H", NA()))</f>
        <v>015 D 01 H</v>
      </c>
      <c r="I163" s="405">
        <f ca="1">IF(ISBLANK(A163),NA(),IFERROR(SLOPE(INDIRECT("D" &amp; MATCH(A163-$C$1,A:A,1)):D163, INDIRECT("A" &amp; MATCH(A163-$C$1,A:A,1)):A163),NA()))</f>
        <v>106891.67817661917</v>
      </c>
      <c r="J163" s="418">
        <f ca="1">IF(ISBLANK(A163),NA(),IFERROR(A163+(PLAYER_EXP_MAX-D163)/I163,NA()))</f>
        <v>43732.363620206765</v>
      </c>
      <c r="K163" s="466" t="str">
        <f t="shared" ca="1" si="12"/>
        <v>017 D 09 H</v>
      </c>
      <c r="L163" s="405">
        <f t="shared" si="13"/>
        <v>101789.03197598814</v>
      </c>
      <c r="M163" s="418">
        <f>IF(ISBLANK(A163),NA(),IFERROR(A163+(PLAYER_EXP_MAX-D163)/L163,NA()))</f>
        <v>43733.255740036344</v>
      </c>
      <c r="N163" s="466" t="str">
        <f t="shared" ca="1" si="14"/>
        <v>018 D 07 H</v>
      </c>
    </row>
    <row r="164" spans="1:14" ht="14.65" customHeight="1" x14ac:dyDescent="0.25">
      <c r="A164" s="31">
        <v>43714.884722222225</v>
      </c>
      <c r="B164" s="395">
        <v>192</v>
      </c>
      <c r="C164" s="395">
        <v>48606</v>
      </c>
      <c r="D164" s="466">
        <f t="shared" si="11"/>
        <v>9555884</v>
      </c>
      <c r="E164" s="399">
        <f>IF(ISBLANK(A164),"-",D164/PLAYER_EXP_MAX)</f>
        <v>0.83585332992666772</v>
      </c>
      <c r="F164" s="405">
        <f ca="1">IF(ISBLANK(A164),NA(),IFERROR(SLOPE(INDIRECT("D" &amp; MATCH(A164-$B$1,A:A,1)):D164, INDIRECT("A" &amp; MATCH(A164-$B$1,A:A,1)):A164),NA()))</f>
        <v>103373.39727241007</v>
      </c>
      <c r="G164" s="418">
        <f ca="1">IF(ISBLANK(A164),NA(),IFERROR(A164+(PLAYER_EXP_MAX-D164)/F164,NA()))</f>
        <v>43733.038377316436</v>
      </c>
      <c r="H164" s="466" t="str">
        <f ca="1">IF(ISBLANK(#REF!),NA(),IFERROR(TEXT(TRUNC(G164-NOW()),"000") &amp; " D " &amp; TEXT(TRUNC(ABS(G164-NOW()-TRUNC(G164-NOW()))*24),"00") &amp; " H", NA()))</f>
        <v>018 D 01 H</v>
      </c>
      <c r="I164" s="405">
        <f ca="1">IF(ISBLANK(A164),NA(),IFERROR(SLOPE(INDIRECT("D" &amp; MATCH(A164-$C$1,A:A,1)):D164, INDIRECT("A" &amp; MATCH(A164-$C$1,A:A,1)):A164),NA()))</f>
        <v>107333.26807754493</v>
      </c>
      <c r="J164" s="418">
        <f ca="1">IF(ISBLANK(A164),NA(),IFERROR(A164+(PLAYER_EXP_MAX-D164)/I164,NA()))</f>
        <v>43732.368630367499</v>
      </c>
      <c r="K164" s="466" t="str">
        <f t="shared" ca="1" si="12"/>
        <v>017 D 09 H</v>
      </c>
      <c r="L164" s="405">
        <f t="shared" si="13"/>
        <v>101650.66554704956</v>
      </c>
      <c r="M164" s="418">
        <f>IF(ISBLANK(A164),NA(),IFERROR(A164+(PLAYER_EXP_MAX-D164)/L164,NA()))</f>
        <v>43733.346037648946</v>
      </c>
      <c r="N164" s="466" t="str">
        <f t="shared" ca="1" si="14"/>
        <v>018 D 09 H</v>
      </c>
    </row>
    <row r="165" spans="1:14" ht="14.65" customHeight="1" x14ac:dyDescent="0.25">
      <c r="D165" s="466" t="str">
        <f t="shared" si="11"/>
        <v>-</v>
      </c>
      <c r="E165" s="399" t="str">
        <f>IF(ISBLANK(A165),"-",D165/PLAYER_EXP_MAX)</f>
        <v>-</v>
      </c>
      <c r="F165" s="405" t="e">
        <f ca="1">IF(ISBLANK(A165),NA(),IFERROR(SLOPE(INDIRECT("D" &amp; MATCH(A165-$B$1,A:A,1)):D165, INDIRECT("A" &amp; MATCH(A165-$B$1,A:A,1)):A165),NA()))</f>
        <v>#N/A</v>
      </c>
      <c r="G165" s="418" t="e">
        <f>IF(ISBLANK(A165),NA(),IFERROR(A165+(PLAYER_EXP_MAX-D165)/F165,NA()))</f>
        <v>#N/A</v>
      </c>
      <c r="H165" s="466" t="e">
        <f ca="1">IF(ISBLANK(#REF!),NA(),IFERROR(TEXT(TRUNC(G165-NOW()),"000") &amp; " D " &amp; TEXT(TRUNC(ABS(G165-NOW()-TRUNC(G165-NOW()))*24),"00") &amp; " H", NA()))</f>
        <v>#N/A</v>
      </c>
      <c r="I165" s="405" t="e">
        <f ca="1">IF(ISBLANK(A165),NA(),IFERROR(SLOPE(INDIRECT("D" &amp; MATCH(A165-$C$1,A:A,1)):D165, INDIRECT("A" &amp; MATCH(A165-$C$1,A:A,1)):A165),NA()))</f>
        <v>#N/A</v>
      </c>
      <c r="J165" s="418" t="e">
        <f>IF(ISBLANK(A165),NA(),IFERROR(A165+(PLAYER_EXP_MAX-D165)/I165,NA()))</f>
        <v>#N/A</v>
      </c>
      <c r="K165" s="466" t="e">
        <f t="shared" ca="1" si="12"/>
        <v>#N/A</v>
      </c>
      <c r="L165" s="405" t="e">
        <f t="shared" si="13"/>
        <v>#N/A</v>
      </c>
      <c r="M165" s="418" t="e">
        <f>IF(ISBLANK(A165),NA(),IFERROR(A165+(PLAYER_EXP_MAX-D165)/L165,NA()))</f>
        <v>#N/A</v>
      </c>
      <c r="N165" s="466" t="e">
        <f t="shared" ca="1" si="14"/>
        <v>#N/A</v>
      </c>
    </row>
    <row r="166" spans="1:14" ht="14.65" customHeight="1" x14ac:dyDescent="0.25">
      <c r="D166" s="466" t="str">
        <f t="shared" si="11"/>
        <v>-</v>
      </c>
      <c r="E166" s="399" t="str">
        <f>IF(ISBLANK(A166),"-",D166/PLAYER_EXP_MAX)</f>
        <v>-</v>
      </c>
      <c r="F166" s="405" t="e">
        <f ca="1">IF(ISBLANK(A166),NA(),IFERROR(SLOPE(INDIRECT("D" &amp; MATCH(A166-$B$1,A:A,1)):D166, INDIRECT("A" &amp; MATCH(A166-$B$1,A:A,1)):A166),NA()))</f>
        <v>#N/A</v>
      </c>
      <c r="G166" s="418" t="e">
        <f>IF(ISBLANK(A166),NA(),IFERROR(A166+(PLAYER_EXP_MAX-D166)/F166,NA()))</f>
        <v>#N/A</v>
      </c>
      <c r="H166" s="466" t="e">
        <f ca="1">IF(ISBLANK(#REF!),NA(),IFERROR(TEXT(TRUNC(G166-NOW()),"000") &amp; " D " &amp; TEXT(TRUNC(ABS(G166-NOW()-TRUNC(G166-NOW()))*24),"00") &amp; " H", NA()))</f>
        <v>#N/A</v>
      </c>
      <c r="I166" s="405" t="e">
        <f ca="1">IF(ISBLANK(A166),NA(),IFERROR(SLOPE(INDIRECT("D" &amp; MATCH(A166-$C$1,A:A,1)):D166, INDIRECT("A" &amp; MATCH(A166-$C$1,A:A,1)):A166),NA()))</f>
        <v>#N/A</v>
      </c>
      <c r="J166" s="418" t="e">
        <f>IF(ISBLANK(A166),NA(),IFERROR(A166+(PLAYER_EXP_MAX-D166)/I166,NA()))</f>
        <v>#N/A</v>
      </c>
      <c r="K166" s="466" t="e">
        <f t="shared" ca="1" si="12"/>
        <v>#N/A</v>
      </c>
      <c r="L166" s="405" t="e">
        <f t="shared" si="13"/>
        <v>#N/A</v>
      </c>
      <c r="M166" s="418" t="e">
        <f>IF(ISBLANK(A166),NA(),IFERROR(A166+(PLAYER_EXP_MAX-D166)/L166,NA()))</f>
        <v>#N/A</v>
      </c>
      <c r="N166" s="466" t="e">
        <f t="shared" ca="1" si="14"/>
        <v>#N/A</v>
      </c>
    </row>
    <row r="167" spans="1:14" ht="14.65" customHeight="1" x14ac:dyDescent="0.25">
      <c r="D167" s="466" t="str">
        <f t="shared" si="11"/>
        <v>-</v>
      </c>
      <c r="E167" s="399" t="str">
        <f>IF(ISBLANK(A167),"-",D167/PLAYER_EXP_MAX)</f>
        <v>-</v>
      </c>
      <c r="F167" s="405" t="e">
        <f ca="1">IF(ISBLANK(A167),NA(),IFERROR(SLOPE(INDIRECT("D" &amp; MATCH(A167-$B$1,A:A,1)):D167, INDIRECT("A" &amp; MATCH(A167-$B$1,A:A,1)):A167),NA()))</f>
        <v>#N/A</v>
      </c>
      <c r="G167" s="418" t="e">
        <f>IF(ISBLANK(A167),NA(),IFERROR(A167+(PLAYER_EXP_MAX-D167)/F167,NA()))</f>
        <v>#N/A</v>
      </c>
      <c r="H167" s="466" t="e">
        <f ca="1">IF(ISBLANK(#REF!),NA(),IFERROR(TEXT(TRUNC(G167-NOW()),"000") &amp; " D " &amp; TEXT(TRUNC(ABS(G167-NOW()-TRUNC(G167-NOW()))*24),"00") &amp; " H", NA()))</f>
        <v>#N/A</v>
      </c>
      <c r="I167" s="405" t="e">
        <f ca="1">IF(ISBLANK(A167),NA(),IFERROR(SLOPE(INDIRECT("D" &amp; MATCH(A167-$C$1,A:A,1)):D167, INDIRECT("A" &amp; MATCH(A167-$C$1,A:A,1)):A167),NA()))</f>
        <v>#N/A</v>
      </c>
      <c r="J167" s="418" t="e">
        <f>IF(ISBLANK(A167),NA(),IFERROR(A167+(PLAYER_EXP_MAX-D167)/I167,NA()))</f>
        <v>#N/A</v>
      </c>
      <c r="K167" s="466" t="e">
        <f t="shared" ca="1" si="12"/>
        <v>#N/A</v>
      </c>
      <c r="L167" s="405" t="e">
        <f t="shared" si="13"/>
        <v>#N/A</v>
      </c>
      <c r="M167" s="418" t="e">
        <f>IF(ISBLANK(A167),NA(),IFERROR(A167+(PLAYER_EXP_MAX-D167)/L167,NA()))</f>
        <v>#N/A</v>
      </c>
      <c r="N167" s="466" t="e">
        <f t="shared" ca="1" si="14"/>
        <v>#N/A</v>
      </c>
    </row>
    <row r="168" spans="1:14" ht="14.65" customHeight="1" x14ac:dyDescent="0.25">
      <c r="D168" s="466" t="str">
        <f t="shared" si="11"/>
        <v>-</v>
      </c>
      <c r="E168" s="399" t="str">
        <f>IF(ISBLANK(A168),"-",D168/PLAYER_EXP_MAX)</f>
        <v>-</v>
      </c>
      <c r="F168" s="405" t="e">
        <f ca="1">IF(ISBLANK(A168),NA(),IFERROR(SLOPE(INDIRECT("D" &amp; MATCH(A168-$B$1,A:A,1)):D168, INDIRECT("A" &amp; MATCH(A168-$B$1,A:A,1)):A168),NA()))</f>
        <v>#N/A</v>
      </c>
      <c r="G168" s="418" t="e">
        <f>IF(ISBLANK(A168),NA(),IFERROR(A168+(PLAYER_EXP_MAX-D168)/F168,NA()))</f>
        <v>#N/A</v>
      </c>
      <c r="H168" s="466" t="e">
        <f ca="1">IF(ISBLANK(#REF!),NA(),IFERROR(TEXT(TRUNC(G168-NOW()),"000") &amp; " D " &amp; TEXT(TRUNC(ABS(G168-NOW()-TRUNC(G168-NOW()))*24),"00") &amp; " H", NA()))</f>
        <v>#N/A</v>
      </c>
      <c r="I168" s="405" t="e">
        <f ca="1">IF(ISBLANK(A168),NA(),IFERROR(SLOPE(INDIRECT("D" &amp; MATCH(A168-$C$1,A:A,1)):D168, INDIRECT("A" &amp; MATCH(A168-$C$1,A:A,1)):A168),NA()))</f>
        <v>#N/A</v>
      </c>
      <c r="J168" s="418" t="e">
        <f>IF(ISBLANK(A168),NA(),IFERROR(A168+(PLAYER_EXP_MAX-D168)/I168,NA()))</f>
        <v>#N/A</v>
      </c>
      <c r="K168" s="466" t="e">
        <f t="shared" ca="1" si="12"/>
        <v>#N/A</v>
      </c>
      <c r="L168" s="405" t="e">
        <f t="shared" si="13"/>
        <v>#N/A</v>
      </c>
      <c r="M168" s="418" t="e">
        <f>IF(ISBLANK(A168),NA(),IFERROR(A168+(PLAYER_EXP_MAX-D168)/L168,NA()))</f>
        <v>#N/A</v>
      </c>
      <c r="N168" s="466" t="e">
        <f t="shared" ca="1" si="14"/>
        <v>#N/A</v>
      </c>
    </row>
    <row r="169" spans="1:14" ht="14.65" customHeight="1" x14ac:dyDescent="0.25">
      <c r="D169" s="466" t="str">
        <f t="shared" si="11"/>
        <v>-</v>
      </c>
      <c r="E169" s="399" t="str">
        <f>IF(ISBLANK(A169),"-",D169/PLAYER_EXP_MAX)</f>
        <v>-</v>
      </c>
      <c r="F169" s="405" t="e">
        <f ca="1">IF(ISBLANK(A169),NA(),IFERROR(SLOPE(INDIRECT("D" &amp; MATCH(A169-$B$1,A:A,1)):D169, INDIRECT("A" &amp; MATCH(A169-$B$1,A:A,1)):A169),NA()))</f>
        <v>#N/A</v>
      </c>
      <c r="G169" s="418" t="e">
        <f>IF(ISBLANK(A169),NA(),IFERROR(A169+(PLAYER_EXP_MAX-D169)/F169,NA()))</f>
        <v>#N/A</v>
      </c>
      <c r="H169" s="466" t="e">
        <f ca="1">IF(ISBLANK(#REF!),NA(),IFERROR(TEXT(TRUNC(G169-NOW()),"000") &amp; " D " &amp; TEXT(TRUNC(ABS(G169-NOW()-TRUNC(G169-NOW()))*24),"00") &amp; " H", NA()))</f>
        <v>#N/A</v>
      </c>
      <c r="I169" s="405" t="e">
        <f ca="1">IF(ISBLANK(A169),NA(),IFERROR(SLOPE(INDIRECT("D" &amp; MATCH(A169-$C$1,A:A,1)):D169, INDIRECT("A" &amp; MATCH(A169-$C$1,A:A,1)):A169),NA()))</f>
        <v>#N/A</v>
      </c>
      <c r="J169" s="418" t="e">
        <f>IF(ISBLANK(A169),NA(),IFERROR(A169+(PLAYER_EXP_MAX-D169)/I169,NA()))</f>
        <v>#N/A</v>
      </c>
      <c r="K169" s="466" t="e">
        <f t="shared" ca="1" si="12"/>
        <v>#N/A</v>
      </c>
      <c r="L169" s="405" t="e">
        <f t="shared" si="13"/>
        <v>#N/A</v>
      </c>
      <c r="M169" s="418" t="e">
        <f>IF(ISBLANK(A169),NA(),IFERROR(A169+(PLAYER_EXP_MAX-D169)/L169,NA()))</f>
        <v>#N/A</v>
      </c>
      <c r="N169" s="466" t="e">
        <f t="shared" ca="1" si="14"/>
        <v>#N/A</v>
      </c>
    </row>
    <row r="170" spans="1:14" ht="14.65" customHeight="1" x14ac:dyDescent="0.25">
      <c r="D170" s="466" t="str">
        <f t="shared" si="11"/>
        <v>-</v>
      </c>
      <c r="E170" s="399" t="str">
        <f>IF(ISBLANK(A170),"-",D170/PLAYER_EXP_MAX)</f>
        <v>-</v>
      </c>
      <c r="F170" s="405" t="e">
        <f ca="1">IF(ISBLANK(A170),NA(),IFERROR(SLOPE(INDIRECT("D" &amp; MATCH(A170-$B$1,A:A,1)):D170, INDIRECT("A" &amp; MATCH(A170-$B$1,A:A,1)):A170),NA()))</f>
        <v>#N/A</v>
      </c>
      <c r="G170" s="418" t="e">
        <f>IF(ISBLANK(A170),NA(),IFERROR(A170+(PLAYER_EXP_MAX-D170)/F170,NA()))</f>
        <v>#N/A</v>
      </c>
      <c r="H170" s="466" t="e">
        <f ca="1">IF(ISBLANK(#REF!),NA(),IFERROR(TEXT(TRUNC(G170-NOW()),"000") &amp; " D " &amp; TEXT(TRUNC(ABS(G170-NOW()-TRUNC(G170-NOW()))*24),"00") &amp; " H", NA()))</f>
        <v>#N/A</v>
      </c>
      <c r="I170" s="405" t="e">
        <f ca="1">IF(ISBLANK(A170),NA(),IFERROR(SLOPE(INDIRECT("D" &amp; MATCH(A170-$C$1,A:A,1)):D170, INDIRECT("A" &amp; MATCH(A170-$C$1,A:A,1)):A170),NA()))</f>
        <v>#N/A</v>
      </c>
      <c r="J170" s="418" t="e">
        <f>IF(ISBLANK(A170),NA(),IFERROR(A170+(PLAYER_EXP_MAX-D170)/I170,NA()))</f>
        <v>#N/A</v>
      </c>
      <c r="K170" s="466" t="e">
        <f t="shared" ca="1" si="12"/>
        <v>#N/A</v>
      </c>
      <c r="L170" s="405" t="e">
        <f t="shared" si="13"/>
        <v>#N/A</v>
      </c>
      <c r="M170" s="418" t="e">
        <f>IF(ISBLANK(A170),NA(),IFERROR(A170+(PLAYER_EXP_MAX-D170)/L170,NA()))</f>
        <v>#N/A</v>
      </c>
      <c r="N170" s="466" t="e">
        <f t="shared" ca="1" si="14"/>
        <v>#N/A</v>
      </c>
    </row>
    <row r="171" spans="1:14" ht="14.65" customHeight="1" x14ac:dyDescent="0.25">
      <c r="D171" s="466" t="str">
        <f t="shared" si="11"/>
        <v>-</v>
      </c>
      <c r="E171" s="399" t="str">
        <f>IF(ISBLANK(A171),"-",D171/PLAYER_EXP_MAX)</f>
        <v>-</v>
      </c>
      <c r="F171" s="405" t="e">
        <f ca="1">IF(ISBLANK(A171),NA(),IFERROR(SLOPE(INDIRECT("D" &amp; MATCH(A171-$B$1,A:A,1)):D171, INDIRECT("A" &amp; MATCH(A171-$B$1,A:A,1)):A171),NA()))</f>
        <v>#N/A</v>
      </c>
      <c r="G171" s="418" t="e">
        <f>IF(ISBLANK(A171),NA(),IFERROR(A171+(PLAYER_EXP_MAX-D171)/F171,NA()))</f>
        <v>#N/A</v>
      </c>
      <c r="H171" s="466" t="e">
        <f ca="1">IF(ISBLANK(#REF!),NA(),IFERROR(TEXT(TRUNC(G171-NOW()),"000") &amp; " D " &amp; TEXT(TRUNC(ABS(G171-NOW()-TRUNC(G171-NOW()))*24),"00") &amp; " H", NA()))</f>
        <v>#N/A</v>
      </c>
      <c r="I171" s="405" t="e">
        <f ca="1">IF(ISBLANK(A171),NA(),IFERROR(SLOPE(INDIRECT("D" &amp; MATCH(A171-$C$1,A:A,1)):D171, INDIRECT("A" &amp; MATCH(A171-$C$1,A:A,1)):A171),NA()))</f>
        <v>#N/A</v>
      </c>
      <c r="J171" s="418" t="e">
        <f>IF(ISBLANK(A171),NA(),IFERROR(A171+(PLAYER_EXP_MAX-D171)/I171,NA()))</f>
        <v>#N/A</v>
      </c>
      <c r="K171" s="466" t="e">
        <f t="shared" ca="1" si="12"/>
        <v>#N/A</v>
      </c>
      <c r="L171" s="405" t="e">
        <f t="shared" si="13"/>
        <v>#N/A</v>
      </c>
      <c r="M171" s="418" t="e">
        <f>IF(ISBLANK(A171),NA(),IFERROR(A171+(PLAYER_EXP_MAX-D171)/L171,NA()))</f>
        <v>#N/A</v>
      </c>
      <c r="N171" s="466" t="e">
        <f t="shared" ca="1" si="14"/>
        <v>#N/A</v>
      </c>
    </row>
    <row r="172" spans="1:14" ht="14.65" customHeight="1" x14ac:dyDescent="0.25">
      <c r="D172" s="466" t="str">
        <f t="shared" si="11"/>
        <v>-</v>
      </c>
      <c r="E172" s="399" t="str">
        <f>IF(ISBLANK(A172),"-",D172/PLAYER_EXP_MAX)</f>
        <v>-</v>
      </c>
      <c r="F172" s="405" t="e">
        <f ca="1">IF(ISBLANK(A172),NA(),IFERROR(SLOPE(INDIRECT("D" &amp; MATCH(A172-$B$1,A:A,1)):D172, INDIRECT("A" &amp; MATCH(A172-$B$1,A:A,1)):A172),NA()))</f>
        <v>#N/A</v>
      </c>
      <c r="G172" s="418" t="e">
        <f>IF(ISBLANK(A172),NA(),IFERROR(A172+(PLAYER_EXP_MAX-D172)/F172,NA()))</f>
        <v>#N/A</v>
      </c>
      <c r="H172" s="466" t="e">
        <f ca="1">IF(ISBLANK(#REF!),NA(),IFERROR(TEXT(TRUNC(G172-NOW()),"000") &amp; " D " &amp; TEXT(TRUNC(ABS(G172-NOW()-TRUNC(G172-NOW()))*24),"00") &amp; " H", NA()))</f>
        <v>#N/A</v>
      </c>
      <c r="I172" s="405" t="e">
        <f ca="1">IF(ISBLANK(A172),NA(),IFERROR(SLOPE(INDIRECT("D" &amp; MATCH(A172-$C$1,A:A,1)):D172, INDIRECT("A" &amp; MATCH(A172-$C$1,A:A,1)):A172),NA()))</f>
        <v>#N/A</v>
      </c>
      <c r="J172" s="418" t="e">
        <f>IF(ISBLANK(A172),NA(),IFERROR(A172+(PLAYER_EXP_MAX-D172)/I172,NA()))</f>
        <v>#N/A</v>
      </c>
      <c r="K172" s="466" t="e">
        <f t="shared" ca="1" si="12"/>
        <v>#N/A</v>
      </c>
      <c r="L172" s="405" t="e">
        <f t="shared" si="13"/>
        <v>#N/A</v>
      </c>
      <c r="M172" s="418" t="e">
        <f>IF(ISBLANK(A172),NA(),IFERROR(A172+(PLAYER_EXP_MAX-D172)/L172,NA()))</f>
        <v>#N/A</v>
      </c>
      <c r="N172" s="466" t="e">
        <f t="shared" ca="1" si="14"/>
        <v>#N/A</v>
      </c>
    </row>
    <row r="173" spans="1:14" ht="14.65" customHeight="1" x14ac:dyDescent="0.25">
      <c r="D173" s="466" t="str">
        <f t="shared" si="11"/>
        <v>-</v>
      </c>
      <c r="E173" s="399" t="str">
        <f>IF(ISBLANK(A173),"-",D173/PLAYER_EXP_MAX)</f>
        <v>-</v>
      </c>
      <c r="F173" s="405" t="e">
        <f ca="1">IF(ISBLANK(A173),NA(),IFERROR(SLOPE(INDIRECT("D" &amp; MATCH(A173-$B$1,A:A,1)):D173, INDIRECT("A" &amp; MATCH(A173-$B$1,A:A,1)):A173),NA()))</f>
        <v>#N/A</v>
      </c>
      <c r="G173" s="418" t="e">
        <f>IF(ISBLANK(A173),NA(),IFERROR(A173+(PLAYER_EXP_MAX-D173)/F173,NA()))</f>
        <v>#N/A</v>
      </c>
      <c r="H173" s="466" t="e">
        <f ca="1">IF(ISBLANK(#REF!),NA(),IFERROR(TEXT(TRUNC(G173-NOW()),"000") &amp; " D " &amp; TEXT(TRUNC(ABS(G173-NOW()-TRUNC(G173-NOW()))*24),"00") &amp; " H", NA()))</f>
        <v>#N/A</v>
      </c>
      <c r="I173" s="405" t="e">
        <f ca="1">IF(ISBLANK(A173),NA(),IFERROR(SLOPE(INDIRECT("D" &amp; MATCH(A173-$C$1,A:A,1)):D173, INDIRECT("A" &amp; MATCH(A173-$C$1,A:A,1)):A173),NA()))</f>
        <v>#N/A</v>
      </c>
      <c r="J173" s="418" t="e">
        <f>IF(ISBLANK(A173),NA(),IFERROR(A173+(PLAYER_EXP_MAX-D173)/I173,NA()))</f>
        <v>#N/A</v>
      </c>
      <c r="K173" s="466" t="e">
        <f t="shared" ca="1" si="12"/>
        <v>#N/A</v>
      </c>
      <c r="L173" s="405" t="e">
        <f t="shared" si="13"/>
        <v>#N/A</v>
      </c>
      <c r="M173" s="418" t="e">
        <f>IF(ISBLANK(A173),NA(),IFERROR(A173+(PLAYER_EXP_MAX-D173)/L173,NA()))</f>
        <v>#N/A</v>
      </c>
      <c r="N173" s="466" t="e">
        <f t="shared" ca="1" si="14"/>
        <v>#N/A</v>
      </c>
    </row>
    <row r="174" spans="1:14" ht="14.65" customHeight="1" x14ac:dyDescent="0.25">
      <c r="D174" s="466" t="str">
        <f t="shared" si="11"/>
        <v>-</v>
      </c>
      <c r="E174" s="399" t="str">
        <f>IF(ISBLANK(A174),"-",D174/PLAYER_EXP_MAX)</f>
        <v>-</v>
      </c>
      <c r="F174" s="405" t="e">
        <f ca="1">IF(ISBLANK(A174),NA(),IFERROR(SLOPE(INDIRECT("D" &amp; MATCH(A174-$B$1,A:A,1)):D174, INDIRECT("A" &amp; MATCH(A174-$B$1,A:A,1)):A174),NA()))</f>
        <v>#N/A</v>
      </c>
      <c r="G174" s="418" t="e">
        <f>IF(ISBLANK(A174),NA(),IFERROR(A174+(PLAYER_EXP_MAX-D174)/F174,NA()))</f>
        <v>#N/A</v>
      </c>
      <c r="H174" s="466" t="e">
        <f ca="1">IF(ISBLANK(#REF!),NA(),IFERROR(TEXT(TRUNC(G174-NOW()),"000") &amp; " D " &amp; TEXT(TRUNC(ABS(G174-NOW()-TRUNC(G174-NOW()))*24),"00") &amp; " H", NA()))</f>
        <v>#N/A</v>
      </c>
      <c r="I174" s="405" t="e">
        <f ca="1">IF(ISBLANK(A174),NA(),IFERROR(SLOPE(INDIRECT("D" &amp; MATCH(A174-$C$1,A:A,1)):D174, INDIRECT("A" &amp; MATCH(A174-$C$1,A:A,1)):A174),NA()))</f>
        <v>#N/A</v>
      </c>
      <c r="J174" s="418" t="e">
        <f>IF(ISBLANK(A174),NA(),IFERROR(A174+(PLAYER_EXP_MAX-D174)/I174,NA()))</f>
        <v>#N/A</v>
      </c>
      <c r="K174" s="466" t="e">
        <f t="shared" ca="1" si="12"/>
        <v>#N/A</v>
      </c>
      <c r="L174" s="405" t="e">
        <f t="shared" si="13"/>
        <v>#N/A</v>
      </c>
      <c r="M174" s="418" t="e">
        <f>IF(ISBLANK(A174),NA(),IFERROR(A174+(PLAYER_EXP_MAX-D174)/L174,NA()))</f>
        <v>#N/A</v>
      </c>
      <c r="N174" s="466" t="e">
        <f t="shared" ca="1" si="14"/>
        <v>#N/A</v>
      </c>
    </row>
    <row r="175" spans="1:14" ht="14.65" customHeight="1" x14ac:dyDescent="0.25">
      <c r="D175" s="466" t="str">
        <f t="shared" si="11"/>
        <v>-</v>
      </c>
      <c r="E175" s="399" t="str">
        <f>IF(ISBLANK(A175),"-",D175/PLAYER_EXP_MAX)</f>
        <v>-</v>
      </c>
      <c r="F175" s="405" t="e">
        <f ca="1">IF(ISBLANK(A175),NA(),IFERROR(SLOPE(INDIRECT("D" &amp; MATCH(A175-$B$1,A:A,1)):D175, INDIRECT("A" &amp; MATCH(A175-$B$1,A:A,1)):A175),NA()))</f>
        <v>#N/A</v>
      </c>
      <c r="G175" s="418" t="e">
        <f>IF(ISBLANK(A175),NA(),IFERROR(A175+(PLAYER_EXP_MAX-D175)/F175,NA()))</f>
        <v>#N/A</v>
      </c>
      <c r="H175" s="466" t="e">
        <f ca="1">IF(ISBLANK(#REF!),NA(),IFERROR(TEXT(TRUNC(G175-NOW()),"000") &amp; " D " &amp; TEXT(TRUNC(ABS(G175-NOW()-TRUNC(G175-NOW()))*24),"00") &amp; " H", NA()))</f>
        <v>#N/A</v>
      </c>
      <c r="I175" s="405" t="e">
        <f ca="1">IF(ISBLANK(A175),NA(),IFERROR(SLOPE(INDIRECT("D" &amp; MATCH(A175-$C$1,A:A,1)):D175, INDIRECT("A" &amp; MATCH(A175-$C$1,A:A,1)):A175),NA()))</f>
        <v>#N/A</v>
      </c>
      <c r="J175" s="418" t="e">
        <f>IF(ISBLANK(A175),NA(),IFERROR(A175+(PLAYER_EXP_MAX-D175)/I175,NA()))</f>
        <v>#N/A</v>
      </c>
      <c r="K175" s="466" t="e">
        <f t="shared" ca="1" si="12"/>
        <v>#N/A</v>
      </c>
      <c r="L175" s="405" t="e">
        <f t="shared" si="13"/>
        <v>#N/A</v>
      </c>
      <c r="M175" s="418" t="e">
        <f>IF(ISBLANK(A175),NA(),IFERROR(A175+(PLAYER_EXP_MAX-D175)/L175,NA()))</f>
        <v>#N/A</v>
      </c>
      <c r="N175" s="466" t="e">
        <f t="shared" ca="1" si="14"/>
        <v>#N/A</v>
      </c>
    </row>
    <row r="176" spans="1:14" ht="14.65" customHeight="1" x14ac:dyDescent="0.25">
      <c r="D176" s="466" t="str">
        <f t="shared" si="11"/>
        <v>-</v>
      </c>
      <c r="E176" s="399" t="str">
        <f>IF(ISBLANK(A176),"-",D176/PLAYER_EXP_MAX)</f>
        <v>-</v>
      </c>
      <c r="F176" s="405" t="e">
        <f ca="1">IF(ISBLANK(A176),NA(),IFERROR(SLOPE(INDIRECT("D" &amp; MATCH(A176-$B$1,A:A,1)):D176, INDIRECT("A" &amp; MATCH(A176-$B$1,A:A,1)):A176),NA()))</f>
        <v>#N/A</v>
      </c>
      <c r="G176" s="418" t="e">
        <f>IF(ISBLANK(A176),NA(),IFERROR(A176+(PLAYER_EXP_MAX-D176)/F176,NA()))</f>
        <v>#N/A</v>
      </c>
      <c r="H176" s="466" t="e">
        <f ca="1">IF(ISBLANK(#REF!),NA(),IFERROR(TEXT(TRUNC(G176-NOW()),"000") &amp; " D " &amp; TEXT(TRUNC(ABS(G176-NOW()-TRUNC(G176-NOW()))*24),"00") &amp; " H", NA()))</f>
        <v>#N/A</v>
      </c>
      <c r="I176" s="405" t="e">
        <f ca="1">IF(ISBLANK(A176),NA(),IFERROR(SLOPE(INDIRECT("D" &amp; MATCH(A176-$C$1,A:A,1)):D176, INDIRECT("A" &amp; MATCH(A176-$C$1,A:A,1)):A176),NA()))</f>
        <v>#N/A</v>
      </c>
      <c r="J176" s="418" t="e">
        <f>IF(ISBLANK(A176),NA(),IFERROR(A176+(PLAYER_EXP_MAX-D176)/I176,NA()))</f>
        <v>#N/A</v>
      </c>
      <c r="K176" s="466" t="e">
        <f t="shared" ca="1" si="12"/>
        <v>#N/A</v>
      </c>
      <c r="L176" s="405" t="e">
        <f t="shared" si="13"/>
        <v>#N/A</v>
      </c>
      <c r="M176" s="418" t="e">
        <f>IF(ISBLANK(A176),NA(),IFERROR(A176+(PLAYER_EXP_MAX-D176)/L176,NA()))</f>
        <v>#N/A</v>
      </c>
      <c r="N176" s="466" t="e">
        <f t="shared" ca="1" si="14"/>
        <v>#N/A</v>
      </c>
    </row>
    <row r="177" spans="4:14" ht="14.65" customHeight="1" x14ac:dyDescent="0.25">
      <c r="D177" s="466" t="str">
        <f t="shared" si="11"/>
        <v>-</v>
      </c>
      <c r="E177" s="399" t="str">
        <f>IF(ISBLANK(A177),"-",D177/PLAYER_EXP_MAX)</f>
        <v>-</v>
      </c>
      <c r="F177" s="405" t="e">
        <f ca="1">IF(ISBLANK(A177),NA(),IFERROR(SLOPE(INDIRECT("D" &amp; MATCH(A177-$B$1,A:A,1)):D177, INDIRECT("A" &amp; MATCH(A177-$B$1,A:A,1)):A177),NA()))</f>
        <v>#N/A</v>
      </c>
      <c r="G177" s="418" t="e">
        <f>IF(ISBLANK(A177),NA(),IFERROR(A177+(PLAYER_EXP_MAX-D177)/F177,NA()))</f>
        <v>#N/A</v>
      </c>
      <c r="H177" s="466" t="e">
        <f ca="1">IF(ISBLANK(#REF!),NA(),IFERROR(TEXT(TRUNC(G177-NOW()),"000") &amp; " D " &amp; TEXT(TRUNC(ABS(G177-NOW()-TRUNC(G177-NOW()))*24),"00") &amp; " H", NA()))</f>
        <v>#N/A</v>
      </c>
      <c r="I177" s="405" t="e">
        <f ca="1">IF(ISBLANK(A177),NA(),IFERROR(SLOPE(INDIRECT("D" &amp; MATCH(A177-$C$1,A:A,1)):D177, INDIRECT("A" &amp; MATCH(A177-$C$1,A:A,1)):A177),NA()))</f>
        <v>#N/A</v>
      </c>
      <c r="J177" s="418" t="e">
        <f>IF(ISBLANK(A177),NA(),IFERROR(A177+(PLAYER_EXP_MAX-D177)/I177,NA()))</f>
        <v>#N/A</v>
      </c>
      <c r="K177" s="466" t="e">
        <f t="shared" ca="1" si="12"/>
        <v>#N/A</v>
      </c>
      <c r="L177" s="405" t="e">
        <f t="shared" si="13"/>
        <v>#N/A</v>
      </c>
      <c r="M177" s="418" t="e">
        <f>IF(ISBLANK(A177),NA(),IFERROR(A177+(PLAYER_EXP_MAX-D177)/L177,NA()))</f>
        <v>#N/A</v>
      </c>
      <c r="N177" s="466" t="e">
        <f t="shared" ca="1" si="14"/>
        <v>#N/A</v>
      </c>
    </row>
    <row r="178" spans="4:14" ht="14.65" customHeight="1" x14ac:dyDescent="0.25">
      <c r="D178" s="466" t="str">
        <f t="shared" si="11"/>
        <v>-</v>
      </c>
      <c r="E178" s="399" t="str">
        <f>IF(ISBLANK(A178),"-",D178/PLAYER_EXP_MAX)</f>
        <v>-</v>
      </c>
      <c r="F178" s="405" t="e">
        <f ca="1">IF(ISBLANK(A178),NA(),IFERROR(SLOPE(INDIRECT("D" &amp; MATCH(A178-$B$1,A:A,1)):D178, INDIRECT("A" &amp; MATCH(A178-$B$1,A:A,1)):A178),NA()))</f>
        <v>#N/A</v>
      </c>
      <c r="G178" s="418" t="e">
        <f>IF(ISBLANK(A178),NA(),IFERROR(A178+(PLAYER_EXP_MAX-D178)/F178,NA()))</f>
        <v>#N/A</v>
      </c>
      <c r="H178" s="466" t="e">
        <f ca="1">IF(ISBLANK(#REF!),NA(),IFERROR(TEXT(TRUNC(G178-NOW()),"000") &amp; " D " &amp; TEXT(TRUNC(ABS(G178-NOW()-TRUNC(G178-NOW()))*24),"00") &amp; " H", NA()))</f>
        <v>#N/A</v>
      </c>
      <c r="I178" s="405" t="e">
        <f ca="1">IF(ISBLANK(A178),NA(),IFERROR(SLOPE(INDIRECT("D" &amp; MATCH(A178-$C$1,A:A,1)):D178, INDIRECT("A" &amp; MATCH(A178-$C$1,A:A,1)):A178),NA()))</f>
        <v>#N/A</v>
      </c>
      <c r="J178" s="418" t="e">
        <f>IF(ISBLANK(A178),NA(),IFERROR(A178+(PLAYER_EXP_MAX-D178)/I178,NA()))</f>
        <v>#N/A</v>
      </c>
      <c r="K178" s="466" t="e">
        <f t="shared" ca="1" si="12"/>
        <v>#N/A</v>
      </c>
      <c r="L178" s="405" t="e">
        <f t="shared" si="13"/>
        <v>#N/A</v>
      </c>
      <c r="M178" s="418" t="e">
        <f>IF(ISBLANK(A178),NA(),IFERROR(A178+(PLAYER_EXP_MAX-D178)/L178,NA()))</f>
        <v>#N/A</v>
      </c>
      <c r="N178" s="466" t="e">
        <f t="shared" ca="1" si="14"/>
        <v>#N/A</v>
      </c>
    </row>
    <row r="179" spans="4:14" ht="14.65" customHeight="1" x14ac:dyDescent="0.25">
      <c r="D179" s="466" t="str">
        <f t="shared" si="11"/>
        <v>-</v>
      </c>
      <c r="E179" s="399" t="str">
        <f>IF(ISBLANK(A179),"-",D179/PLAYER_EXP_MAX)</f>
        <v>-</v>
      </c>
      <c r="F179" s="405" t="e">
        <f ca="1">IF(ISBLANK(A179),NA(),IFERROR(SLOPE(INDIRECT("D" &amp; MATCH(A179-$B$1,A:A,1)):D179, INDIRECT("A" &amp; MATCH(A179-$B$1,A:A,1)):A179),NA()))</f>
        <v>#N/A</v>
      </c>
      <c r="G179" s="418" t="e">
        <f>IF(ISBLANK(A179),NA(),IFERROR(A179+(PLAYER_EXP_MAX-D179)/F179,NA()))</f>
        <v>#N/A</v>
      </c>
      <c r="H179" s="466" t="e">
        <f ca="1">IF(ISBLANK(#REF!),NA(),IFERROR(TEXT(TRUNC(G179-NOW()),"000") &amp; " D " &amp; TEXT(TRUNC(ABS(G179-NOW()-TRUNC(G179-NOW()))*24),"00") &amp; " H", NA()))</f>
        <v>#N/A</v>
      </c>
      <c r="I179" s="405" t="e">
        <f ca="1">IF(ISBLANK(A179),NA(),IFERROR(SLOPE(INDIRECT("D" &amp; MATCH(A179-$C$1,A:A,1)):D179, INDIRECT("A" &amp; MATCH(A179-$C$1,A:A,1)):A179),NA()))</f>
        <v>#N/A</v>
      </c>
      <c r="J179" s="418" t="e">
        <f>IF(ISBLANK(A179),NA(),IFERROR(A179+(PLAYER_EXP_MAX-D179)/I179,NA()))</f>
        <v>#N/A</v>
      </c>
      <c r="K179" s="466" t="e">
        <f t="shared" ca="1" si="12"/>
        <v>#N/A</v>
      </c>
      <c r="L179" s="405" t="e">
        <f t="shared" si="13"/>
        <v>#N/A</v>
      </c>
      <c r="M179" s="418" t="e">
        <f>IF(ISBLANK(A179),NA(),IFERROR(A179+(PLAYER_EXP_MAX-D179)/L179,NA()))</f>
        <v>#N/A</v>
      </c>
      <c r="N179" s="466" t="e">
        <f t="shared" ca="1" si="14"/>
        <v>#N/A</v>
      </c>
    </row>
    <row r="180" spans="4:14" ht="14.65" customHeight="1" x14ac:dyDescent="0.25">
      <c r="D180" s="466" t="str">
        <f t="shared" si="11"/>
        <v>-</v>
      </c>
      <c r="E180" s="399" t="str">
        <f>IF(ISBLANK(A180),"-",D180/PLAYER_EXP_MAX)</f>
        <v>-</v>
      </c>
      <c r="F180" s="405" t="e">
        <f ca="1">IF(ISBLANK(A180),NA(),IFERROR(SLOPE(INDIRECT("D" &amp; MATCH(A180-$B$1,A:A,1)):D180, INDIRECT("A" &amp; MATCH(A180-$B$1,A:A,1)):A180),NA()))</f>
        <v>#N/A</v>
      </c>
      <c r="G180" s="418" t="e">
        <f>IF(ISBLANK(A180),NA(),IFERROR(A180+(PLAYER_EXP_MAX-D180)/F180,NA()))</f>
        <v>#N/A</v>
      </c>
      <c r="H180" s="466" t="e">
        <f ca="1">IF(ISBLANK(#REF!),NA(),IFERROR(TEXT(TRUNC(G180-NOW()),"000") &amp; " D " &amp; TEXT(TRUNC(ABS(G180-NOW()-TRUNC(G180-NOW()))*24),"00") &amp; " H", NA()))</f>
        <v>#N/A</v>
      </c>
      <c r="I180" s="405" t="e">
        <f ca="1">IF(ISBLANK(A180),NA(),IFERROR(SLOPE(INDIRECT("D" &amp; MATCH(A180-$C$1,A:A,1)):D180, INDIRECT("A" &amp; MATCH(A180-$C$1,A:A,1)):A180),NA()))</f>
        <v>#N/A</v>
      </c>
      <c r="J180" s="418" t="e">
        <f>IF(ISBLANK(A180),NA(),IFERROR(A180+(PLAYER_EXP_MAX-D180)/I180,NA()))</f>
        <v>#N/A</v>
      </c>
      <c r="K180" s="466" t="e">
        <f t="shared" ca="1" si="12"/>
        <v>#N/A</v>
      </c>
      <c r="L180" s="405" t="e">
        <f t="shared" si="13"/>
        <v>#N/A</v>
      </c>
      <c r="M180" s="418" t="e">
        <f>IF(ISBLANK(A180),NA(),IFERROR(A180+(PLAYER_EXP_MAX-D180)/L180,NA()))</f>
        <v>#N/A</v>
      </c>
      <c r="N180" s="466" t="e">
        <f t="shared" ca="1" si="14"/>
        <v>#N/A</v>
      </c>
    </row>
    <row r="181" spans="4:14" ht="14.65" customHeight="1" x14ac:dyDescent="0.25">
      <c r="D181" s="466" t="str">
        <f t="shared" si="11"/>
        <v>-</v>
      </c>
      <c r="E181" s="399" t="str">
        <f>IF(ISBLANK(A181),"-",D181/PLAYER_EXP_MAX)</f>
        <v>-</v>
      </c>
      <c r="F181" s="405" t="e">
        <f ca="1">IF(ISBLANK(A181),NA(),IFERROR(SLOPE(INDIRECT("D" &amp; MATCH(A181-$B$1,A:A,1)):D181, INDIRECT("A" &amp; MATCH(A181-$B$1,A:A,1)):A181),NA()))</f>
        <v>#N/A</v>
      </c>
      <c r="G181" s="418" t="e">
        <f>IF(ISBLANK(A181),NA(),IFERROR(A181+(PLAYER_EXP_MAX-D181)/F181,NA()))</f>
        <v>#N/A</v>
      </c>
      <c r="H181" s="466" t="e">
        <f ca="1">IF(ISBLANK(#REF!),NA(),IFERROR(TEXT(TRUNC(G181-NOW()),"000") &amp; " D " &amp; TEXT(TRUNC(ABS(G181-NOW()-TRUNC(G181-NOW()))*24),"00") &amp; " H", NA()))</f>
        <v>#N/A</v>
      </c>
      <c r="I181" s="405" t="e">
        <f ca="1">IF(ISBLANK(A181),NA(),IFERROR(SLOPE(INDIRECT("D" &amp; MATCH(A181-$C$1,A:A,1)):D181, INDIRECT("A" &amp; MATCH(A181-$C$1,A:A,1)):A181),NA()))</f>
        <v>#N/A</v>
      </c>
      <c r="J181" s="418" t="e">
        <f>IF(ISBLANK(A181),NA(),IFERROR(A181+(PLAYER_EXP_MAX-D181)/I181,NA()))</f>
        <v>#N/A</v>
      </c>
      <c r="K181" s="466" t="e">
        <f t="shared" ca="1" si="12"/>
        <v>#N/A</v>
      </c>
      <c r="L181" s="405" t="e">
        <f t="shared" si="13"/>
        <v>#N/A</v>
      </c>
      <c r="M181" s="418" t="e">
        <f>IF(ISBLANK(A181),NA(),IFERROR(A181+(PLAYER_EXP_MAX-D181)/L181,NA()))</f>
        <v>#N/A</v>
      </c>
      <c r="N181" s="466" t="e">
        <f t="shared" ca="1" si="14"/>
        <v>#N/A</v>
      </c>
    </row>
    <row r="182" spans="4:14" ht="14.65" customHeight="1" x14ac:dyDescent="0.25">
      <c r="D182" s="466" t="str">
        <f t="shared" si="11"/>
        <v>-</v>
      </c>
      <c r="E182" s="399" t="str">
        <f>IF(ISBLANK(A182),"-",D182/PLAYER_EXP_MAX)</f>
        <v>-</v>
      </c>
      <c r="F182" s="405" t="e">
        <f ca="1">IF(ISBLANK(A182),NA(),IFERROR(SLOPE(INDIRECT("D" &amp; MATCH(A182-$B$1,A:A,1)):D182, INDIRECT("A" &amp; MATCH(A182-$B$1,A:A,1)):A182),NA()))</f>
        <v>#N/A</v>
      </c>
      <c r="G182" s="418" t="e">
        <f>IF(ISBLANK(A182),NA(),IFERROR(A182+(PLAYER_EXP_MAX-D182)/F182,NA()))</f>
        <v>#N/A</v>
      </c>
      <c r="H182" s="466" t="e">
        <f ca="1">IF(ISBLANK(#REF!),NA(),IFERROR(TEXT(TRUNC(G182-NOW()),"000") &amp; " D " &amp; TEXT(TRUNC(ABS(G182-NOW()-TRUNC(G182-NOW()))*24),"00") &amp; " H", NA()))</f>
        <v>#N/A</v>
      </c>
      <c r="I182" s="405" t="e">
        <f ca="1">IF(ISBLANK(A182),NA(),IFERROR(SLOPE(INDIRECT("D" &amp; MATCH(A182-$C$1,A:A,1)):D182, INDIRECT("A" &amp; MATCH(A182-$C$1,A:A,1)):A182),NA()))</f>
        <v>#N/A</v>
      </c>
      <c r="J182" s="418" t="e">
        <f>IF(ISBLANK(A182),NA(),IFERROR(A182+(PLAYER_EXP_MAX-D182)/I182,NA()))</f>
        <v>#N/A</v>
      </c>
      <c r="K182" s="466" t="e">
        <f t="shared" ca="1" si="12"/>
        <v>#N/A</v>
      </c>
      <c r="L182" s="405" t="e">
        <f t="shared" si="13"/>
        <v>#N/A</v>
      </c>
      <c r="M182" s="418" t="e">
        <f>IF(ISBLANK(A182),NA(),IFERROR(A182+(PLAYER_EXP_MAX-D182)/L182,NA()))</f>
        <v>#N/A</v>
      </c>
      <c r="N182" s="466" t="e">
        <f t="shared" ca="1" si="14"/>
        <v>#N/A</v>
      </c>
    </row>
    <row r="183" spans="4:14" ht="14.65" customHeight="1" x14ac:dyDescent="0.25">
      <c r="D183" s="466" t="str">
        <f t="shared" si="11"/>
        <v>-</v>
      </c>
      <c r="E183" s="399" t="str">
        <f>IF(ISBLANK(A183),"-",D183/PLAYER_EXP_MAX)</f>
        <v>-</v>
      </c>
      <c r="F183" s="405" t="e">
        <f ca="1">IF(ISBLANK(A183),NA(),IFERROR(SLOPE(INDIRECT("D" &amp; MATCH(A183-$B$1,A:A,1)):D183, INDIRECT("A" &amp; MATCH(A183-$B$1,A:A,1)):A183),NA()))</f>
        <v>#N/A</v>
      </c>
      <c r="G183" s="418" t="e">
        <f>IF(ISBLANK(A183),NA(),IFERROR(A183+(PLAYER_EXP_MAX-D183)/F183,NA()))</f>
        <v>#N/A</v>
      </c>
      <c r="H183" s="466" t="e">
        <f ca="1">IF(ISBLANK(#REF!),NA(),IFERROR(TEXT(TRUNC(G183-NOW()),"000") &amp; " D " &amp; TEXT(TRUNC(ABS(G183-NOW()-TRUNC(G183-NOW()))*24),"00") &amp; " H", NA()))</f>
        <v>#N/A</v>
      </c>
      <c r="I183" s="405" t="e">
        <f ca="1">IF(ISBLANK(A183),NA(),IFERROR(SLOPE(INDIRECT("D" &amp; MATCH(A183-$C$1,A:A,1)):D183, INDIRECT("A" &amp; MATCH(A183-$C$1,A:A,1)):A183),NA()))</f>
        <v>#N/A</v>
      </c>
      <c r="J183" s="418" t="e">
        <f>IF(ISBLANK(A183),NA(),IFERROR(A183+(PLAYER_EXP_MAX-D183)/I183,NA()))</f>
        <v>#N/A</v>
      </c>
      <c r="K183" s="466" t="e">
        <f t="shared" ca="1" si="12"/>
        <v>#N/A</v>
      </c>
      <c r="L183" s="405" t="e">
        <f t="shared" si="13"/>
        <v>#N/A</v>
      </c>
      <c r="M183" s="418" t="e">
        <f>IF(ISBLANK(A183),NA(),IFERROR(A183+(PLAYER_EXP_MAX-D183)/L183,NA()))</f>
        <v>#N/A</v>
      </c>
      <c r="N183" s="466" t="e">
        <f t="shared" ca="1" si="14"/>
        <v>#N/A</v>
      </c>
    </row>
    <row r="184" spans="4:14" ht="14.65" customHeight="1" x14ac:dyDescent="0.25">
      <c r="D184" s="466" t="str">
        <f t="shared" si="11"/>
        <v>-</v>
      </c>
      <c r="E184" s="399" t="str">
        <f>IF(ISBLANK(A184),"-",D184/PLAYER_EXP_MAX)</f>
        <v>-</v>
      </c>
      <c r="F184" s="405" t="e">
        <f ca="1">IF(ISBLANK(A184),NA(),IFERROR(SLOPE(INDIRECT("D" &amp; MATCH(A184-$B$1,A:A,1)):D184, INDIRECT("A" &amp; MATCH(A184-$B$1,A:A,1)):A184),NA()))</f>
        <v>#N/A</v>
      </c>
      <c r="G184" s="418" t="e">
        <f>IF(ISBLANK(A184),NA(),IFERROR(A184+(PLAYER_EXP_MAX-D184)/F184,NA()))</f>
        <v>#N/A</v>
      </c>
      <c r="H184" s="466" t="e">
        <f ca="1">IF(ISBLANK(#REF!),NA(),IFERROR(TEXT(TRUNC(G184-NOW()),"000") &amp; " D " &amp; TEXT(TRUNC(ABS(G184-NOW()-TRUNC(G184-NOW()))*24),"00") &amp; " H", NA()))</f>
        <v>#N/A</v>
      </c>
      <c r="I184" s="405" t="e">
        <f ca="1">IF(ISBLANK(A184),NA(),IFERROR(SLOPE(INDIRECT("D" &amp; MATCH(A184-$C$1,A:A,1)):D184, INDIRECT("A" &amp; MATCH(A184-$C$1,A:A,1)):A184),NA()))</f>
        <v>#N/A</v>
      </c>
      <c r="J184" s="418" t="e">
        <f>IF(ISBLANK(A184),NA(),IFERROR(A184+(PLAYER_EXP_MAX-D184)/I184,NA()))</f>
        <v>#N/A</v>
      </c>
      <c r="K184" s="466" t="e">
        <f t="shared" ca="1" si="12"/>
        <v>#N/A</v>
      </c>
      <c r="L184" s="405" t="e">
        <f t="shared" si="13"/>
        <v>#N/A</v>
      </c>
      <c r="M184" s="418" t="e">
        <f>IF(ISBLANK(A184),NA(),IFERROR(A184+(PLAYER_EXP_MAX-D184)/L184,NA()))</f>
        <v>#N/A</v>
      </c>
      <c r="N184" s="466" t="e">
        <f t="shared" ca="1" si="14"/>
        <v>#N/A</v>
      </c>
    </row>
    <row r="185" spans="4:14" ht="14.65" customHeight="1" x14ac:dyDescent="0.25">
      <c r="D185" s="466" t="str">
        <f t="shared" si="11"/>
        <v>-</v>
      </c>
      <c r="E185" s="399" t="str">
        <f>IF(ISBLANK(A185),"-",D185/PLAYER_EXP_MAX)</f>
        <v>-</v>
      </c>
      <c r="F185" s="405" t="e">
        <f ca="1">IF(ISBLANK(A185),NA(),IFERROR(SLOPE(INDIRECT("D" &amp; MATCH(A185-$B$1,A:A,1)):D185, INDIRECT("A" &amp; MATCH(A185-$B$1,A:A,1)):A185),NA()))</f>
        <v>#N/A</v>
      </c>
      <c r="G185" s="418" t="e">
        <f>IF(ISBLANK(A185),NA(),IFERROR(A185+(PLAYER_EXP_MAX-D185)/F185,NA()))</f>
        <v>#N/A</v>
      </c>
      <c r="H185" s="466" t="e">
        <f ca="1">IF(ISBLANK(#REF!),NA(),IFERROR(TEXT(TRUNC(G185-NOW()),"000") &amp; " D " &amp; TEXT(TRUNC(ABS(G185-NOW()-TRUNC(G185-NOW()))*24),"00") &amp; " H", NA()))</f>
        <v>#N/A</v>
      </c>
      <c r="I185" s="405" t="e">
        <f ca="1">IF(ISBLANK(A185),NA(),IFERROR(SLOPE(INDIRECT("D" &amp; MATCH(A185-$C$1,A:A,1)):D185, INDIRECT("A" &amp; MATCH(A185-$C$1,A:A,1)):A185),NA()))</f>
        <v>#N/A</v>
      </c>
      <c r="J185" s="418" t="e">
        <f>IF(ISBLANK(A185),NA(),IFERROR(A185+(PLAYER_EXP_MAX-D185)/I185,NA()))</f>
        <v>#N/A</v>
      </c>
      <c r="K185" s="466" t="e">
        <f t="shared" ca="1" si="12"/>
        <v>#N/A</v>
      </c>
      <c r="L185" s="405" t="e">
        <f t="shared" si="13"/>
        <v>#N/A</v>
      </c>
      <c r="M185" s="418" t="e">
        <f>IF(ISBLANK(A185),NA(),IFERROR(A185+(PLAYER_EXP_MAX-D185)/L185,NA()))</f>
        <v>#N/A</v>
      </c>
      <c r="N185" s="466" t="e">
        <f t="shared" ca="1" si="14"/>
        <v>#N/A</v>
      </c>
    </row>
    <row r="186" spans="4:14" ht="14.65" customHeight="1" x14ac:dyDescent="0.25">
      <c r="D186" s="466" t="str">
        <f t="shared" si="11"/>
        <v>-</v>
      </c>
      <c r="E186" s="399" t="str">
        <f>IF(ISBLANK(A186),"-",D186/PLAYER_EXP_MAX)</f>
        <v>-</v>
      </c>
      <c r="F186" s="405" t="e">
        <f ca="1">IF(ISBLANK(A186),NA(),IFERROR(SLOPE(INDIRECT("D" &amp; MATCH(A186-$B$1,A:A,1)):D186, INDIRECT("A" &amp; MATCH(A186-$B$1,A:A,1)):A186),NA()))</f>
        <v>#N/A</v>
      </c>
      <c r="G186" s="418" t="e">
        <f>IF(ISBLANK(A186),NA(),IFERROR(A186+(PLAYER_EXP_MAX-D186)/F186,NA()))</f>
        <v>#N/A</v>
      </c>
      <c r="H186" s="466" t="e">
        <f ca="1">IF(ISBLANK(#REF!),NA(),IFERROR(TEXT(TRUNC(G186-NOW()),"000") &amp; " D " &amp; TEXT(TRUNC(ABS(G186-NOW()-TRUNC(G186-NOW()))*24),"00") &amp; " H", NA()))</f>
        <v>#N/A</v>
      </c>
      <c r="I186" s="405" t="e">
        <f ca="1">IF(ISBLANK(A186),NA(),IFERROR(SLOPE(INDIRECT("D" &amp; MATCH(A186-$C$1,A:A,1)):D186, INDIRECT("A" &amp; MATCH(A186-$C$1,A:A,1)):A186),NA()))</f>
        <v>#N/A</v>
      </c>
      <c r="J186" s="418" t="e">
        <f>IF(ISBLANK(A186),NA(),IFERROR(A186+(PLAYER_EXP_MAX-D186)/I186,NA()))</f>
        <v>#N/A</v>
      </c>
      <c r="K186" s="466" t="e">
        <f t="shared" ca="1" si="12"/>
        <v>#N/A</v>
      </c>
      <c r="L186" s="405" t="e">
        <f t="shared" si="13"/>
        <v>#N/A</v>
      </c>
      <c r="M186" s="418" t="e">
        <f>IF(ISBLANK(A186),NA(),IFERROR(A186+(PLAYER_EXP_MAX-D186)/L186,NA()))</f>
        <v>#N/A</v>
      </c>
      <c r="N186" s="466" t="e">
        <f t="shared" ca="1" si="14"/>
        <v>#N/A</v>
      </c>
    </row>
    <row r="187" spans="4:14" ht="14.65" customHeight="1" x14ac:dyDescent="0.25">
      <c r="D187" s="466" t="str">
        <f t="shared" si="11"/>
        <v>-</v>
      </c>
      <c r="E187" s="399" t="str">
        <f>IF(ISBLANK(A187),"-",D187/PLAYER_EXP_MAX)</f>
        <v>-</v>
      </c>
      <c r="F187" s="405" t="e">
        <f ca="1">IF(ISBLANK(A187),NA(),IFERROR(SLOPE(INDIRECT("D" &amp; MATCH(A187-$B$1,A:A,1)):D187, INDIRECT("A" &amp; MATCH(A187-$B$1,A:A,1)):A187),NA()))</f>
        <v>#N/A</v>
      </c>
      <c r="G187" s="418" t="e">
        <f>IF(ISBLANK(A187),NA(),IFERROR(A187+(PLAYER_EXP_MAX-D187)/F187,NA()))</f>
        <v>#N/A</v>
      </c>
      <c r="H187" s="466" t="e">
        <f ca="1">IF(ISBLANK(#REF!),NA(),IFERROR(TEXT(TRUNC(G187-NOW()),"000") &amp; " D " &amp; TEXT(TRUNC(ABS(G187-NOW()-TRUNC(G187-NOW()))*24),"00") &amp; " H", NA()))</f>
        <v>#N/A</v>
      </c>
      <c r="I187" s="405" t="e">
        <f ca="1">IF(ISBLANK(A187),NA(),IFERROR(SLOPE(INDIRECT("D" &amp; MATCH(A187-$C$1,A:A,1)):D187, INDIRECT("A" &amp; MATCH(A187-$C$1,A:A,1)):A187),NA()))</f>
        <v>#N/A</v>
      </c>
      <c r="J187" s="418" t="e">
        <f>IF(ISBLANK(A187),NA(),IFERROR(A187+(PLAYER_EXP_MAX-D187)/I187,NA()))</f>
        <v>#N/A</v>
      </c>
      <c r="K187" s="466" t="e">
        <f t="shared" ca="1" si="12"/>
        <v>#N/A</v>
      </c>
      <c r="L187" s="405" t="e">
        <f t="shared" si="13"/>
        <v>#N/A</v>
      </c>
      <c r="M187" s="418" t="e">
        <f>IF(ISBLANK(A187),NA(),IFERROR(A187+(PLAYER_EXP_MAX-D187)/L187,NA()))</f>
        <v>#N/A</v>
      </c>
      <c r="N187" s="466" t="e">
        <f t="shared" ca="1" si="14"/>
        <v>#N/A</v>
      </c>
    </row>
    <row r="188" spans="4:14" ht="14.65" customHeight="1" x14ac:dyDescent="0.25">
      <c r="D188" s="466" t="str">
        <f t="shared" si="11"/>
        <v>-</v>
      </c>
      <c r="E188" s="399" t="str">
        <f>IF(ISBLANK(A188),"-",D188/PLAYER_EXP_MAX)</f>
        <v>-</v>
      </c>
      <c r="F188" s="405" t="e">
        <f ca="1">IF(ISBLANK(A188),NA(),IFERROR(SLOPE(INDIRECT("D" &amp; MATCH(A188-$B$1,A:A,1)):D188, INDIRECT("A" &amp; MATCH(A188-$B$1,A:A,1)):A188),NA()))</f>
        <v>#N/A</v>
      </c>
      <c r="G188" s="418" t="e">
        <f>IF(ISBLANK(A188),NA(),IFERROR(A188+(PLAYER_EXP_MAX-D188)/F188,NA()))</f>
        <v>#N/A</v>
      </c>
      <c r="H188" s="466" t="e">
        <f ca="1">IF(ISBLANK(#REF!),NA(),IFERROR(TEXT(TRUNC(G188-NOW()),"000") &amp; " D " &amp; TEXT(TRUNC(ABS(G188-NOW()-TRUNC(G188-NOW()))*24),"00") &amp; " H", NA()))</f>
        <v>#N/A</v>
      </c>
      <c r="I188" s="405" t="e">
        <f ca="1">IF(ISBLANK(A188),NA(),IFERROR(SLOPE(INDIRECT("D" &amp; MATCH(A188-$C$1,A:A,1)):D188, INDIRECT("A" &amp; MATCH(A188-$C$1,A:A,1)):A188),NA()))</f>
        <v>#N/A</v>
      </c>
      <c r="J188" s="418" t="e">
        <f>IF(ISBLANK(A188),NA(),IFERROR(A188+(PLAYER_EXP_MAX-D188)/I188,NA()))</f>
        <v>#N/A</v>
      </c>
      <c r="K188" s="466" t="e">
        <f t="shared" ca="1" si="12"/>
        <v>#N/A</v>
      </c>
      <c r="L188" s="405" t="e">
        <f t="shared" si="13"/>
        <v>#N/A</v>
      </c>
      <c r="M188" s="418" t="e">
        <f>IF(ISBLANK(A188),NA(),IFERROR(A188+(PLAYER_EXP_MAX-D188)/L188,NA()))</f>
        <v>#N/A</v>
      </c>
      <c r="N188" s="466" t="e">
        <f t="shared" ca="1" si="14"/>
        <v>#N/A</v>
      </c>
    </row>
    <row r="189" spans="4:14" ht="14.65" customHeight="1" x14ac:dyDescent="0.25">
      <c r="D189" s="466" t="str">
        <f t="shared" si="11"/>
        <v>-</v>
      </c>
      <c r="E189" s="399" t="str">
        <f>IF(ISBLANK(A189),"-",D189/PLAYER_EXP_MAX)</f>
        <v>-</v>
      </c>
      <c r="F189" s="405" t="e">
        <f ca="1">IF(ISBLANK(A189),NA(),IFERROR(SLOPE(INDIRECT("D" &amp; MATCH(A189-$B$1,A:A,1)):D189, INDIRECT("A" &amp; MATCH(A189-$B$1,A:A,1)):A189),NA()))</f>
        <v>#N/A</v>
      </c>
      <c r="G189" s="418" t="e">
        <f>IF(ISBLANK(A189),NA(),IFERROR(A189+(PLAYER_EXP_MAX-D189)/F189,NA()))</f>
        <v>#N/A</v>
      </c>
      <c r="H189" s="466" t="e">
        <f ca="1">IF(ISBLANK(#REF!),NA(),IFERROR(TEXT(TRUNC(G189-NOW()),"000") &amp; " D " &amp; TEXT(TRUNC(ABS(G189-NOW()-TRUNC(G189-NOW()))*24),"00") &amp; " H", NA()))</f>
        <v>#N/A</v>
      </c>
      <c r="I189" s="405" t="e">
        <f ca="1">IF(ISBLANK(A189),NA(),IFERROR(SLOPE(INDIRECT("D" &amp; MATCH(A189-$C$1,A:A,1)):D189, INDIRECT("A" &amp; MATCH(A189-$C$1,A:A,1)):A189),NA()))</f>
        <v>#N/A</v>
      </c>
      <c r="J189" s="418" t="e">
        <f>IF(ISBLANK(A189),NA(),IFERROR(A189+(PLAYER_EXP_MAX-D189)/I189,NA()))</f>
        <v>#N/A</v>
      </c>
      <c r="K189" s="466" t="e">
        <f t="shared" ca="1" si="12"/>
        <v>#N/A</v>
      </c>
      <c r="L189" s="405" t="e">
        <f t="shared" si="13"/>
        <v>#N/A</v>
      </c>
      <c r="M189" s="418" t="e">
        <f>IF(ISBLANK(A189),NA(),IFERROR(A189+(PLAYER_EXP_MAX-D189)/L189,NA()))</f>
        <v>#N/A</v>
      </c>
      <c r="N189" s="466" t="e">
        <f t="shared" ca="1" si="14"/>
        <v>#N/A</v>
      </c>
    </row>
    <row r="190" spans="4:14" ht="14.65" customHeight="1" x14ac:dyDescent="0.25">
      <c r="D190" s="466" t="str">
        <f t="shared" si="11"/>
        <v>-</v>
      </c>
      <c r="E190" s="399" t="str">
        <f>IF(ISBLANK(A190),"-",D190/PLAYER_EXP_MAX)</f>
        <v>-</v>
      </c>
      <c r="F190" s="405" t="e">
        <f ca="1">IF(ISBLANK(A190),NA(),IFERROR(SLOPE(INDIRECT("D" &amp; MATCH(A190-$B$1,A:A,1)):D190, INDIRECT("A" &amp; MATCH(A190-$B$1,A:A,1)):A190),NA()))</f>
        <v>#N/A</v>
      </c>
      <c r="G190" s="418" t="e">
        <f>IF(ISBLANK(A190),NA(),IFERROR(A190+(PLAYER_EXP_MAX-D190)/F190,NA()))</f>
        <v>#N/A</v>
      </c>
      <c r="H190" s="466" t="e">
        <f ca="1">IF(ISBLANK(#REF!),NA(),IFERROR(TEXT(TRUNC(G190-NOW()),"000") &amp; " D " &amp; TEXT(TRUNC(ABS(G190-NOW()-TRUNC(G190-NOW()))*24),"00") &amp; " H", NA()))</f>
        <v>#N/A</v>
      </c>
      <c r="I190" s="405" t="e">
        <f ca="1">IF(ISBLANK(A190),NA(),IFERROR(SLOPE(INDIRECT("D" &amp; MATCH(A190-$C$1,A:A,1)):D190, INDIRECT("A" &amp; MATCH(A190-$C$1,A:A,1)):A190),NA()))</f>
        <v>#N/A</v>
      </c>
      <c r="J190" s="418" t="e">
        <f>IF(ISBLANK(A190),NA(),IFERROR(A190+(PLAYER_EXP_MAX-D190)/I190,NA()))</f>
        <v>#N/A</v>
      </c>
      <c r="K190" s="466" t="e">
        <f t="shared" ca="1" si="12"/>
        <v>#N/A</v>
      </c>
      <c r="L190" s="405" t="e">
        <f t="shared" si="13"/>
        <v>#N/A</v>
      </c>
      <c r="M190" s="418" t="e">
        <f>IF(ISBLANK(A190),NA(),IFERROR(A190+(PLAYER_EXP_MAX-D190)/L190,NA()))</f>
        <v>#N/A</v>
      </c>
      <c r="N190" s="466" t="e">
        <f t="shared" ca="1" si="14"/>
        <v>#N/A</v>
      </c>
    </row>
    <row r="191" spans="4:14" ht="14.65" customHeight="1" x14ac:dyDescent="0.25">
      <c r="D191" s="466" t="str">
        <f t="shared" si="11"/>
        <v>-</v>
      </c>
      <c r="E191" s="399" t="str">
        <f>IF(ISBLANK(A191),"-",D191/PLAYER_EXP_MAX)</f>
        <v>-</v>
      </c>
      <c r="F191" s="405" t="e">
        <f ca="1">IF(ISBLANK(A191),NA(),IFERROR(SLOPE(INDIRECT("D" &amp; MATCH(A191-$B$1,A:A,1)):D191, INDIRECT("A" &amp; MATCH(A191-$B$1,A:A,1)):A191),NA()))</f>
        <v>#N/A</v>
      </c>
      <c r="G191" s="418" t="e">
        <f>IF(ISBLANK(A191),NA(),IFERROR(A191+(PLAYER_EXP_MAX-D191)/F191,NA()))</f>
        <v>#N/A</v>
      </c>
      <c r="H191" s="466" t="e">
        <f ca="1">IF(ISBLANK(#REF!),NA(),IFERROR(TEXT(TRUNC(G191-NOW()),"000") &amp; " D " &amp; TEXT(TRUNC(ABS(G191-NOW()-TRUNC(G191-NOW()))*24),"00") &amp; " H", NA()))</f>
        <v>#N/A</v>
      </c>
      <c r="I191" s="405" t="e">
        <f ca="1">IF(ISBLANK(A191),NA(),IFERROR(SLOPE(INDIRECT("D" &amp; MATCH(A191-$C$1,A:A,1)):D191, INDIRECT("A" &amp; MATCH(A191-$C$1,A:A,1)):A191),NA()))</f>
        <v>#N/A</v>
      </c>
      <c r="J191" s="418" t="e">
        <f>IF(ISBLANK(A191),NA(),IFERROR(A191+(PLAYER_EXP_MAX-D191)/I191,NA()))</f>
        <v>#N/A</v>
      </c>
      <c r="K191" s="466" t="e">
        <f t="shared" ca="1" si="12"/>
        <v>#N/A</v>
      </c>
      <c r="L191" s="405" t="e">
        <f t="shared" si="13"/>
        <v>#N/A</v>
      </c>
      <c r="M191" s="418" t="e">
        <f>IF(ISBLANK(A191),NA(),IFERROR(A191+(PLAYER_EXP_MAX-D191)/L191,NA()))</f>
        <v>#N/A</v>
      </c>
      <c r="N191" s="466" t="e">
        <f t="shared" ca="1" si="14"/>
        <v>#N/A</v>
      </c>
    </row>
    <row r="192" spans="4:14" ht="14.65" customHeight="1" x14ac:dyDescent="0.25">
      <c r="D192" s="466" t="str">
        <f t="shared" si="11"/>
        <v>-</v>
      </c>
      <c r="E192" s="399" t="str">
        <f>IF(ISBLANK(A192),"-",D192/PLAYER_EXP_MAX)</f>
        <v>-</v>
      </c>
      <c r="F192" s="405" t="e">
        <f ca="1">IF(ISBLANK(A192),NA(),IFERROR(SLOPE(INDIRECT("D" &amp; MATCH(A192-$B$1,A:A,1)):D192, INDIRECT("A" &amp; MATCH(A192-$B$1,A:A,1)):A192),NA()))</f>
        <v>#N/A</v>
      </c>
      <c r="G192" s="418" t="e">
        <f>IF(ISBLANK(A192),NA(),IFERROR(A192+(PLAYER_EXP_MAX-D192)/F192,NA()))</f>
        <v>#N/A</v>
      </c>
      <c r="H192" s="466" t="e">
        <f ca="1">IF(ISBLANK(#REF!),NA(),IFERROR(TEXT(TRUNC(G192-NOW()),"000") &amp; " D " &amp; TEXT(TRUNC(ABS(G192-NOW()-TRUNC(G192-NOW()))*24),"00") &amp; " H", NA()))</f>
        <v>#N/A</v>
      </c>
      <c r="I192" s="405" t="e">
        <f ca="1">IF(ISBLANK(A192),NA(),IFERROR(SLOPE(INDIRECT("D" &amp; MATCH(A192-$C$1,A:A,1)):D192, INDIRECT("A" &amp; MATCH(A192-$C$1,A:A,1)):A192),NA()))</f>
        <v>#N/A</v>
      </c>
      <c r="J192" s="418" t="e">
        <f>IF(ISBLANK(A192),NA(),IFERROR(A192+(PLAYER_EXP_MAX-D192)/I192,NA()))</f>
        <v>#N/A</v>
      </c>
      <c r="K192" s="466" t="e">
        <f t="shared" ca="1" si="12"/>
        <v>#N/A</v>
      </c>
      <c r="L192" s="405" t="e">
        <f t="shared" si="13"/>
        <v>#N/A</v>
      </c>
      <c r="M192" s="418" t="e">
        <f>IF(ISBLANK(A192),NA(),IFERROR(A192+(PLAYER_EXP_MAX-D192)/L192,NA()))</f>
        <v>#N/A</v>
      </c>
      <c r="N192" s="466" t="e">
        <f t="shared" ca="1" si="14"/>
        <v>#N/A</v>
      </c>
    </row>
    <row r="193" spans="4:14" ht="14.65" customHeight="1" x14ac:dyDescent="0.25">
      <c r="D193" s="466" t="str">
        <f t="shared" si="11"/>
        <v>-</v>
      </c>
      <c r="E193" s="399" t="str">
        <f>IF(ISBLANK(A193),"-",D193/PLAYER_EXP_MAX)</f>
        <v>-</v>
      </c>
      <c r="F193" s="405" t="e">
        <f ca="1">IF(ISBLANK(A193),NA(),IFERROR(SLOPE(INDIRECT("D" &amp; MATCH(A193-$B$1,A:A,1)):D193, INDIRECT("A" &amp; MATCH(A193-$B$1,A:A,1)):A193),NA()))</f>
        <v>#N/A</v>
      </c>
      <c r="G193" s="418" t="e">
        <f>IF(ISBLANK(A193),NA(),IFERROR(A193+(PLAYER_EXP_MAX-D193)/F193,NA()))</f>
        <v>#N/A</v>
      </c>
      <c r="H193" s="466" t="e">
        <f ca="1">IF(ISBLANK(#REF!),NA(),IFERROR(TEXT(TRUNC(G193-NOW()),"000") &amp; " D " &amp; TEXT(TRUNC(ABS(G193-NOW()-TRUNC(G193-NOW()))*24),"00") &amp; " H", NA()))</f>
        <v>#N/A</v>
      </c>
      <c r="I193" s="405" t="e">
        <f ca="1">IF(ISBLANK(A193),NA(),IFERROR(SLOPE(INDIRECT("D" &amp; MATCH(A193-$C$1,A:A,1)):D193, INDIRECT("A" &amp; MATCH(A193-$C$1,A:A,1)):A193),NA()))</f>
        <v>#N/A</v>
      </c>
      <c r="J193" s="418" t="e">
        <f>IF(ISBLANK(A193),NA(),IFERROR(A193+(PLAYER_EXP_MAX-D193)/I193,NA()))</f>
        <v>#N/A</v>
      </c>
      <c r="K193" s="466" t="e">
        <f t="shared" ca="1" si="12"/>
        <v>#N/A</v>
      </c>
      <c r="L193" s="405" t="e">
        <f t="shared" si="13"/>
        <v>#N/A</v>
      </c>
      <c r="M193" s="418" t="e">
        <f>IF(ISBLANK(A193),NA(),IFERROR(A193+(PLAYER_EXP_MAX-D193)/L193,NA()))</f>
        <v>#N/A</v>
      </c>
      <c r="N193" s="466" t="e">
        <f t="shared" ca="1" si="14"/>
        <v>#N/A</v>
      </c>
    </row>
    <row r="194" spans="4:14" ht="14.65" customHeight="1" x14ac:dyDescent="0.25">
      <c r="D194" s="466" t="str">
        <f t="shared" si="11"/>
        <v>-</v>
      </c>
      <c r="E194" s="399" t="str">
        <f>IF(ISBLANK(A194),"-",D194/PLAYER_EXP_MAX)</f>
        <v>-</v>
      </c>
      <c r="F194" s="405" t="e">
        <f ca="1">IF(ISBLANK(A194),NA(),IFERROR(SLOPE(INDIRECT("D" &amp; MATCH(A194-$B$1,A:A,1)):D194, INDIRECT("A" &amp; MATCH(A194-$B$1,A:A,1)):A194),NA()))</f>
        <v>#N/A</v>
      </c>
      <c r="G194" s="418" t="e">
        <f>IF(ISBLANK(A194),NA(),IFERROR(A194+(PLAYER_EXP_MAX-D194)/F194,NA()))</f>
        <v>#N/A</v>
      </c>
      <c r="H194" s="466" t="e">
        <f ca="1">IF(ISBLANK(#REF!),NA(),IFERROR(TEXT(TRUNC(G194-NOW()),"000") &amp; " D " &amp; TEXT(TRUNC(ABS(G194-NOW()-TRUNC(G194-NOW()))*24),"00") &amp; " H", NA()))</f>
        <v>#N/A</v>
      </c>
      <c r="I194" s="405" t="e">
        <f ca="1">IF(ISBLANK(A194),NA(),IFERROR(SLOPE(INDIRECT("D" &amp; MATCH(A194-$C$1,A:A,1)):D194, INDIRECT("A" &amp; MATCH(A194-$C$1,A:A,1)):A194),NA()))</f>
        <v>#N/A</v>
      </c>
      <c r="J194" s="418" t="e">
        <f>IF(ISBLANK(A194),NA(),IFERROR(A194+(PLAYER_EXP_MAX-D194)/I194,NA()))</f>
        <v>#N/A</v>
      </c>
      <c r="K194" s="466" t="e">
        <f t="shared" ca="1" si="12"/>
        <v>#N/A</v>
      </c>
      <c r="L194" s="405" t="e">
        <f t="shared" si="13"/>
        <v>#N/A</v>
      </c>
      <c r="M194" s="418" t="e">
        <f>IF(ISBLANK(A194),NA(),IFERROR(A194+(PLAYER_EXP_MAX-D194)/L194,NA()))</f>
        <v>#N/A</v>
      </c>
      <c r="N194" s="466" t="e">
        <f t="shared" ca="1" si="14"/>
        <v>#N/A</v>
      </c>
    </row>
    <row r="195" spans="4:14" ht="14.65" customHeight="1" x14ac:dyDescent="0.25">
      <c r="D195" s="466" t="str">
        <f t="shared" ref="D195:D258" si="15">IF(ISBLANK(A195),"-",INDEX(DATA_PLAYER_EXP, B195, 3) + INDEX(DATA_PLAYER_EXP, B195, 2) - C195)</f>
        <v>-</v>
      </c>
      <c r="E195" s="399" t="str">
        <f>IF(ISBLANK(A195),"-",D195/PLAYER_EXP_MAX)</f>
        <v>-</v>
      </c>
      <c r="F195" s="405" t="e">
        <f ca="1">IF(ISBLANK(A195),NA(),IFERROR(SLOPE(INDIRECT("D" &amp; MATCH(A195-$B$1,A:A,1)):D195, INDIRECT("A" &amp; MATCH(A195-$B$1,A:A,1)):A195),NA()))</f>
        <v>#N/A</v>
      </c>
      <c r="G195" s="418" t="e">
        <f>IF(ISBLANK(A195),NA(),IFERROR(A195+(PLAYER_EXP_MAX-D195)/F195,NA()))</f>
        <v>#N/A</v>
      </c>
      <c r="H195" s="466" t="e">
        <f ca="1">IF(ISBLANK(#REF!),NA(),IFERROR(TEXT(TRUNC(G195-NOW()),"000") &amp; " D " &amp; TEXT(TRUNC(ABS(G195-NOW()-TRUNC(G195-NOW()))*24),"00") &amp; " H", NA()))</f>
        <v>#N/A</v>
      </c>
      <c r="I195" s="405" t="e">
        <f ca="1">IF(ISBLANK(A195),NA(),IFERROR(SLOPE(INDIRECT("D" &amp; MATCH(A195-$C$1,A:A,1)):D195, INDIRECT("A" &amp; MATCH(A195-$C$1,A:A,1)):A195),NA()))</f>
        <v>#N/A</v>
      </c>
      <c r="J195" s="418" t="e">
        <f>IF(ISBLANK(A195),NA(),IFERROR(A195+(PLAYER_EXP_MAX-D195)/I195,NA()))</f>
        <v>#N/A</v>
      </c>
      <c r="K195" s="466" t="e">
        <f t="shared" ref="K195:K258" ca="1" si="16">IF(ISBLANK(A195),NA(),IFERROR(TEXT(TRUNC(J195-NOW()),"000") &amp; " D " &amp; TEXT(TRUNC(ABS(J195-NOW()-TRUNC(J195-NOW()))*24),"00") &amp; " H", NA()))</f>
        <v>#N/A</v>
      </c>
      <c r="L195" s="405" t="e">
        <f t="shared" ref="L195:L258" si="17">IFERROR(IF(OR(ISBLANK($A195),$A195-$A$3 &lt; $B$1),NA(),($D195-$D$3)/($A195-$A$3)),NA())</f>
        <v>#N/A</v>
      </c>
      <c r="M195" s="418" t="e">
        <f>IF(ISBLANK(A195),NA(),IFERROR(A195+(PLAYER_EXP_MAX-D195)/L195,NA()))</f>
        <v>#N/A</v>
      </c>
      <c r="N195" s="466" t="e">
        <f t="shared" ca="1" si="14"/>
        <v>#N/A</v>
      </c>
    </row>
    <row r="196" spans="4:14" ht="14.65" customHeight="1" x14ac:dyDescent="0.25">
      <c r="D196" s="466" t="str">
        <f t="shared" si="15"/>
        <v>-</v>
      </c>
      <c r="E196" s="399" t="str">
        <f>IF(ISBLANK(A196),"-",D196/PLAYER_EXP_MAX)</f>
        <v>-</v>
      </c>
      <c r="F196" s="405" t="e">
        <f ca="1">IF(ISBLANK(A196),NA(),IFERROR(SLOPE(INDIRECT("D" &amp; MATCH(A196-$B$1,A:A,1)):D196, INDIRECT("A" &amp; MATCH(A196-$B$1,A:A,1)):A196),NA()))</f>
        <v>#N/A</v>
      </c>
      <c r="G196" s="418" t="e">
        <f>IF(ISBLANK(A196),NA(),IFERROR(A196+(PLAYER_EXP_MAX-D196)/F196,NA()))</f>
        <v>#N/A</v>
      </c>
      <c r="H196" s="466" t="e">
        <f ca="1">IF(ISBLANK(#REF!),NA(),IFERROR(TEXT(TRUNC(G196-NOW()),"000") &amp; " D " &amp; TEXT(TRUNC(ABS(G196-NOW()-TRUNC(G196-NOW()))*24),"00") &amp; " H", NA()))</f>
        <v>#N/A</v>
      </c>
      <c r="I196" s="405" t="e">
        <f ca="1">IF(ISBLANK(A196),NA(),IFERROR(SLOPE(INDIRECT("D" &amp; MATCH(A196-$C$1,A:A,1)):D196, INDIRECT("A" &amp; MATCH(A196-$C$1,A:A,1)):A196),NA()))</f>
        <v>#N/A</v>
      </c>
      <c r="J196" s="418" t="e">
        <f>IF(ISBLANK(A196),NA(),IFERROR(A196+(PLAYER_EXP_MAX-D196)/I196,NA()))</f>
        <v>#N/A</v>
      </c>
      <c r="K196" s="466" t="e">
        <f t="shared" ca="1" si="16"/>
        <v>#N/A</v>
      </c>
      <c r="L196" s="405" t="e">
        <f t="shared" si="17"/>
        <v>#N/A</v>
      </c>
      <c r="M196" s="418" t="e">
        <f>IF(ISBLANK(A196),NA(),IFERROR(A196+(PLAYER_EXP_MAX-D196)/L196,NA()))</f>
        <v>#N/A</v>
      </c>
      <c r="N196" s="466" t="e">
        <f t="shared" ca="1" si="14"/>
        <v>#N/A</v>
      </c>
    </row>
    <row r="197" spans="4:14" ht="14.65" customHeight="1" x14ac:dyDescent="0.25">
      <c r="D197" s="466" t="str">
        <f t="shared" si="15"/>
        <v>-</v>
      </c>
      <c r="E197" s="399" t="str">
        <f>IF(ISBLANK(A197),"-",D197/PLAYER_EXP_MAX)</f>
        <v>-</v>
      </c>
      <c r="F197" s="405" t="e">
        <f ca="1">IF(ISBLANK(A197),NA(),IFERROR(SLOPE(INDIRECT("D" &amp; MATCH(A197-$B$1,A:A,1)):D197, INDIRECT("A" &amp; MATCH(A197-$B$1,A:A,1)):A197),NA()))</f>
        <v>#N/A</v>
      </c>
      <c r="G197" s="418" t="e">
        <f>IF(ISBLANK(A197),NA(),IFERROR(A197+(PLAYER_EXP_MAX-D197)/F197,NA()))</f>
        <v>#N/A</v>
      </c>
      <c r="H197" s="466" t="e">
        <f ca="1">IF(ISBLANK(#REF!),NA(),IFERROR(TEXT(TRUNC(G197-NOW()),"000") &amp; " D " &amp; TEXT(TRUNC(ABS(G197-NOW()-TRUNC(G197-NOW()))*24),"00") &amp; " H", NA()))</f>
        <v>#N/A</v>
      </c>
      <c r="I197" s="405" t="e">
        <f ca="1">IF(ISBLANK(A197),NA(),IFERROR(SLOPE(INDIRECT("D" &amp; MATCH(A197-$C$1,A:A,1)):D197, INDIRECT("A" &amp; MATCH(A197-$C$1,A:A,1)):A197),NA()))</f>
        <v>#N/A</v>
      </c>
      <c r="J197" s="418" t="e">
        <f>IF(ISBLANK(A197),NA(),IFERROR(A197+(PLAYER_EXP_MAX-D197)/I197,NA()))</f>
        <v>#N/A</v>
      </c>
      <c r="K197" s="466" t="e">
        <f t="shared" ca="1" si="16"/>
        <v>#N/A</v>
      </c>
      <c r="L197" s="405" t="e">
        <f t="shared" si="17"/>
        <v>#N/A</v>
      </c>
      <c r="M197" s="418" t="e">
        <f>IF(ISBLANK(A197),NA(),IFERROR(A197+(PLAYER_EXP_MAX-D197)/L197,NA()))</f>
        <v>#N/A</v>
      </c>
      <c r="N197" s="466" t="e">
        <f t="shared" ca="1" si="14"/>
        <v>#N/A</v>
      </c>
    </row>
    <row r="198" spans="4:14" ht="14.65" customHeight="1" x14ac:dyDescent="0.25">
      <c r="D198" s="466" t="str">
        <f t="shared" si="15"/>
        <v>-</v>
      </c>
      <c r="E198" s="399" t="str">
        <f>IF(ISBLANK(A198),"-",D198/PLAYER_EXP_MAX)</f>
        <v>-</v>
      </c>
      <c r="F198" s="405" t="e">
        <f ca="1">IF(ISBLANK(A198),NA(),IFERROR(SLOPE(INDIRECT("D" &amp; MATCH(A198-$B$1,A:A,1)):D198, INDIRECT("A" &amp; MATCH(A198-$B$1,A:A,1)):A198),NA()))</f>
        <v>#N/A</v>
      </c>
      <c r="G198" s="418" t="e">
        <f>IF(ISBLANK(A198),NA(),IFERROR(A198+(PLAYER_EXP_MAX-D198)/F198,NA()))</f>
        <v>#N/A</v>
      </c>
      <c r="H198" s="466" t="e">
        <f ca="1">IF(ISBLANK(#REF!),NA(),IFERROR(TEXT(TRUNC(G198-NOW()),"000") &amp; " D " &amp; TEXT(TRUNC(ABS(G198-NOW()-TRUNC(G198-NOW()))*24),"00") &amp; " H", NA()))</f>
        <v>#N/A</v>
      </c>
      <c r="I198" s="405" t="e">
        <f ca="1">IF(ISBLANK(A198),NA(),IFERROR(SLOPE(INDIRECT("D" &amp; MATCH(A198-$C$1,A:A,1)):D198, INDIRECT("A" &amp; MATCH(A198-$C$1,A:A,1)):A198),NA()))</f>
        <v>#N/A</v>
      </c>
      <c r="J198" s="418" t="e">
        <f>IF(ISBLANK(A198),NA(),IFERROR(A198+(PLAYER_EXP_MAX-D198)/I198,NA()))</f>
        <v>#N/A</v>
      </c>
      <c r="K198" s="466" t="e">
        <f t="shared" ca="1" si="16"/>
        <v>#N/A</v>
      </c>
      <c r="L198" s="405" t="e">
        <f t="shared" si="17"/>
        <v>#N/A</v>
      </c>
      <c r="M198" s="418" t="e">
        <f>IF(ISBLANK(A198),NA(),IFERROR(A198+(PLAYER_EXP_MAX-D198)/L198,NA()))</f>
        <v>#N/A</v>
      </c>
      <c r="N198" s="466" t="e">
        <f t="shared" ca="1" si="14"/>
        <v>#N/A</v>
      </c>
    </row>
    <row r="199" spans="4:14" ht="14.65" customHeight="1" x14ac:dyDescent="0.25">
      <c r="D199" s="466" t="str">
        <f t="shared" si="15"/>
        <v>-</v>
      </c>
      <c r="E199" s="399" t="str">
        <f>IF(ISBLANK(A199),"-",D199/PLAYER_EXP_MAX)</f>
        <v>-</v>
      </c>
      <c r="F199" s="405" t="e">
        <f ca="1">IF(ISBLANK(A199),NA(),IFERROR(SLOPE(INDIRECT("D" &amp; MATCH(A199-$B$1,A:A,1)):D199, INDIRECT("A" &amp; MATCH(A199-$B$1,A:A,1)):A199),NA()))</f>
        <v>#N/A</v>
      </c>
      <c r="G199" s="418" t="e">
        <f>IF(ISBLANK(A199),NA(),IFERROR(A199+(PLAYER_EXP_MAX-D199)/F199,NA()))</f>
        <v>#N/A</v>
      </c>
      <c r="H199" s="466" t="e">
        <f ca="1">IF(ISBLANK(#REF!),NA(),IFERROR(TEXT(TRUNC(G199-NOW()),"000") &amp; " D " &amp; TEXT(TRUNC(ABS(G199-NOW()-TRUNC(G199-NOW()))*24),"00") &amp; " H", NA()))</f>
        <v>#N/A</v>
      </c>
      <c r="I199" s="405" t="e">
        <f ca="1">IF(ISBLANK(A199),NA(),IFERROR(SLOPE(INDIRECT("D" &amp; MATCH(A199-$C$1,A:A,1)):D199, INDIRECT("A" &amp; MATCH(A199-$C$1,A:A,1)):A199),NA()))</f>
        <v>#N/A</v>
      </c>
      <c r="J199" s="418" t="e">
        <f>IF(ISBLANK(A199),NA(),IFERROR(A199+(PLAYER_EXP_MAX-D199)/I199,NA()))</f>
        <v>#N/A</v>
      </c>
      <c r="K199" s="466" t="e">
        <f t="shared" ca="1" si="16"/>
        <v>#N/A</v>
      </c>
      <c r="L199" s="405" t="e">
        <f t="shared" si="17"/>
        <v>#N/A</v>
      </c>
      <c r="M199" s="418" t="e">
        <f>IF(ISBLANK(A199),NA(),IFERROR(A199+(PLAYER_EXP_MAX-D199)/L199,NA()))</f>
        <v>#N/A</v>
      </c>
      <c r="N199" s="466" t="e">
        <f t="shared" ca="1" si="14"/>
        <v>#N/A</v>
      </c>
    </row>
    <row r="200" spans="4:14" ht="14.65" customHeight="1" x14ac:dyDescent="0.25">
      <c r="D200" s="466" t="str">
        <f t="shared" si="15"/>
        <v>-</v>
      </c>
      <c r="E200" s="399" t="str">
        <f>IF(ISBLANK(A200),"-",D200/PLAYER_EXP_MAX)</f>
        <v>-</v>
      </c>
      <c r="F200" s="405" t="e">
        <f ca="1">IF(ISBLANK(A200),NA(),IFERROR(SLOPE(INDIRECT("D" &amp; MATCH(A200-$B$1,A:A,1)):D200, INDIRECT("A" &amp; MATCH(A200-$B$1,A:A,1)):A200),NA()))</f>
        <v>#N/A</v>
      </c>
      <c r="G200" s="418" t="e">
        <f>IF(ISBLANK(A200),NA(),IFERROR(A200+(PLAYER_EXP_MAX-D200)/F200,NA()))</f>
        <v>#N/A</v>
      </c>
      <c r="H200" s="466" t="e">
        <f ca="1">IF(ISBLANK(#REF!),NA(),IFERROR(TEXT(TRUNC(G200-NOW()),"000") &amp; " D " &amp; TEXT(TRUNC(ABS(G200-NOW()-TRUNC(G200-NOW()))*24),"00") &amp; " H", NA()))</f>
        <v>#N/A</v>
      </c>
      <c r="I200" s="405" t="e">
        <f ca="1">IF(ISBLANK(A200),NA(),IFERROR(SLOPE(INDIRECT("D" &amp; MATCH(A200-$C$1,A:A,1)):D200, INDIRECT("A" &amp; MATCH(A200-$C$1,A:A,1)):A200),NA()))</f>
        <v>#N/A</v>
      </c>
      <c r="J200" s="418" t="e">
        <f>IF(ISBLANK(A200),NA(),IFERROR(A200+(PLAYER_EXP_MAX-D200)/I200,NA()))</f>
        <v>#N/A</v>
      </c>
      <c r="K200" s="466" t="e">
        <f t="shared" ca="1" si="16"/>
        <v>#N/A</v>
      </c>
      <c r="L200" s="405" t="e">
        <f t="shared" si="17"/>
        <v>#N/A</v>
      </c>
      <c r="M200" s="418" t="e">
        <f>IF(ISBLANK(A200),NA(),IFERROR(A200+(PLAYER_EXP_MAX-D200)/L200,NA()))</f>
        <v>#N/A</v>
      </c>
      <c r="N200" s="466" t="e">
        <f t="shared" ca="1" si="14"/>
        <v>#N/A</v>
      </c>
    </row>
    <row r="201" spans="4:14" ht="14.65" customHeight="1" x14ac:dyDescent="0.25">
      <c r="D201" s="466" t="str">
        <f t="shared" si="15"/>
        <v>-</v>
      </c>
      <c r="E201" s="399" t="str">
        <f>IF(ISBLANK(A201),"-",D201/PLAYER_EXP_MAX)</f>
        <v>-</v>
      </c>
      <c r="F201" s="405" t="e">
        <f ca="1">IF(ISBLANK(A201),NA(),IFERROR(SLOPE(INDIRECT("D" &amp; MATCH(A201-$B$1,A:A,1)):D201, INDIRECT("A" &amp; MATCH(A201-$B$1,A:A,1)):A201),NA()))</f>
        <v>#N/A</v>
      </c>
      <c r="G201" s="418" t="e">
        <f>IF(ISBLANK(A201),NA(),IFERROR(A201+(PLAYER_EXP_MAX-D201)/F201,NA()))</f>
        <v>#N/A</v>
      </c>
      <c r="H201" s="466" t="e">
        <f ca="1">IF(ISBLANK(#REF!),NA(),IFERROR(TEXT(TRUNC(G201-NOW()),"000") &amp; " D " &amp; TEXT(TRUNC(ABS(G201-NOW()-TRUNC(G201-NOW()))*24),"00") &amp; " H", NA()))</f>
        <v>#N/A</v>
      </c>
      <c r="I201" s="405" t="e">
        <f ca="1">IF(ISBLANK(A201),NA(),IFERROR(SLOPE(INDIRECT("D" &amp; MATCH(A201-$C$1,A:A,1)):D201, INDIRECT("A" &amp; MATCH(A201-$C$1,A:A,1)):A201),NA()))</f>
        <v>#N/A</v>
      </c>
      <c r="J201" s="418" t="e">
        <f>IF(ISBLANK(A201),NA(),IFERROR(A201+(PLAYER_EXP_MAX-D201)/I201,NA()))</f>
        <v>#N/A</v>
      </c>
      <c r="K201" s="466" t="e">
        <f t="shared" ca="1" si="16"/>
        <v>#N/A</v>
      </c>
      <c r="L201" s="405" t="e">
        <f t="shared" si="17"/>
        <v>#N/A</v>
      </c>
      <c r="M201" s="418" t="e">
        <f>IF(ISBLANK(A201),NA(),IFERROR(A201+(PLAYER_EXP_MAX-D201)/L201,NA()))</f>
        <v>#N/A</v>
      </c>
      <c r="N201" s="466" t="e">
        <f t="shared" ca="1" si="14"/>
        <v>#N/A</v>
      </c>
    </row>
    <row r="202" spans="4:14" ht="14.65" customHeight="1" x14ac:dyDescent="0.25">
      <c r="D202" s="466" t="str">
        <f t="shared" si="15"/>
        <v>-</v>
      </c>
      <c r="E202" s="399" t="str">
        <f>IF(ISBLANK(A202),"-",D202/PLAYER_EXP_MAX)</f>
        <v>-</v>
      </c>
      <c r="F202" s="405" t="e">
        <f ca="1">IF(ISBLANK(A202),NA(),IFERROR(SLOPE(INDIRECT("D" &amp; MATCH(A202-$B$1,A:A,1)):D202, INDIRECT("A" &amp; MATCH(A202-$B$1,A:A,1)):A202),NA()))</f>
        <v>#N/A</v>
      </c>
      <c r="G202" s="418" t="e">
        <f>IF(ISBLANK(A202),NA(),IFERROR(A202+(PLAYER_EXP_MAX-D202)/F202,NA()))</f>
        <v>#N/A</v>
      </c>
      <c r="H202" s="466" t="e">
        <f ca="1">IF(ISBLANK(#REF!),NA(),IFERROR(TEXT(TRUNC(G202-NOW()),"000") &amp; " D " &amp; TEXT(TRUNC(ABS(G202-NOW()-TRUNC(G202-NOW()))*24),"00") &amp; " H", NA()))</f>
        <v>#N/A</v>
      </c>
      <c r="I202" s="405" t="e">
        <f ca="1">IF(ISBLANK(A202),NA(),IFERROR(SLOPE(INDIRECT("D" &amp; MATCH(A202-$C$1,A:A,1)):D202, INDIRECT("A" &amp; MATCH(A202-$C$1,A:A,1)):A202),NA()))</f>
        <v>#N/A</v>
      </c>
      <c r="J202" s="418" t="e">
        <f>IF(ISBLANK(A202),NA(),IFERROR(A202+(PLAYER_EXP_MAX-D202)/I202,NA()))</f>
        <v>#N/A</v>
      </c>
      <c r="K202" s="466" t="e">
        <f t="shared" ca="1" si="16"/>
        <v>#N/A</v>
      </c>
      <c r="L202" s="405" t="e">
        <f t="shared" si="17"/>
        <v>#N/A</v>
      </c>
      <c r="M202" s="418" t="e">
        <f>IF(ISBLANK(A202),NA(),IFERROR(A202+(PLAYER_EXP_MAX-D202)/L202,NA()))</f>
        <v>#N/A</v>
      </c>
      <c r="N202" s="466" t="e">
        <f t="shared" ca="1" si="14"/>
        <v>#N/A</v>
      </c>
    </row>
    <row r="203" spans="4:14" ht="14.65" customHeight="1" x14ac:dyDescent="0.25">
      <c r="D203" s="466" t="str">
        <f t="shared" si="15"/>
        <v>-</v>
      </c>
      <c r="E203" s="399" t="str">
        <f>IF(ISBLANK(A203),"-",D203/PLAYER_EXP_MAX)</f>
        <v>-</v>
      </c>
      <c r="F203" s="405" t="e">
        <f ca="1">IF(ISBLANK(A203),NA(),IFERROR(SLOPE(INDIRECT("D" &amp; MATCH(A203-$B$1,A:A,1)):D203, INDIRECT("A" &amp; MATCH(A203-$B$1,A:A,1)):A203),NA()))</f>
        <v>#N/A</v>
      </c>
      <c r="G203" s="418" t="e">
        <f>IF(ISBLANK(A203),NA(),IFERROR(A203+(PLAYER_EXP_MAX-D203)/F203,NA()))</f>
        <v>#N/A</v>
      </c>
      <c r="H203" s="466" t="e">
        <f ca="1">IF(ISBLANK(#REF!),NA(),IFERROR(TEXT(TRUNC(G203-NOW()),"000") &amp; " D " &amp; TEXT(TRUNC(ABS(G203-NOW()-TRUNC(G203-NOW()))*24),"00") &amp; " H", NA()))</f>
        <v>#N/A</v>
      </c>
      <c r="I203" s="405" t="e">
        <f ca="1">IF(ISBLANK(A203),NA(),IFERROR(SLOPE(INDIRECT("D" &amp; MATCH(A203-$C$1,A:A,1)):D203, INDIRECT("A" &amp; MATCH(A203-$C$1,A:A,1)):A203),NA()))</f>
        <v>#N/A</v>
      </c>
      <c r="J203" s="418" t="e">
        <f>IF(ISBLANK(A203),NA(),IFERROR(A203+(PLAYER_EXP_MAX-D203)/I203,NA()))</f>
        <v>#N/A</v>
      </c>
      <c r="K203" s="466" t="e">
        <f t="shared" ca="1" si="16"/>
        <v>#N/A</v>
      </c>
      <c r="L203" s="405" t="e">
        <f t="shared" si="17"/>
        <v>#N/A</v>
      </c>
      <c r="M203" s="418" t="e">
        <f>IF(ISBLANK(A203),NA(),IFERROR(A203+(PLAYER_EXP_MAX-D203)/L203,NA()))</f>
        <v>#N/A</v>
      </c>
      <c r="N203" s="466" t="e">
        <f t="shared" ca="1" si="14"/>
        <v>#N/A</v>
      </c>
    </row>
    <row r="204" spans="4:14" ht="14.65" customHeight="1" x14ac:dyDescent="0.25">
      <c r="D204" s="466" t="str">
        <f t="shared" si="15"/>
        <v>-</v>
      </c>
      <c r="E204" s="399" t="str">
        <f>IF(ISBLANK(A204),"-",D204/PLAYER_EXP_MAX)</f>
        <v>-</v>
      </c>
      <c r="F204" s="405" t="e">
        <f ca="1">IF(ISBLANK(A204),NA(),IFERROR(SLOPE(INDIRECT("D" &amp; MATCH(A204-$B$1,A:A,1)):D204, INDIRECT("A" &amp; MATCH(A204-$B$1,A:A,1)):A204),NA()))</f>
        <v>#N/A</v>
      </c>
      <c r="G204" s="418" t="e">
        <f>IF(ISBLANK(A204),NA(),IFERROR(A204+(PLAYER_EXP_MAX-D204)/F204,NA()))</f>
        <v>#N/A</v>
      </c>
      <c r="H204" s="466" t="e">
        <f ca="1">IF(ISBLANK(#REF!),NA(),IFERROR(TEXT(TRUNC(G204-NOW()),"000") &amp; " D " &amp; TEXT(TRUNC(ABS(G204-NOW()-TRUNC(G204-NOW()))*24),"00") &amp; " H", NA()))</f>
        <v>#N/A</v>
      </c>
      <c r="I204" s="405" t="e">
        <f ca="1">IF(ISBLANK(A204),NA(),IFERROR(SLOPE(INDIRECT("D" &amp; MATCH(A204-$C$1,A:A,1)):D204, INDIRECT("A" &amp; MATCH(A204-$C$1,A:A,1)):A204),NA()))</f>
        <v>#N/A</v>
      </c>
      <c r="J204" s="418" t="e">
        <f>IF(ISBLANK(A204),NA(),IFERROR(A204+(PLAYER_EXP_MAX-D204)/I204,NA()))</f>
        <v>#N/A</v>
      </c>
      <c r="K204" s="466" t="e">
        <f t="shared" ca="1" si="16"/>
        <v>#N/A</v>
      </c>
      <c r="L204" s="405" t="e">
        <f t="shared" si="17"/>
        <v>#N/A</v>
      </c>
      <c r="M204" s="418" t="e">
        <f>IF(ISBLANK(A204),NA(),IFERROR(A204+(PLAYER_EXP_MAX-D204)/L204,NA()))</f>
        <v>#N/A</v>
      </c>
      <c r="N204" s="466" t="e">
        <f t="shared" ca="1" si="14"/>
        <v>#N/A</v>
      </c>
    </row>
    <row r="205" spans="4:14" ht="14.65" customHeight="1" x14ac:dyDescent="0.25">
      <c r="D205" s="466" t="str">
        <f t="shared" si="15"/>
        <v>-</v>
      </c>
      <c r="E205" s="399" t="str">
        <f>IF(ISBLANK(A205),"-",D205/PLAYER_EXP_MAX)</f>
        <v>-</v>
      </c>
      <c r="F205" s="405" t="e">
        <f ca="1">IF(ISBLANK(A205),NA(),IFERROR(SLOPE(INDIRECT("D" &amp; MATCH(A205-$B$1,A:A,1)):D205, INDIRECT("A" &amp; MATCH(A205-$B$1,A:A,1)):A205),NA()))</f>
        <v>#N/A</v>
      </c>
      <c r="G205" s="418" t="e">
        <f>IF(ISBLANK(A205),NA(),IFERROR(A205+(PLAYER_EXP_MAX-D205)/F205,NA()))</f>
        <v>#N/A</v>
      </c>
      <c r="H205" s="466" t="e">
        <f ca="1">IF(ISBLANK(#REF!),NA(),IFERROR(TEXT(TRUNC(G205-NOW()),"000") &amp; " D " &amp; TEXT(TRUNC(ABS(G205-NOW()-TRUNC(G205-NOW()))*24),"00") &amp; " H", NA()))</f>
        <v>#N/A</v>
      </c>
      <c r="I205" s="405" t="e">
        <f ca="1">IF(ISBLANK(A205),NA(),IFERROR(SLOPE(INDIRECT("D" &amp; MATCH(A205-$C$1,A:A,1)):D205, INDIRECT("A" &amp; MATCH(A205-$C$1,A:A,1)):A205),NA()))</f>
        <v>#N/A</v>
      </c>
      <c r="J205" s="418" t="e">
        <f>IF(ISBLANK(A205),NA(),IFERROR(A205+(PLAYER_EXP_MAX-D205)/I205,NA()))</f>
        <v>#N/A</v>
      </c>
      <c r="K205" s="466" t="e">
        <f t="shared" ca="1" si="16"/>
        <v>#N/A</v>
      </c>
      <c r="L205" s="405" t="e">
        <f t="shared" si="17"/>
        <v>#N/A</v>
      </c>
      <c r="M205" s="418" t="e">
        <f>IF(ISBLANK(A205),NA(),IFERROR(A205+(PLAYER_EXP_MAX-D205)/L205,NA()))</f>
        <v>#N/A</v>
      </c>
      <c r="N205" s="466" t="e">
        <f t="shared" ca="1" si="14"/>
        <v>#N/A</v>
      </c>
    </row>
    <row r="206" spans="4:14" ht="14.65" customHeight="1" x14ac:dyDescent="0.25">
      <c r="D206" s="466" t="str">
        <f t="shared" si="15"/>
        <v>-</v>
      </c>
      <c r="E206" s="399" t="str">
        <f>IF(ISBLANK(A206),"-",D206/PLAYER_EXP_MAX)</f>
        <v>-</v>
      </c>
      <c r="F206" s="405" t="e">
        <f ca="1">IF(ISBLANK(A206),NA(),IFERROR(SLOPE(INDIRECT("D" &amp; MATCH(A206-$B$1,A:A,1)):D206, INDIRECT("A" &amp; MATCH(A206-$B$1,A:A,1)):A206),NA()))</f>
        <v>#N/A</v>
      </c>
      <c r="G206" s="418" t="e">
        <f>IF(ISBLANK(A206),NA(),IFERROR(A206+(PLAYER_EXP_MAX-D206)/F206,NA()))</f>
        <v>#N/A</v>
      </c>
      <c r="H206" s="466" t="e">
        <f ca="1">IF(ISBLANK(#REF!),NA(),IFERROR(TEXT(TRUNC(G206-NOW()),"000") &amp; " D " &amp; TEXT(TRUNC(ABS(G206-NOW()-TRUNC(G206-NOW()))*24),"00") &amp; " H", NA()))</f>
        <v>#N/A</v>
      </c>
      <c r="I206" s="405" t="e">
        <f ca="1">IF(ISBLANK(A206),NA(),IFERROR(SLOPE(INDIRECT("D" &amp; MATCH(A206-$C$1,A:A,1)):D206, INDIRECT("A" &amp; MATCH(A206-$C$1,A:A,1)):A206),NA()))</f>
        <v>#N/A</v>
      </c>
      <c r="J206" s="418" t="e">
        <f>IF(ISBLANK(A206),NA(),IFERROR(A206+(PLAYER_EXP_MAX-D206)/I206,NA()))</f>
        <v>#N/A</v>
      </c>
      <c r="K206" s="466" t="e">
        <f t="shared" ca="1" si="16"/>
        <v>#N/A</v>
      </c>
      <c r="L206" s="405" t="e">
        <f t="shared" si="17"/>
        <v>#N/A</v>
      </c>
      <c r="M206" s="418" t="e">
        <f>IF(ISBLANK(A206),NA(),IFERROR(A206+(PLAYER_EXP_MAX-D206)/L206,NA()))</f>
        <v>#N/A</v>
      </c>
      <c r="N206" s="466" t="e">
        <f t="shared" ca="1" si="14"/>
        <v>#N/A</v>
      </c>
    </row>
    <row r="207" spans="4:14" ht="14.65" customHeight="1" x14ac:dyDescent="0.25">
      <c r="D207" s="466" t="str">
        <f t="shared" si="15"/>
        <v>-</v>
      </c>
      <c r="E207" s="399" t="str">
        <f>IF(ISBLANK(A207),"-",D207/PLAYER_EXP_MAX)</f>
        <v>-</v>
      </c>
      <c r="F207" s="405" t="e">
        <f ca="1">IF(ISBLANK(A207),NA(),IFERROR(SLOPE(INDIRECT("D" &amp; MATCH(A207-$B$1,A:A,1)):D207, INDIRECT("A" &amp; MATCH(A207-$B$1,A:A,1)):A207),NA()))</f>
        <v>#N/A</v>
      </c>
      <c r="G207" s="418" t="e">
        <f>IF(ISBLANK(A207),NA(),IFERROR(A207+(PLAYER_EXP_MAX-D207)/F207,NA()))</f>
        <v>#N/A</v>
      </c>
      <c r="H207" s="466" t="e">
        <f ca="1">IF(ISBLANK(#REF!),NA(),IFERROR(TEXT(TRUNC(G207-NOW()),"000") &amp; " D " &amp; TEXT(TRUNC(ABS(G207-NOW()-TRUNC(G207-NOW()))*24),"00") &amp; " H", NA()))</f>
        <v>#N/A</v>
      </c>
      <c r="I207" s="405" t="e">
        <f ca="1">IF(ISBLANK(A207),NA(),IFERROR(SLOPE(INDIRECT("D" &amp; MATCH(A207-$C$1,A:A,1)):D207, INDIRECT("A" &amp; MATCH(A207-$C$1,A:A,1)):A207),NA()))</f>
        <v>#N/A</v>
      </c>
      <c r="J207" s="418" t="e">
        <f>IF(ISBLANK(A207),NA(),IFERROR(A207+(PLAYER_EXP_MAX-D207)/I207,NA()))</f>
        <v>#N/A</v>
      </c>
      <c r="K207" s="466" t="e">
        <f t="shared" ca="1" si="16"/>
        <v>#N/A</v>
      </c>
      <c r="L207" s="405" t="e">
        <f t="shared" si="17"/>
        <v>#N/A</v>
      </c>
      <c r="M207" s="418" t="e">
        <f>IF(ISBLANK(A207),NA(),IFERROR(A207+(PLAYER_EXP_MAX-D207)/L207,NA()))</f>
        <v>#N/A</v>
      </c>
      <c r="N207" s="466" t="e">
        <f t="shared" ca="1" si="14"/>
        <v>#N/A</v>
      </c>
    </row>
    <row r="208" spans="4:14" ht="14.65" customHeight="1" x14ac:dyDescent="0.25">
      <c r="D208" s="466" t="str">
        <f t="shared" si="15"/>
        <v>-</v>
      </c>
      <c r="E208" s="399" t="str">
        <f>IF(ISBLANK(A208),"-",D208/PLAYER_EXP_MAX)</f>
        <v>-</v>
      </c>
      <c r="F208" s="405" t="e">
        <f ca="1">IF(ISBLANK(A208),NA(),IFERROR(SLOPE(INDIRECT("D" &amp; MATCH(A208-$B$1,A:A,1)):D208, INDIRECT("A" &amp; MATCH(A208-$B$1,A:A,1)):A208),NA()))</f>
        <v>#N/A</v>
      </c>
      <c r="G208" s="418" t="e">
        <f>IF(ISBLANK(A208),NA(),IFERROR(A208+(PLAYER_EXP_MAX-D208)/F208,NA()))</f>
        <v>#N/A</v>
      </c>
      <c r="H208" s="466" t="e">
        <f ca="1">IF(ISBLANK(#REF!),NA(),IFERROR(TEXT(TRUNC(G208-NOW()),"000") &amp; " D " &amp; TEXT(TRUNC(ABS(G208-NOW()-TRUNC(G208-NOW()))*24),"00") &amp; " H", NA()))</f>
        <v>#N/A</v>
      </c>
      <c r="I208" s="405" t="e">
        <f ca="1">IF(ISBLANK(A208),NA(),IFERROR(SLOPE(INDIRECT("D" &amp; MATCH(A208-$C$1,A:A,1)):D208, INDIRECT("A" &amp; MATCH(A208-$C$1,A:A,1)):A208),NA()))</f>
        <v>#N/A</v>
      </c>
      <c r="J208" s="418" t="e">
        <f>IF(ISBLANK(A208),NA(),IFERROR(A208+(PLAYER_EXP_MAX-D208)/I208,NA()))</f>
        <v>#N/A</v>
      </c>
      <c r="K208" s="466" t="e">
        <f t="shared" ca="1" si="16"/>
        <v>#N/A</v>
      </c>
      <c r="L208" s="405" t="e">
        <f t="shared" si="17"/>
        <v>#N/A</v>
      </c>
      <c r="M208" s="418" t="e">
        <f>IF(ISBLANK(A208),NA(),IFERROR(A208+(PLAYER_EXP_MAX-D208)/L208,NA()))</f>
        <v>#N/A</v>
      </c>
      <c r="N208" s="466" t="e">
        <f t="shared" ca="1" si="14"/>
        <v>#N/A</v>
      </c>
    </row>
    <row r="209" spans="4:14" ht="14.65" customHeight="1" x14ac:dyDescent="0.25">
      <c r="D209" s="466" t="str">
        <f t="shared" si="15"/>
        <v>-</v>
      </c>
      <c r="E209" s="399" t="str">
        <f>IF(ISBLANK(A209),"-",D209/PLAYER_EXP_MAX)</f>
        <v>-</v>
      </c>
      <c r="F209" s="405" t="e">
        <f ca="1">IF(ISBLANK(A209),NA(),IFERROR(SLOPE(INDIRECT("D" &amp; MATCH(A209-$B$1,A:A,1)):D209, INDIRECT("A" &amp; MATCH(A209-$B$1,A:A,1)):A209),NA()))</f>
        <v>#N/A</v>
      </c>
      <c r="G209" s="418" t="e">
        <f>IF(ISBLANK(A209),NA(),IFERROR(A209+(PLAYER_EXP_MAX-D209)/F209,NA()))</f>
        <v>#N/A</v>
      </c>
      <c r="H209" s="466" t="e">
        <f ca="1">IF(ISBLANK(#REF!),NA(),IFERROR(TEXT(TRUNC(G209-NOW()),"000") &amp; " D " &amp; TEXT(TRUNC(ABS(G209-NOW()-TRUNC(G209-NOW()))*24),"00") &amp; " H", NA()))</f>
        <v>#N/A</v>
      </c>
      <c r="I209" s="405" t="e">
        <f ca="1">IF(ISBLANK(A209),NA(),IFERROR(SLOPE(INDIRECT("D" &amp; MATCH(A209-$C$1,A:A,1)):D209, INDIRECT("A" &amp; MATCH(A209-$C$1,A:A,1)):A209),NA()))</f>
        <v>#N/A</v>
      </c>
      <c r="J209" s="418" t="e">
        <f>IF(ISBLANK(A209),NA(),IFERROR(A209+(PLAYER_EXP_MAX-D209)/I209,NA()))</f>
        <v>#N/A</v>
      </c>
      <c r="K209" s="466" t="e">
        <f t="shared" ca="1" si="16"/>
        <v>#N/A</v>
      </c>
      <c r="L209" s="405" t="e">
        <f t="shared" si="17"/>
        <v>#N/A</v>
      </c>
      <c r="M209" s="418" t="e">
        <f>IF(ISBLANK(A209),NA(),IFERROR(A209+(PLAYER_EXP_MAX-D209)/L209,NA()))</f>
        <v>#N/A</v>
      </c>
      <c r="N209" s="466" t="e">
        <f t="shared" ca="1" si="14"/>
        <v>#N/A</v>
      </c>
    </row>
    <row r="210" spans="4:14" ht="14.65" customHeight="1" x14ac:dyDescent="0.25">
      <c r="D210" s="466" t="str">
        <f t="shared" si="15"/>
        <v>-</v>
      </c>
      <c r="E210" s="399" t="str">
        <f>IF(ISBLANK(A210),"-",D210/PLAYER_EXP_MAX)</f>
        <v>-</v>
      </c>
      <c r="F210" s="405" t="e">
        <f ca="1">IF(ISBLANK(A210),NA(),IFERROR(SLOPE(INDIRECT("D" &amp; MATCH(A210-$B$1,A:A,1)):D210, INDIRECT("A" &amp; MATCH(A210-$B$1,A:A,1)):A210),NA()))</f>
        <v>#N/A</v>
      </c>
      <c r="G210" s="418" t="e">
        <f>IF(ISBLANK(A210),NA(),IFERROR(A210+(PLAYER_EXP_MAX-D210)/F210,NA()))</f>
        <v>#N/A</v>
      </c>
      <c r="H210" s="466" t="e">
        <f ca="1">IF(ISBLANK(#REF!),NA(),IFERROR(TEXT(TRUNC(G210-NOW()),"000") &amp; " D " &amp; TEXT(TRUNC(ABS(G210-NOW()-TRUNC(G210-NOW()))*24),"00") &amp; " H", NA()))</f>
        <v>#N/A</v>
      </c>
      <c r="I210" s="405" t="e">
        <f ca="1">IF(ISBLANK(A210),NA(),IFERROR(SLOPE(INDIRECT("D" &amp; MATCH(A210-$C$1,A:A,1)):D210, INDIRECT("A" &amp; MATCH(A210-$C$1,A:A,1)):A210),NA()))</f>
        <v>#N/A</v>
      </c>
      <c r="J210" s="418" t="e">
        <f>IF(ISBLANK(A210),NA(),IFERROR(A210+(PLAYER_EXP_MAX-D210)/I210,NA()))</f>
        <v>#N/A</v>
      </c>
      <c r="K210" s="466" t="e">
        <f t="shared" ca="1" si="16"/>
        <v>#N/A</v>
      </c>
      <c r="L210" s="405" t="e">
        <f t="shared" si="17"/>
        <v>#N/A</v>
      </c>
      <c r="M210" s="418" t="e">
        <f>IF(ISBLANK(A210),NA(),IFERROR(A210+(PLAYER_EXP_MAX-D210)/L210,NA()))</f>
        <v>#N/A</v>
      </c>
      <c r="N210" s="466" t="e">
        <f t="shared" ca="1" si="14"/>
        <v>#N/A</v>
      </c>
    </row>
    <row r="211" spans="4:14" ht="14.65" customHeight="1" x14ac:dyDescent="0.25">
      <c r="D211" s="466" t="str">
        <f t="shared" si="15"/>
        <v>-</v>
      </c>
      <c r="E211" s="399" t="str">
        <f>IF(ISBLANK(A211),"-",D211/PLAYER_EXP_MAX)</f>
        <v>-</v>
      </c>
      <c r="F211" s="405" t="e">
        <f ca="1">IF(ISBLANK(A211),NA(),IFERROR(SLOPE(INDIRECT("D" &amp; MATCH(A211-$B$1,A:A,1)):D211, INDIRECT("A" &amp; MATCH(A211-$B$1,A:A,1)):A211),NA()))</f>
        <v>#N/A</v>
      </c>
      <c r="G211" s="418" t="e">
        <f>IF(ISBLANK(A211),NA(),IFERROR(A211+(PLAYER_EXP_MAX-D211)/F211,NA()))</f>
        <v>#N/A</v>
      </c>
      <c r="H211" s="466" t="e">
        <f ca="1">IF(ISBLANK(#REF!),NA(),IFERROR(TEXT(TRUNC(G211-NOW()),"000") &amp; " D " &amp; TEXT(TRUNC(ABS(G211-NOW()-TRUNC(G211-NOW()))*24),"00") &amp; " H", NA()))</f>
        <v>#N/A</v>
      </c>
      <c r="I211" s="405" t="e">
        <f ca="1">IF(ISBLANK(A211),NA(),IFERROR(SLOPE(INDIRECT("D" &amp; MATCH(A211-$C$1,A:A,1)):D211, INDIRECT("A" &amp; MATCH(A211-$C$1,A:A,1)):A211),NA()))</f>
        <v>#N/A</v>
      </c>
      <c r="J211" s="418" t="e">
        <f>IF(ISBLANK(A211),NA(),IFERROR(A211+(PLAYER_EXP_MAX-D211)/I211,NA()))</f>
        <v>#N/A</v>
      </c>
      <c r="K211" s="466" t="e">
        <f t="shared" ca="1" si="16"/>
        <v>#N/A</v>
      </c>
      <c r="L211" s="405" t="e">
        <f t="shared" si="17"/>
        <v>#N/A</v>
      </c>
      <c r="M211" s="418" t="e">
        <f>IF(ISBLANK(A211),NA(),IFERROR(A211+(PLAYER_EXP_MAX-D211)/L211,NA()))</f>
        <v>#N/A</v>
      </c>
      <c r="N211" s="466" t="e">
        <f t="shared" ca="1" si="14"/>
        <v>#N/A</v>
      </c>
    </row>
    <row r="212" spans="4:14" ht="14.65" customHeight="1" x14ac:dyDescent="0.25">
      <c r="D212" s="466" t="str">
        <f t="shared" si="15"/>
        <v>-</v>
      </c>
      <c r="E212" s="399" t="str">
        <f>IF(ISBLANK(A212),"-",D212/PLAYER_EXP_MAX)</f>
        <v>-</v>
      </c>
      <c r="F212" s="405" t="e">
        <f ca="1">IF(ISBLANK(A212),NA(),IFERROR(SLOPE(INDIRECT("D" &amp; MATCH(A212-$B$1,A:A,1)):D212, INDIRECT("A" &amp; MATCH(A212-$B$1,A:A,1)):A212),NA()))</f>
        <v>#N/A</v>
      </c>
      <c r="G212" s="418" t="e">
        <f>IF(ISBLANK(A212),NA(),IFERROR(A212+(PLAYER_EXP_MAX-D212)/F212,NA()))</f>
        <v>#N/A</v>
      </c>
      <c r="H212" s="466" t="e">
        <f ca="1">IF(ISBLANK(#REF!),NA(),IFERROR(TEXT(TRUNC(G212-NOW()),"000") &amp; " D " &amp; TEXT(TRUNC(ABS(G212-NOW()-TRUNC(G212-NOW()))*24),"00") &amp; " H", NA()))</f>
        <v>#N/A</v>
      </c>
      <c r="I212" s="405" t="e">
        <f ca="1">IF(ISBLANK(A212),NA(),IFERROR(SLOPE(INDIRECT("D" &amp; MATCH(A212-$C$1,A:A,1)):D212, INDIRECT("A" &amp; MATCH(A212-$C$1,A:A,1)):A212),NA()))</f>
        <v>#N/A</v>
      </c>
      <c r="J212" s="418" t="e">
        <f>IF(ISBLANK(A212),NA(),IFERROR(A212+(PLAYER_EXP_MAX-D212)/I212,NA()))</f>
        <v>#N/A</v>
      </c>
      <c r="K212" s="466" t="e">
        <f t="shared" ca="1" si="16"/>
        <v>#N/A</v>
      </c>
      <c r="L212" s="405" t="e">
        <f t="shared" si="17"/>
        <v>#N/A</v>
      </c>
      <c r="M212" s="418" t="e">
        <f>IF(ISBLANK(A212),NA(),IFERROR(A212+(PLAYER_EXP_MAX-D212)/L212,NA()))</f>
        <v>#N/A</v>
      </c>
      <c r="N212" s="466" t="e">
        <f t="shared" ref="N212:N275" ca="1" si="18">IF(ISBLANK(D212),NA(),IFERROR(TEXT(TRUNC(M212-NOW()),"000") &amp; " D " &amp; TEXT(TRUNC(ABS(M212-NOW()-TRUNC(M212-NOW()))*24),"00") &amp; " H", NA()))</f>
        <v>#N/A</v>
      </c>
    </row>
    <row r="213" spans="4:14" ht="14.65" customHeight="1" x14ac:dyDescent="0.25">
      <c r="D213" s="466" t="str">
        <f t="shared" si="15"/>
        <v>-</v>
      </c>
      <c r="E213" s="399" t="str">
        <f>IF(ISBLANK(A213),"-",D213/PLAYER_EXP_MAX)</f>
        <v>-</v>
      </c>
      <c r="F213" s="405" t="e">
        <f ca="1">IF(ISBLANK(A213),NA(),IFERROR(SLOPE(INDIRECT("D" &amp; MATCH(A213-$B$1,A:A,1)):D213, INDIRECT("A" &amp; MATCH(A213-$B$1,A:A,1)):A213),NA()))</f>
        <v>#N/A</v>
      </c>
      <c r="G213" s="418" t="e">
        <f>IF(ISBLANK(A213),NA(),IFERROR(A213+(PLAYER_EXP_MAX-D213)/F213,NA()))</f>
        <v>#N/A</v>
      </c>
      <c r="H213" s="466" t="e">
        <f ca="1">IF(ISBLANK(#REF!),NA(),IFERROR(TEXT(TRUNC(G213-NOW()),"000") &amp; " D " &amp; TEXT(TRUNC(ABS(G213-NOW()-TRUNC(G213-NOW()))*24),"00") &amp; " H", NA()))</f>
        <v>#N/A</v>
      </c>
      <c r="I213" s="405" t="e">
        <f ca="1">IF(ISBLANK(A213),NA(),IFERROR(SLOPE(INDIRECT("D" &amp; MATCH(A213-$C$1,A:A,1)):D213, INDIRECT("A" &amp; MATCH(A213-$C$1,A:A,1)):A213),NA()))</f>
        <v>#N/A</v>
      </c>
      <c r="J213" s="418" t="e">
        <f>IF(ISBLANK(A213),NA(),IFERROR(A213+(PLAYER_EXP_MAX-D213)/I213,NA()))</f>
        <v>#N/A</v>
      </c>
      <c r="K213" s="466" t="e">
        <f t="shared" ca="1" si="16"/>
        <v>#N/A</v>
      </c>
      <c r="L213" s="405" t="e">
        <f t="shared" si="17"/>
        <v>#N/A</v>
      </c>
      <c r="M213" s="418" t="e">
        <f>IF(ISBLANK(A213),NA(),IFERROR(A213+(PLAYER_EXP_MAX-D213)/L213,NA()))</f>
        <v>#N/A</v>
      </c>
      <c r="N213" s="466" t="e">
        <f t="shared" ca="1" si="18"/>
        <v>#N/A</v>
      </c>
    </row>
    <row r="214" spans="4:14" ht="14.65" customHeight="1" x14ac:dyDescent="0.25">
      <c r="D214" s="466" t="str">
        <f t="shared" si="15"/>
        <v>-</v>
      </c>
      <c r="E214" s="399" t="str">
        <f>IF(ISBLANK(A214),"-",D214/PLAYER_EXP_MAX)</f>
        <v>-</v>
      </c>
      <c r="F214" s="405" t="e">
        <f ca="1">IF(ISBLANK(A214),NA(),IFERROR(SLOPE(INDIRECT("D" &amp; MATCH(A214-$B$1,A:A,1)):D214, INDIRECT("A" &amp; MATCH(A214-$B$1,A:A,1)):A214),NA()))</f>
        <v>#N/A</v>
      </c>
      <c r="G214" s="418" t="e">
        <f>IF(ISBLANK(A214),NA(),IFERROR(A214+(PLAYER_EXP_MAX-D214)/F214,NA()))</f>
        <v>#N/A</v>
      </c>
      <c r="H214" s="466" t="e">
        <f ca="1">IF(ISBLANK(#REF!),NA(),IFERROR(TEXT(TRUNC(G214-NOW()),"000") &amp; " D " &amp; TEXT(TRUNC(ABS(G214-NOW()-TRUNC(G214-NOW()))*24),"00") &amp; " H", NA()))</f>
        <v>#N/A</v>
      </c>
      <c r="I214" s="405" t="e">
        <f ca="1">IF(ISBLANK(A214),NA(),IFERROR(SLOPE(INDIRECT("D" &amp; MATCH(A214-$C$1,A:A,1)):D214, INDIRECT("A" &amp; MATCH(A214-$C$1,A:A,1)):A214),NA()))</f>
        <v>#N/A</v>
      </c>
      <c r="J214" s="418" t="e">
        <f>IF(ISBLANK(A214),NA(),IFERROR(A214+(PLAYER_EXP_MAX-D214)/I214,NA()))</f>
        <v>#N/A</v>
      </c>
      <c r="K214" s="466" t="e">
        <f t="shared" ca="1" si="16"/>
        <v>#N/A</v>
      </c>
      <c r="L214" s="405" t="e">
        <f t="shared" si="17"/>
        <v>#N/A</v>
      </c>
      <c r="M214" s="418" t="e">
        <f>IF(ISBLANK(A214),NA(),IFERROR(A214+(PLAYER_EXP_MAX-D214)/L214,NA()))</f>
        <v>#N/A</v>
      </c>
      <c r="N214" s="466" t="e">
        <f t="shared" ca="1" si="18"/>
        <v>#N/A</v>
      </c>
    </row>
    <row r="215" spans="4:14" ht="14.65" customHeight="1" x14ac:dyDescent="0.25">
      <c r="D215" s="466" t="str">
        <f t="shared" si="15"/>
        <v>-</v>
      </c>
      <c r="E215" s="399" t="str">
        <f>IF(ISBLANK(A215),"-",D215/PLAYER_EXP_MAX)</f>
        <v>-</v>
      </c>
      <c r="F215" s="405" t="e">
        <f ca="1">IF(ISBLANK(A215),NA(),IFERROR(SLOPE(INDIRECT("D" &amp; MATCH(A215-$B$1,A:A,1)):D215, INDIRECT("A" &amp; MATCH(A215-$B$1,A:A,1)):A215),NA()))</f>
        <v>#N/A</v>
      </c>
      <c r="G215" s="418" t="e">
        <f>IF(ISBLANK(A215),NA(),IFERROR(A215+(PLAYER_EXP_MAX-D215)/F215,NA()))</f>
        <v>#N/A</v>
      </c>
      <c r="H215" s="466" t="e">
        <f ca="1">IF(ISBLANK(#REF!),NA(),IFERROR(TEXT(TRUNC(G215-NOW()),"000") &amp; " D " &amp; TEXT(TRUNC(ABS(G215-NOW()-TRUNC(G215-NOW()))*24),"00") &amp; " H", NA()))</f>
        <v>#N/A</v>
      </c>
      <c r="I215" s="405" t="e">
        <f ca="1">IF(ISBLANK(A215),NA(),IFERROR(SLOPE(INDIRECT("D" &amp; MATCH(A215-$C$1,A:A,1)):D215, INDIRECT("A" &amp; MATCH(A215-$C$1,A:A,1)):A215),NA()))</f>
        <v>#N/A</v>
      </c>
      <c r="J215" s="418" t="e">
        <f>IF(ISBLANK(A215),NA(),IFERROR(A215+(PLAYER_EXP_MAX-D215)/I215,NA()))</f>
        <v>#N/A</v>
      </c>
      <c r="K215" s="466" t="e">
        <f t="shared" ca="1" si="16"/>
        <v>#N/A</v>
      </c>
      <c r="L215" s="405" t="e">
        <f t="shared" si="17"/>
        <v>#N/A</v>
      </c>
      <c r="M215" s="418" t="e">
        <f>IF(ISBLANK(A215),NA(),IFERROR(A215+(PLAYER_EXP_MAX-D215)/L215,NA()))</f>
        <v>#N/A</v>
      </c>
      <c r="N215" s="466" t="e">
        <f t="shared" ca="1" si="18"/>
        <v>#N/A</v>
      </c>
    </row>
    <row r="216" spans="4:14" ht="14.65" customHeight="1" x14ac:dyDescent="0.25">
      <c r="D216" s="466" t="str">
        <f t="shared" si="15"/>
        <v>-</v>
      </c>
      <c r="E216" s="399" t="str">
        <f>IF(ISBLANK(A216),"-",D216/PLAYER_EXP_MAX)</f>
        <v>-</v>
      </c>
      <c r="F216" s="405" t="e">
        <f ca="1">IF(ISBLANK(A216),NA(),IFERROR(SLOPE(INDIRECT("D" &amp; MATCH(A216-$B$1,A:A,1)):D216, INDIRECT("A" &amp; MATCH(A216-$B$1,A:A,1)):A216),NA()))</f>
        <v>#N/A</v>
      </c>
      <c r="G216" s="418" t="e">
        <f>IF(ISBLANK(A216),NA(),IFERROR(A216+(PLAYER_EXP_MAX-D216)/F216,NA()))</f>
        <v>#N/A</v>
      </c>
      <c r="H216" s="466" t="e">
        <f ca="1">IF(ISBLANK(#REF!),NA(),IFERROR(TEXT(TRUNC(G216-NOW()),"000") &amp; " D " &amp; TEXT(TRUNC(ABS(G216-NOW()-TRUNC(G216-NOW()))*24),"00") &amp; " H", NA()))</f>
        <v>#N/A</v>
      </c>
      <c r="I216" s="405" t="e">
        <f ca="1">IF(ISBLANK(A216),NA(),IFERROR(SLOPE(INDIRECT("D" &amp; MATCH(A216-$C$1,A:A,1)):D216, INDIRECT("A" &amp; MATCH(A216-$C$1,A:A,1)):A216),NA()))</f>
        <v>#N/A</v>
      </c>
      <c r="J216" s="418" t="e">
        <f>IF(ISBLANK(A216),NA(),IFERROR(A216+(PLAYER_EXP_MAX-D216)/I216,NA()))</f>
        <v>#N/A</v>
      </c>
      <c r="K216" s="466" t="e">
        <f t="shared" ca="1" si="16"/>
        <v>#N/A</v>
      </c>
      <c r="L216" s="405" t="e">
        <f t="shared" si="17"/>
        <v>#N/A</v>
      </c>
      <c r="M216" s="418" t="e">
        <f>IF(ISBLANK(A216),NA(),IFERROR(A216+(PLAYER_EXP_MAX-D216)/L216,NA()))</f>
        <v>#N/A</v>
      </c>
      <c r="N216" s="466" t="e">
        <f t="shared" ca="1" si="18"/>
        <v>#N/A</v>
      </c>
    </row>
    <row r="217" spans="4:14" ht="14.65" customHeight="1" x14ac:dyDescent="0.25">
      <c r="D217" s="466" t="str">
        <f t="shared" si="15"/>
        <v>-</v>
      </c>
      <c r="E217" s="399" t="str">
        <f>IF(ISBLANK(A217),"-",D217/PLAYER_EXP_MAX)</f>
        <v>-</v>
      </c>
      <c r="F217" s="405" t="e">
        <f ca="1">IF(ISBLANK(A217),NA(),IFERROR(SLOPE(INDIRECT("D" &amp; MATCH(A217-$B$1,A:A,1)):D217, INDIRECT("A" &amp; MATCH(A217-$B$1,A:A,1)):A217),NA()))</f>
        <v>#N/A</v>
      </c>
      <c r="G217" s="418" t="e">
        <f>IF(ISBLANK(A217),NA(),IFERROR(A217+(PLAYER_EXP_MAX-D217)/F217,NA()))</f>
        <v>#N/A</v>
      </c>
      <c r="H217" s="466" t="e">
        <f ca="1">IF(ISBLANK(#REF!),NA(),IFERROR(TEXT(TRUNC(G217-NOW()),"000") &amp; " D " &amp; TEXT(TRUNC(ABS(G217-NOW()-TRUNC(G217-NOW()))*24),"00") &amp; " H", NA()))</f>
        <v>#N/A</v>
      </c>
      <c r="I217" s="405" t="e">
        <f ca="1">IF(ISBLANK(A217),NA(),IFERROR(SLOPE(INDIRECT("D" &amp; MATCH(A217-$C$1,A:A,1)):D217, INDIRECT("A" &amp; MATCH(A217-$C$1,A:A,1)):A217),NA()))</f>
        <v>#N/A</v>
      </c>
      <c r="J217" s="418" t="e">
        <f>IF(ISBLANK(A217),NA(),IFERROR(A217+(PLAYER_EXP_MAX-D217)/I217,NA()))</f>
        <v>#N/A</v>
      </c>
      <c r="K217" s="466" t="e">
        <f t="shared" ca="1" si="16"/>
        <v>#N/A</v>
      </c>
      <c r="L217" s="405" t="e">
        <f t="shared" si="17"/>
        <v>#N/A</v>
      </c>
      <c r="M217" s="418" t="e">
        <f>IF(ISBLANK(A217),NA(),IFERROR(A217+(PLAYER_EXP_MAX-D217)/L217,NA()))</f>
        <v>#N/A</v>
      </c>
      <c r="N217" s="466" t="e">
        <f t="shared" ca="1" si="18"/>
        <v>#N/A</v>
      </c>
    </row>
    <row r="218" spans="4:14" ht="14.65" customHeight="1" x14ac:dyDescent="0.25">
      <c r="D218" s="466" t="str">
        <f t="shared" si="15"/>
        <v>-</v>
      </c>
      <c r="E218" s="399" t="str">
        <f>IF(ISBLANK(A218),"-",D218/PLAYER_EXP_MAX)</f>
        <v>-</v>
      </c>
      <c r="F218" s="405" t="e">
        <f ca="1">IF(ISBLANK(A218),NA(),IFERROR(SLOPE(INDIRECT("D" &amp; MATCH(A218-$B$1,A:A,1)):D218, INDIRECT("A" &amp; MATCH(A218-$B$1,A:A,1)):A218),NA()))</f>
        <v>#N/A</v>
      </c>
      <c r="G218" s="418" t="e">
        <f>IF(ISBLANK(A218),NA(),IFERROR(A218+(PLAYER_EXP_MAX-D218)/F218,NA()))</f>
        <v>#N/A</v>
      </c>
      <c r="H218" s="466" t="e">
        <f ca="1">IF(ISBLANK(#REF!),NA(),IFERROR(TEXT(TRUNC(G218-NOW()),"000") &amp; " D " &amp; TEXT(TRUNC(ABS(G218-NOW()-TRUNC(G218-NOW()))*24),"00") &amp; " H", NA()))</f>
        <v>#N/A</v>
      </c>
      <c r="I218" s="405" t="e">
        <f ca="1">IF(ISBLANK(A218),NA(),IFERROR(SLOPE(INDIRECT("D" &amp; MATCH(A218-$C$1,A:A,1)):D218, INDIRECT("A" &amp; MATCH(A218-$C$1,A:A,1)):A218),NA()))</f>
        <v>#N/A</v>
      </c>
      <c r="J218" s="418" t="e">
        <f>IF(ISBLANK(A218),NA(),IFERROR(A218+(PLAYER_EXP_MAX-D218)/I218,NA()))</f>
        <v>#N/A</v>
      </c>
      <c r="K218" s="466" t="e">
        <f t="shared" ca="1" si="16"/>
        <v>#N/A</v>
      </c>
      <c r="L218" s="405" t="e">
        <f t="shared" si="17"/>
        <v>#N/A</v>
      </c>
      <c r="M218" s="418" t="e">
        <f>IF(ISBLANK(A218),NA(),IFERROR(A218+(PLAYER_EXP_MAX-D218)/L218,NA()))</f>
        <v>#N/A</v>
      </c>
      <c r="N218" s="466" t="e">
        <f t="shared" ca="1" si="18"/>
        <v>#N/A</v>
      </c>
    </row>
    <row r="219" spans="4:14" ht="14.65" customHeight="1" x14ac:dyDescent="0.25">
      <c r="D219" s="466" t="str">
        <f t="shared" si="15"/>
        <v>-</v>
      </c>
      <c r="E219" s="399" t="str">
        <f>IF(ISBLANK(A219),"-",D219/PLAYER_EXP_MAX)</f>
        <v>-</v>
      </c>
      <c r="F219" s="405" t="e">
        <f ca="1">IF(ISBLANK(A219),NA(),IFERROR(SLOPE(INDIRECT("D" &amp; MATCH(A219-$B$1,A:A,1)):D219, INDIRECT("A" &amp; MATCH(A219-$B$1,A:A,1)):A219),NA()))</f>
        <v>#N/A</v>
      </c>
      <c r="G219" s="418" t="e">
        <f>IF(ISBLANK(A219),NA(),IFERROR(A219+(PLAYER_EXP_MAX-D219)/F219,NA()))</f>
        <v>#N/A</v>
      </c>
      <c r="H219" s="466" t="e">
        <f ca="1">IF(ISBLANK(#REF!),NA(),IFERROR(TEXT(TRUNC(G219-NOW()),"000") &amp; " D " &amp; TEXT(TRUNC(ABS(G219-NOW()-TRUNC(G219-NOW()))*24),"00") &amp; " H", NA()))</f>
        <v>#N/A</v>
      </c>
      <c r="I219" s="405" t="e">
        <f ca="1">IF(ISBLANK(A219),NA(),IFERROR(SLOPE(INDIRECT("D" &amp; MATCH(A219-$C$1,A:A,1)):D219, INDIRECT("A" &amp; MATCH(A219-$C$1,A:A,1)):A219),NA()))</f>
        <v>#N/A</v>
      </c>
      <c r="J219" s="418" t="e">
        <f>IF(ISBLANK(A219),NA(),IFERROR(A219+(PLAYER_EXP_MAX-D219)/I219,NA()))</f>
        <v>#N/A</v>
      </c>
      <c r="K219" s="466" t="e">
        <f t="shared" ca="1" si="16"/>
        <v>#N/A</v>
      </c>
      <c r="L219" s="405" t="e">
        <f t="shared" si="17"/>
        <v>#N/A</v>
      </c>
      <c r="M219" s="418" t="e">
        <f>IF(ISBLANK(A219),NA(),IFERROR(A219+(PLAYER_EXP_MAX-D219)/L219,NA()))</f>
        <v>#N/A</v>
      </c>
      <c r="N219" s="466" t="e">
        <f t="shared" ca="1" si="18"/>
        <v>#N/A</v>
      </c>
    </row>
    <row r="220" spans="4:14" ht="14.65" customHeight="1" x14ac:dyDescent="0.25">
      <c r="D220" s="466" t="str">
        <f t="shared" si="15"/>
        <v>-</v>
      </c>
      <c r="E220" s="399" t="str">
        <f>IF(ISBLANK(A220),"-",D220/PLAYER_EXP_MAX)</f>
        <v>-</v>
      </c>
      <c r="F220" s="405" t="e">
        <f ca="1">IF(ISBLANK(A220),NA(),IFERROR(SLOPE(INDIRECT("D" &amp; MATCH(A220-$B$1,A:A,1)):D220, INDIRECT("A" &amp; MATCH(A220-$B$1,A:A,1)):A220),NA()))</f>
        <v>#N/A</v>
      </c>
      <c r="G220" s="418" t="e">
        <f>IF(ISBLANK(A220),NA(),IFERROR(A220+(PLAYER_EXP_MAX-D220)/F220,NA()))</f>
        <v>#N/A</v>
      </c>
      <c r="H220" s="466" t="e">
        <f ca="1">IF(ISBLANK(#REF!),NA(),IFERROR(TEXT(TRUNC(G220-NOW()),"000") &amp; " D " &amp; TEXT(TRUNC(ABS(G220-NOW()-TRUNC(G220-NOW()))*24),"00") &amp; " H", NA()))</f>
        <v>#N/A</v>
      </c>
      <c r="I220" s="405" t="e">
        <f ca="1">IF(ISBLANK(A220),NA(),IFERROR(SLOPE(INDIRECT("D" &amp; MATCH(A220-$C$1,A:A,1)):D220, INDIRECT("A" &amp; MATCH(A220-$C$1,A:A,1)):A220),NA()))</f>
        <v>#N/A</v>
      </c>
      <c r="J220" s="418" t="e">
        <f>IF(ISBLANK(A220),NA(),IFERROR(A220+(PLAYER_EXP_MAX-D220)/I220,NA()))</f>
        <v>#N/A</v>
      </c>
      <c r="K220" s="466" t="e">
        <f t="shared" ca="1" si="16"/>
        <v>#N/A</v>
      </c>
      <c r="L220" s="405" t="e">
        <f t="shared" si="17"/>
        <v>#N/A</v>
      </c>
      <c r="M220" s="418" t="e">
        <f>IF(ISBLANK(A220),NA(),IFERROR(A220+(PLAYER_EXP_MAX-D220)/L220,NA()))</f>
        <v>#N/A</v>
      </c>
      <c r="N220" s="466" t="e">
        <f t="shared" ca="1" si="18"/>
        <v>#N/A</v>
      </c>
    </row>
    <row r="221" spans="4:14" ht="14.65" customHeight="1" x14ac:dyDescent="0.25">
      <c r="D221" s="466" t="str">
        <f t="shared" si="15"/>
        <v>-</v>
      </c>
      <c r="E221" s="399" t="str">
        <f>IF(ISBLANK(A221),"-",D221/PLAYER_EXP_MAX)</f>
        <v>-</v>
      </c>
      <c r="F221" s="405" t="e">
        <f ca="1">IF(ISBLANK(A221),NA(),IFERROR(SLOPE(INDIRECT("D" &amp; MATCH(A221-$B$1,A:A,1)):D221, INDIRECT("A" &amp; MATCH(A221-$B$1,A:A,1)):A221),NA()))</f>
        <v>#N/A</v>
      </c>
      <c r="G221" s="418" t="e">
        <f>IF(ISBLANK(A221),NA(),IFERROR(A221+(PLAYER_EXP_MAX-D221)/F221,NA()))</f>
        <v>#N/A</v>
      </c>
      <c r="H221" s="466" t="e">
        <f ca="1">IF(ISBLANK(#REF!),NA(),IFERROR(TEXT(TRUNC(G221-NOW()),"000") &amp; " D " &amp; TEXT(TRUNC(ABS(G221-NOW()-TRUNC(G221-NOW()))*24),"00") &amp; " H", NA()))</f>
        <v>#N/A</v>
      </c>
      <c r="I221" s="405" t="e">
        <f ca="1">IF(ISBLANK(A221),NA(),IFERROR(SLOPE(INDIRECT("D" &amp; MATCH(A221-$C$1,A:A,1)):D221, INDIRECT("A" &amp; MATCH(A221-$C$1,A:A,1)):A221),NA()))</f>
        <v>#N/A</v>
      </c>
      <c r="J221" s="418" t="e">
        <f>IF(ISBLANK(A221),NA(),IFERROR(A221+(PLAYER_EXP_MAX-D221)/I221,NA()))</f>
        <v>#N/A</v>
      </c>
      <c r="K221" s="466" t="e">
        <f t="shared" ca="1" si="16"/>
        <v>#N/A</v>
      </c>
      <c r="L221" s="405" t="e">
        <f t="shared" si="17"/>
        <v>#N/A</v>
      </c>
      <c r="M221" s="418" t="e">
        <f>IF(ISBLANK(A221),NA(),IFERROR(A221+(PLAYER_EXP_MAX-D221)/L221,NA()))</f>
        <v>#N/A</v>
      </c>
      <c r="N221" s="466" t="e">
        <f t="shared" ca="1" si="18"/>
        <v>#N/A</v>
      </c>
    </row>
    <row r="222" spans="4:14" ht="14.65" customHeight="1" x14ac:dyDescent="0.25">
      <c r="D222" s="466" t="str">
        <f t="shared" si="15"/>
        <v>-</v>
      </c>
      <c r="E222" s="399" t="str">
        <f>IF(ISBLANK(A222),"-",D222/PLAYER_EXP_MAX)</f>
        <v>-</v>
      </c>
      <c r="F222" s="405" t="e">
        <f ca="1">IF(ISBLANK(A222),NA(),IFERROR(SLOPE(INDIRECT("D" &amp; MATCH(A222-$B$1,A:A,1)):D222, INDIRECT("A" &amp; MATCH(A222-$B$1,A:A,1)):A222),NA()))</f>
        <v>#N/A</v>
      </c>
      <c r="G222" s="418" t="e">
        <f>IF(ISBLANK(A222),NA(),IFERROR(A222+(PLAYER_EXP_MAX-D222)/F222,NA()))</f>
        <v>#N/A</v>
      </c>
      <c r="H222" s="466" t="e">
        <f ca="1">IF(ISBLANK(#REF!),NA(),IFERROR(TEXT(TRUNC(G222-NOW()),"000") &amp; " D " &amp; TEXT(TRUNC(ABS(G222-NOW()-TRUNC(G222-NOW()))*24),"00") &amp; " H", NA()))</f>
        <v>#N/A</v>
      </c>
      <c r="I222" s="405" t="e">
        <f ca="1">IF(ISBLANK(A222),NA(),IFERROR(SLOPE(INDIRECT("D" &amp; MATCH(A222-$C$1,A:A,1)):D222, INDIRECT("A" &amp; MATCH(A222-$C$1,A:A,1)):A222),NA()))</f>
        <v>#N/A</v>
      </c>
      <c r="J222" s="418" t="e">
        <f>IF(ISBLANK(A222),NA(),IFERROR(A222+(PLAYER_EXP_MAX-D222)/I222,NA()))</f>
        <v>#N/A</v>
      </c>
      <c r="K222" s="466" t="e">
        <f t="shared" ca="1" si="16"/>
        <v>#N/A</v>
      </c>
      <c r="L222" s="405" t="e">
        <f t="shared" si="17"/>
        <v>#N/A</v>
      </c>
      <c r="M222" s="418" t="e">
        <f>IF(ISBLANK(A222),NA(),IFERROR(A222+(PLAYER_EXP_MAX-D222)/L222,NA()))</f>
        <v>#N/A</v>
      </c>
      <c r="N222" s="466" t="e">
        <f t="shared" ca="1" si="18"/>
        <v>#N/A</v>
      </c>
    </row>
    <row r="223" spans="4:14" ht="14.65" customHeight="1" x14ac:dyDescent="0.25">
      <c r="D223" s="466" t="str">
        <f t="shared" si="15"/>
        <v>-</v>
      </c>
      <c r="E223" s="399" t="str">
        <f>IF(ISBLANK(A223),"-",D223/PLAYER_EXP_MAX)</f>
        <v>-</v>
      </c>
      <c r="F223" s="405" t="e">
        <f ca="1">IF(ISBLANK(A223),NA(),IFERROR(SLOPE(INDIRECT("D" &amp; MATCH(A223-$B$1,A:A,1)):D223, INDIRECT("A" &amp; MATCH(A223-$B$1,A:A,1)):A223),NA()))</f>
        <v>#N/A</v>
      </c>
      <c r="G223" s="418" t="e">
        <f>IF(ISBLANK(A223),NA(),IFERROR(A223+(PLAYER_EXP_MAX-D223)/F223,NA()))</f>
        <v>#N/A</v>
      </c>
      <c r="H223" s="466" t="e">
        <f ca="1">IF(ISBLANK(#REF!),NA(),IFERROR(TEXT(TRUNC(G223-NOW()),"000") &amp; " D " &amp; TEXT(TRUNC(ABS(G223-NOW()-TRUNC(G223-NOW()))*24),"00") &amp; " H", NA()))</f>
        <v>#N/A</v>
      </c>
      <c r="I223" s="405" t="e">
        <f ca="1">IF(ISBLANK(A223),NA(),IFERROR(SLOPE(INDIRECT("D" &amp; MATCH(A223-$C$1,A:A,1)):D223, INDIRECT("A" &amp; MATCH(A223-$C$1,A:A,1)):A223),NA()))</f>
        <v>#N/A</v>
      </c>
      <c r="J223" s="418" t="e">
        <f>IF(ISBLANK(A223),NA(),IFERROR(A223+(PLAYER_EXP_MAX-D223)/I223,NA()))</f>
        <v>#N/A</v>
      </c>
      <c r="K223" s="466" t="e">
        <f t="shared" ca="1" si="16"/>
        <v>#N/A</v>
      </c>
      <c r="L223" s="405" t="e">
        <f t="shared" si="17"/>
        <v>#N/A</v>
      </c>
      <c r="M223" s="418" t="e">
        <f>IF(ISBLANK(A223),NA(),IFERROR(A223+(PLAYER_EXP_MAX-D223)/L223,NA()))</f>
        <v>#N/A</v>
      </c>
      <c r="N223" s="466" t="e">
        <f t="shared" ca="1" si="18"/>
        <v>#N/A</v>
      </c>
    </row>
    <row r="224" spans="4:14" ht="14.65" customHeight="1" x14ac:dyDescent="0.25">
      <c r="D224" s="466" t="str">
        <f t="shared" si="15"/>
        <v>-</v>
      </c>
      <c r="E224" s="399" t="str">
        <f>IF(ISBLANK(A224),"-",D224/PLAYER_EXP_MAX)</f>
        <v>-</v>
      </c>
      <c r="F224" s="405" t="e">
        <f ca="1">IF(ISBLANK(A224),NA(),IFERROR(SLOPE(INDIRECT("D" &amp; MATCH(A224-$B$1,A:A,1)):D224, INDIRECT("A" &amp; MATCH(A224-$B$1,A:A,1)):A224),NA()))</f>
        <v>#N/A</v>
      </c>
      <c r="G224" s="418" t="e">
        <f>IF(ISBLANK(A224),NA(),IFERROR(A224+(PLAYER_EXP_MAX-D224)/F224,NA()))</f>
        <v>#N/A</v>
      </c>
      <c r="H224" s="466" t="e">
        <f ca="1">IF(ISBLANK(#REF!),NA(),IFERROR(TEXT(TRUNC(G224-NOW()),"000") &amp; " D " &amp; TEXT(TRUNC(ABS(G224-NOW()-TRUNC(G224-NOW()))*24),"00") &amp; " H", NA()))</f>
        <v>#N/A</v>
      </c>
      <c r="I224" s="405" t="e">
        <f ca="1">IF(ISBLANK(A224),NA(),IFERROR(SLOPE(INDIRECT("D" &amp; MATCH(A224-$C$1,A:A,1)):D224, INDIRECT("A" &amp; MATCH(A224-$C$1,A:A,1)):A224),NA()))</f>
        <v>#N/A</v>
      </c>
      <c r="J224" s="418" t="e">
        <f>IF(ISBLANK(A224),NA(),IFERROR(A224+(PLAYER_EXP_MAX-D224)/I224,NA()))</f>
        <v>#N/A</v>
      </c>
      <c r="K224" s="466" t="e">
        <f t="shared" ca="1" si="16"/>
        <v>#N/A</v>
      </c>
      <c r="L224" s="405" t="e">
        <f t="shared" si="17"/>
        <v>#N/A</v>
      </c>
      <c r="M224" s="418" t="e">
        <f>IF(ISBLANK(A224),NA(),IFERROR(A224+(PLAYER_EXP_MAX-D224)/L224,NA()))</f>
        <v>#N/A</v>
      </c>
      <c r="N224" s="466" t="e">
        <f t="shared" ca="1" si="18"/>
        <v>#N/A</v>
      </c>
    </row>
    <row r="225" spans="4:14" ht="14.65" customHeight="1" x14ac:dyDescent="0.25">
      <c r="D225" s="466" t="str">
        <f t="shared" si="15"/>
        <v>-</v>
      </c>
      <c r="E225" s="399" t="str">
        <f>IF(ISBLANK(A225),"-",D225/PLAYER_EXP_MAX)</f>
        <v>-</v>
      </c>
      <c r="F225" s="405" t="e">
        <f ca="1">IF(ISBLANK(A225),NA(),IFERROR(SLOPE(INDIRECT("D" &amp; MATCH(A225-$B$1,A:A,1)):D225, INDIRECT("A" &amp; MATCH(A225-$B$1,A:A,1)):A225),NA()))</f>
        <v>#N/A</v>
      </c>
      <c r="G225" s="418" t="e">
        <f>IF(ISBLANK(A225),NA(),IFERROR(A225+(PLAYER_EXP_MAX-D225)/F225,NA()))</f>
        <v>#N/A</v>
      </c>
      <c r="H225" s="466" t="e">
        <f ca="1">IF(ISBLANK(#REF!),NA(),IFERROR(TEXT(TRUNC(G225-NOW()),"000") &amp; " D " &amp; TEXT(TRUNC(ABS(G225-NOW()-TRUNC(G225-NOW()))*24),"00") &amp; " H", NA()))</f>
        <v>#N/A</v>
      </c>
      <c r="I225" s="405" t="e">
        <f ca="1">IF(ISBLANK(A225),NA(),IFERROR(SLOPE(INDIRECT("D" &amp; MATCH(A225-$C$1,A:A,1)):D225, INDIRECT("A" &amp; MATCH(A225-$C$1,A:A,1)):A225),NA()))</f>
        <v>#N/A</v>
      </c>
      <c r="J225" s="418" t="e">
        <f>IF(ISBLANK(A225),NA(),IFERROR(A225+(PLAYER_EXP_MAX-D225)/I225,NA()))</f>
        <v>#N/A</v>
      </c>
      <c r="K225" s="466" t="e">
        <f t="shared" ca="1" si="16"/>
        <v>#N/A</v>
      </c>
      <c r="L225" s="405" t="e">
        <f t="shared" si="17"/>
        <v>#N/A</v>
      </c>
      <c r="M225" s="418" t="e">
        <f>IF(ISBLANK(A225),NA(),IFERROR(A225+(PLAYER_EXP_MAX-D225)/L225,NA()))</f>
        <v>#N/A</v>
      </c>
      <c r="N225" s="466" t="e">
        <f t="shared" ca="1" si="18"/>
        <v>#N/A</v>
      </c>
    </row>
    <row r="226" spans="4:14" ht="14.65" customHeight="1" x14ac:dyDescent="0.25">
      <c r="D226" s="466" t="str">
        <f t="shared" si="15"/>
        <v>-</v>
      </c>
      <c r="E226" s="399" t="str">
        <f>IF(ISBLANK(A226),"-",D226/PLAYER_EXP_MAX)</f>
        <v>-</v>
      </c>
      <c r="F226" s="405" t="e">
        <f ca="1">IF(ISBLANK(A226),NA(),IFERROR(SLOPE(INDIRECT("D" &amp; MATCH(A226-$B$1,A:A,1)):D226, INDIRECT("A" &amp; MATCH(A226-$B$1,A:A,1)):A226),NA()))</f>
        <v>#N/A</v>
      </c>
      <c r="G226" s="418" t="e">
        <f>IF(ISBLANK(A226),NA(),IFERROR(A226+(PLAYER_EXP_MAX-D226)/F226,NA()))</f>
        <v>#N/A</v>
      </c>
      <c r="H226" s="466" t="e">
        <f ca="1">IF(ISBLANK(#REF!),NA(),IFERROR(TEXT(TRUNC(G226-NOW()),"000") &amp; " D " &amp; TEXT(TRUNC(ABS(G226-NOW()-TRUNC(G226-NOW()))*24),"00") &amp; " H", NA()))</f>
        <v>#N/A</v>
      </c>
      <c r="I226" s="405" t="e">
        <f ca="1">IF(ISBLANK(A226),NA(),IFERROR(SLOPE(INDIRECT("D" &amp; MATCH(A226-$C$1,A:A,1)):D226, INDIRECT("A" &amp; MATCH(A226-$C$1,A:A,1)):A226),NA()))</f>
        <v>#N/A</v>
      </c>
      <c r="J226" s="418" t="e">
        <f>IF(ISBLANK(A226),NA(),IFERROR(A226+(PLAYER_EXP_MAX-D226)/I226,NA()))</f>
        <v>#N/A</v>
      </c>
      <c r="K226" s="466" t="e">
        <f t="shared" ca="1" si="16"/>
        <v>#N/A</v>
      </c>
      <c r="L226" s="405" t="e">
        <f t="shared" si="17"/>
        <v>#N/A</v>
      </c>
      <c r="M226" s="418" t="e">
        <f>IF(ISBLANK(A226),NA(),IFERROR(A226+(PLAYER_EXP_MAX-D226)/L226,NA()))</f>
        <v>#N/A</v>
      </c>
      <c r="N226" s="466" t="e">
        <f t="shared" ca="1" si="18"/>
        <v>#N/A</v>
      </c>
    </row>
    <row r="227" spans="4:14" ht="14.65" customHeight="1" x14ac:dyDescent="0.25">
      <c r="D227" s="466" t="str">
        <f t="shared" si="15"/>
        <v>-</v>
      </c>
      <c r="E227" s="399" t="str">
        <f>IF(ISBLANK(A227),"-",D227/PLAYER_EXP_MAX)</f>
        <v>-</v>
      </c>
      <c r="F227" s="405" t="e">
        <f ca="1">IF(ISBLANK(A227),NA(),IFERROR(SLOPE(INDIRECT("D" &amp; MATCH(A227-$B$1,A:A,1)):D227, INDIRECT("A" &amp; MATCH(A227-$B$1,A:A,1)):A227),NA()))</f>
        <v>#N/A</v>
      </c>
      <c r="G227" s="418" t="e">
        <f>IF(ISBLANK(A227),NA(),IFERROR(A227+(PLAYER_EXP_MAX-D227)/F227,NA()))</f>
        <v>#N/A</v>
      </c>
      <c r="H227" s="466" t="e">
        <f ca="1">IF(ISBLANK(#REF!),NA(),IFERROR(TEXT(TRUNC(G227-NOW()),"000") &amp; " D " &amp; TEXT(TRUNC(ABS(G227-NOW()-TRUNC(G227-NOW()))*24),"00") &amp; " H", NA()))</f>
        <v>#N/A</v>
      </c>
      <c r="I227" s="405" t="e">
        <f ca="1">IF(ISBLANK(A227),NA(),IFERROR(SLOPE(INDIRECT("D" &amp; MATCH(A227-$C$1,A:A,1)):D227, INDIRECT("A" &amp; MATCH(A227-$C$1,A:A,1)):A227),NA()))</f>
        <v>#N/A</v>
      </c>
      <c r="J227" s="418" t="e">
        <f>IF(ISBLANK(A227),NA(),IFERROR(A227+(PLAYER_EXP_MAX-D227)/I227,NA()))</f>
        <v>#N/A</v>
      </c>
      <c r="K227" s="466" t="e">
        <f t="shared" ca="1" si="16"/>
        <v>#N/A</v>
      </c>
      <c r="L227" s="405" t="e">
        <f t="shared" si="17"/>
        <v>#N/A</v>
      </c>
      <c r="M227" s="418" t="e">
        <f>IF(ISBLANK(A227),NA(),IFERROR(A227+(PLAYER_EXP_MAX-D227)/L227,NA()))</f>
        <v>#N/A</v>
      </c>
      <c r="N227" s="466" t="e">
        <f t="shared" ca="1" si="18"/>
        <v>#N/A</v>
      </c>
    </row>
    <row r="228" spans="4:14" ht="14.65" customHeight="1" x14ac:dyDescent="0.25">
      <c r="D228" s="466" t="str">
        <f t="shared" si="15"/>
        <v>-</v>
      </c>
      <c r="E228" s="399" t="str">
        <f>IF(ISBLANK(A228),"-",D228/PLAYER_EXP_MAX)</f>
        <v>-</v>
      </c>
      <c r="F228" s="405" t="e">
        <f ca="1">IF(ISBLANK(A228),NA(),IFERROR(SLOPE(INDIRECT("D" &amp; MATCH(A228-$B$1,A:A,1)):D228, INDIRECT("A" &amp; MATCH(A228-$B$1,A:A,1)):A228),NA()))</f>
        <v>#N/A</v>
      </c>
      <c r="G228" s="418" t="e">
        <f>IF(ISBLANK(A228),NA(),IFERROR(A228+(PLAYER_EXP_MAX-D228)/F228,NA()))</f>
        <v>#N/A</v>
      </c>
      <c r="H228" s="466" t="e">
        <f ca="1">IF(ISBLANK(#REF!),NA(),IFERROR(TEXT(TRUNC(G228-NOW()),"000") &amp; " D " &amp; TEXT(TRUNC(ABS(G228-NOW()-TRUNC(G228-NOW()))*24),"00") &amp; " H", NA()))</f>
        <v>#N/A</v>
      </c>
      <c r="I228" s="405" t="e">
        <f ca="1">IF(ISBLANK(A228),NA(),IFERROR(SLOPE(INDIRECT("D" &amp; MATCH(A228-$C$1,A:A,1)):D228, INDIRECT("A" &amp; MATCH(A228-$C$1,A:A,1)):A228),NA()))</f>
        <v>#N/A</v>
      </c>
      <c r="J228" s="418" t="e">
        <f>IF(ISBLANK(A228),NA(),IFERROR(A228+(PLAYER_EXP_MAX-D228)/I228,NA()))</f>
        <v>#N/A</v>
      </c>
      <c r="K228" s="466" t="e">
        <f t="shared" ca="1" si="16"/>
        <v>#N/A</v>
      </c>
      <c r="L228" s="405" t="e">
        <f t="shared" si="17"/>
        <v>#N/A</v>
      </c>
      <c r="M228" s="418" t="e">
        <f>IF(ISBLANK(A228),NA(),IFERROR(A228+(PLAYER_EXP_MAX-D228)/L228,NA()))</f>
        <v>#N/A</v>
      </c>
      <c r="N228" s="466" t="e">
        <f t="shared" ca="1" si="18"/>
        <v>#N/A</v>
      </c>
    </row>
    <row r="229" spans="4:14" ht="14.65" customHeight="1" x14ac:dyDescent="0.25">
      <c r="D229" s="466" t="str">
        <f t="shared" si="15"/>
        <v>-</v>
      </c>
      <c r="E229" s="399" t="str">
        <f>IF(ISBLANK(A229),"-",D229/PLAYER_EXP_MAX)</f>
        <v>-</v>
      </c>
      <c r="F229" s="405" t="e">
        <f ca="1">IF(ISBLANK(A229),NA(),IFERROR(SLOPE(INDIRECT("D" &amp; MATCH(A229-$B$1,A:A,1)):D229, INDIRECT("A" &amp; MATCH(A229-$B$1,A:A,1)):A229),NA()))</f>
        <v>#N/A</v>
      </c>
      <c r="G229" s="418" t="e">
        <f>IF(ISBLANK(A229),NA(),IFERROR(A229+(PLAYER_EXP_MAX-D229)/F229,NA()))</f>
        <v>#N/A</v>
      </c>
      <c r="H229" s="466" t="e">
        <f ca="1">IF(ISBLANK(#REF!),NA(),IFERROR(TEXT(TRUNC(G229-NOW()),"000") &amp; " D " &amp; TEXT(TRUNC(ABS(G229-NOW()-TRUNC(G229-NOW()))*24),"00") &amp; " H", NA()))</f>
        <v>#N/A</v>
      </c>
      <c r="I229" s="405" t="e">
        <f ca="1">IF(ISBLANK(A229),NA(),IFERROR(SLOPE(INDIRECT("D" &amp; MATCH(A229-$C$1,A:A,1)):D229, INDIRECT("A" &amp; MATCH(A229-$C$1,A:A,1)):A229),NA()))</f>
        <v>#N/A</v>
      </c>
      <c r="J229" s="418" t="e">
        <f>IF(ISBLANK(A229),NA(),IFERROR(A229+(PLAYER_EXP_MAX-D229)/I229,NA()))</f>
        <v>#N/A</v>
      </c>
      <c r="K229" s="466" t="e">
        <f t="shared" ca="1" si="16"/>
        <v>#N/A</v>
      </c>
      <c r="L229" s="405" t="e">
        <f t="shared" si="17"/>
        <v>#N/A</v>
      </c>
      <c r="M229" s="418" t="e">
        <f>IF(ISBLANK(A229),NA(),IFERROR(A229+(PLAYER_EXP_MAX-D229)/L229,NA()))</f>
        <v>#N/A</v>
      </c>
      <c r="N229" s="466" t="e">
        <f t="shared" ca="1" si="18"/>
        <v>#N/A</v>
      </c>
    </row>
    <row r="230" spans="4:14" ht="14.65" customHeight="1" x14ac:dyDescent="0.25">
      <c r="D230" s="466" t="str">
        <f t="shared" si="15"/>
        <v>-</v>
      </c>
      <c r="E230" s="399" t="str">
        <f>IF(ISBLANK(A230),"-",D230/PLAYER_EXP_MAX)</f>
        <v>-</v>
      </c>
      <c r="F230" s="405" t="e">
        <f ca="1">IF(ISBLANK(A230),NA(),IFERROR(SLOPE(INDIRECT("D" &amp; MATCH(A230-$B$1,A:A,1)):D230, INDIRECT("A" &amp; MATCH(A230-$B$1,A:A,1)):A230),NA()))</f>
        <v>#N/A</v>
      </c>
      <c r="G230" s="418" t="e">
        <f>IF(ISBLANK(A230),NA(),IFERROR(A230+(PLAYER_EXP_MAX-D230)/F230,NA()))</f>
        <v>#N/A</v>
      </c>
      <c r="H230" s="466" t="e">
        <f ca="1">IF(ISBLANK(#REF!),NA(),IFERROR(TEXT(TRUNC(G230-NOW()),"000") &amp; " D " &amp; TEXT(TRUNC(ABS(G230-NOW()-TRUNC(G230-NOW()))*24),"00") &amp; " H", NA()))</f>
        <v>#N/A</v>
      </c>
      <c r="I230" s="405" t="e">
        <f ca="1">IF(ISBLANK(A230),NA(),IFERROR(SLOPE(INDIRECT("D" &amp; MATCH(A230-$C$1,A:A,1)):D230, INDIRECT("A" &amp; MATCH(A230-$C$1,A:A,1)):A230),NA()))</f>
        <v>#N/A</v>
      </c>
      <c r="J230" s="418" t="e">
        <f>IF(ISBLANK(A230),NA(),IFERROR(A230+(PLAYER_EXP_MAX-D230)/I230,NA()))</f>
        <v>#N/A</v>
      </c>
      <c r="K230" s="466" t="e">
        <f t="shared" ca="1" si="16"/>
        <v>#N/A</v>
      </c>
      <c r="L230" s="405" t="e">
        <f t="shared" si="17"/>
        <v>#N/A</v>
      </c>
      <c r="M230" s="418" t="e">
        <f>IF(ISBLANK(A230),NA(),IFERROR(A230+(PLAYER_EXP_MAX-D230)/L230,NA()))</f>
        <v>#N/A</v>
      </c>
      <c r="N230" s="466" t="e">
        <f t="shared" ca="1" si="18"/>
        <v>#N/A</v>
      </c>
    </row>
    <row r="231" spans="4:14" ht="14.65" customHeight="1" x14ac:dyDescent="0.25">
      <c r="D231" s="466" t="str">
        <f t="shared" si="15"/>
        <v>-</v>
      </c>
      <c r="E231" s="399" t="str">
        <f>IF(ISBLANK(A231),"-",D231/PLAYER_EXP_MAX)</f>
        <v>-</v>
      </c>
      <c r="F231" s="405" t="e">
        <f ca="1">IF(ISBLANK(A231),NA(),IFERROR(SLOPE(INDIRECT("D" &amp; MATCH(A231-$B$1,A:A,1)):D231, INDIRECT("A" &amp; MATCH(A231-$B$1,A:A,1)):A231),NA()))</f>
        <v>#N/A</v>
      </c>
      <c r="G231" s="418" t="e">
        <f>IF(ISBLANK(A231),NA(),IFERROR(A231+(PLAYER_EXP_MAX-D231)/F231,NA()))</f>
        <v>#N/A</v>
      </c>
      <c r="H231" s="466" t="e">
        <f ca="1">IF(ISBLANK(#REF!),NA(),IFERROR(TEXT(TRUNC(G231-NOW()),"000") &amp; " D " &amp; TEXT(TRUNC(ABS(G231-NOW()-TRUNC(G231-NOW()))*24),"00") &amp; " H", NA()))</f>
        <v>#N/A</v>
      </c>
      <c r="I231" s="405" t="e">
        <f ca="1">IF(ISBLANK(A231),NA(),IFERROR(SLOPE(INDIRECT("D" &amp; MATCH(A231-$C$1,A:A,1)):D231, INDIRECT("A" &amp; MATCH(A231-$C$1,A:A,1)):A231),NA()))</f>
        <v>#N/A</v>
      </c>
      <c r="J231" s="418" t="e">
        <f>IF(ISBLANK(A231),NA(),IFERROR(A231+(PLAYER_EXP_MAX-D231)/I231,NA()))</f>
        <v>#N/A</v>
      </c>
      <c r="K231" s="466" t="e">
        <f t="shared" ca="1" si="16"/>
        <v>#N/A</v>
      </c>
      <c r="L231" s="405" t="e">
        <f t="shared" si="17"/>
        <v>#N/A</v>
      </c>
      <c r="M231" s="418" t="e">
        <f>IF(ISBLANK(A231),NA(),IFERROR(A231+(PLAYER_EXP_MAX-D231)/L231,NA()))</f>
        <v>#N/A</v>
      </c>
      <c r="N231" s="466" t="e">
        <f t="shared" ca="1" si="18"/>
        <v>#N/A</v>
      </c>
    </row>
    <row r="232" spans="4:14" ht="14.65" customHeight="1" x14ac:dyDescent="0.25">
      <c r="D232" s="466" t="str">
        <f t="shared" si="15"/>
        <v>-</v>
      </c>
      <c r="E232" s="399" t="str">
        <f>IF(ISBLANK(A232),"-",D232/PLAYER_EXP_MAX)</f>
        <v>-</v>
      </c>
      <c r="F232" s="405" t="e">
        <f ca="1">IF(ISBLANK(A232),NA(),IFERROR(SLOPE(INDIRECT("D" &amp; MATCH(A232-$B$1,A:A,1)):D232, INDIRECT("A" &amp; MATCH(A232-$B$1,A:A,1)):A232),NA()))</f>
        <v>#N/A</v>
      </c>
      <c r="G232" s="418" t="e">
        <f>IF(ISBLANK(A232),NA(),IFERROR(A232+(PLAYER_EXP_MAX-D232)/F232,NA()))</f>
        <v>#N/A</v>
      </c>
      <c r="H232" s="466" t="e">
        <f ca="1">IF(ISBLANK(#REF!),NA(),IFERROR(TEXT(TRUNC(G232-NOW()),"000") &amp; " D " &amp; TEXT(TRUNC(ABS(G232-NOW()-TRUNC(G232-NOW()))*24),"00") &amp; " H", NA()))</f>
        <v>#N/A</v>
      </c>
      <c r="I232" s="405" t="e">
        <f ca="1">IF(ISBLANK(A232),NA(),IFERROR(SLOPE(INDIRECT("D" &amp; MATCH(A232-$C$1,A:A,1)):D232, INDIRECT("A" &amp; MATCH(A232-$C$1,A:A,1)):A232),NA()))</f>
        <v>#N/A</v>
      </c>
      <c r="J232" s="418" t="e">
        <f>IF(ISBLANK(A232),NA(),IFERROR(A232+(PLAYER_EXP_MAX-D232)/I232,NA()))</f>
        <v>#N/A</v>
      </c>
      <c r="K232" s="466" t="e">
        <f t="shared" ca="1" si="16"/>
        <v>#N/A</v>
      </c>
      <c r="L232" s="405" t="e">
        <f t="shared" si="17"/>
        <v>#N/A</v>
      </c>
      <c r="M232" s="418" t="e">
        <f>IF(ISBLANK(A232),NA(),IFERROR(A232+(PLAYER_EXP_MAX-D232)/L232,NA()))</f>
        <v>#N/A</v>
      </c>
      <c r="N232" s="466" t="e">
        <f t="shared" ca="1" si="18"/>
        <v>#N/A</v>
      </c>
    </row>
    <row r="233" spans="4:14" ht="14.65" customHeight="1" x14ac:dyDescent="0.25">
      <c r="D233" s="466" t="str">
        <f t="shared" si="15"/>
        <v>-</v>
      </c>
      <c r="E233" s="399" t="str">
        <f>IF(ISBLANK(A233),"-",D233/PLAYER_EXP_MAX)</f>
        <v>-</v>
      </c>
      <c r="F233" s="405" t="e">
        <f ca="1">IF(ISBLANK(A233),NA(),IFERROR(SLOPE(INDIRECT("D" &amp; MATCH(A233-$B$1,A:A,1)):D233, INDIRECT("A" &amp; MATCH(A233-$B$1,A:A,1)):A233),NA()))</f>
        <v>#N/A</v>
      </c>
      <c r="G233" s="418" t="e">
        <f>IF(ISBLANK(A233),NA(),IFERROR(A233+(PLAYER_EXP_MAX-D233)/F233,NA()))</f>
        <v>#N/A</v>
      </c>
      <c r="H233" s="466" t="e">
        <f ca="1">IF(ISBLANK(#REF!),NA(),IFERROR(TEXT(TRUNC(G233-NOW()),"000") &amp; " D " &amp; TEXT(TRUNC(ABS(G233-NOW()-TRUNC(G233-NOW()))*24),"00") &amp; " H", NA()))</f>
        <v>#N/A</v>
      </c>
      <c r="I233" s="405" t="e">
        <f ca="1">IF(ISBLANK(A233),NA(),IFERROR(SLOPE(INDIRECT("D" &amp; MATCH(A233-$C$1,A:A,1)):D233, INDIRECT("A" &amp; MATCH(A233-$C$1,A:A,1)):A233),NA()))</f>
        <v>#N/A</v>
      </c>
      <c r="J233" s="418" t="e">
        <f>IF(ISBLANK(A233),NA(),IFERROR(A233+(PLAYER_EXP_MAX-D233)/I233,NA()))</f>
        <v>#N/A</v>
      </c>
      <c r="K233" s="466" t="e">
        <f t="shared" ca="1" si="16"/>
        <v>#N/A</v>
      </c>
      <c r="L233" s="405" t="e">
        <f t="shared" si="17"/>
        <v>#N/A</v>
      </c>
      <c r="M233" s="418" t="e">
        <f>IF(ISBLANK(A233),NA(),IFERROR(A233+(PLAYER_EXP_MAX-D233)/L233,NA()))</f>
        <v>#N/A</v>
      </c>
      <c r="N233" s="466" t="e">
        <f t="shared" ca="1" si="18"/>
        <v>#N/A</v>
      </c>
    </row>
    <row r="234" spans="4:14" ht="14.65" customHeight="1" x14ac:dyDescent="0.25">
      <c r="D234" s="466" t="str">
        <f t="shared" si="15"/>
        <v>-</v>
      </c>
      <c r="E234" s="399" t="str">
        <f>IF(ISBLANK(A234),"-",D234/PLAYER_EXP_MAX)</f>
        <v>-</v>
      </c>
      <c r="F234" s="405" t="e">
        <f ca="1">IF(ISBLANK(A234),NA(),IFERROR(SLOPE(INDIRECT("D" &amp; MATCH(A234-$B$1,A:A,1)):D234, INDIRECT("A" &amp; MATCH(A234-$B$1,A:A,1)):A234),NA()))</f>
        <v>#N/A</v>
      </c>
      <c r="G234" s="418" t="e">
        <f>IF(ISBLANK(A234),NA(),IFERROR(A234+(PLAYER_EXP_MAX-D234)/F234,NA()))</f>
        <v>#N/A</v>
      </c>
      <c r="H234" s="466" t="e">
        <f ca="1">IF(ISBLANK(#REF!),NA(),IFERROR(TEXT(TRUNC(G234-NOW()),"000") &amp; " D " &amp; TEXT(TRUNC(ABS(G234-NOW()-TRUNC(G234-NOW()))*24),"00") &amp; " H", NA()))</f>
        <v>#N/A</v>
      </c>
      <c r="I234" s="405" t="e">
        <f ca="1">IF(ISBLANK(A234),NA(),IFERROR(SLOPE(INDIRECT("D" &amp; MATCH(A234-$C$1,A:A,1)):D234, INDIRECT("A" &amp; MATCH(A234-$C$1,A:A,1)):A234),NA()))</f>
        <v>#N/A</v>
      </c>
      <c r="J234" s="418" t="e">
        <f>IF(ISBLANK(A234),NA(),IFERROR(A234+(PLAYER_EXP_MAX-D234)/I234,NA()))</f>
        <v>#N/A</v>
      </c>
      <c r="K234" s="466" t="e">
        <f t="shared" ca="1" si="16"/>
        <v>#N/A</v>
      </c>
      <c r="L234" s="405" t="e">
        <f t="shared" si="17"/>
        <v>#N/A</v>
      </c>
      <c r="M234" s="418" t="e">
        <f>IF(ISBLANK(A234),NA(),IFERROR(A234+(PLAYER_EXP_MAX-D234)/L234,NA()))</f>
        <v>#N/A</v>
      </c>
      <c r="N234" s="466" t="e">
        <f t="shared" ca="1" si="18"/>
        <v>#N/A</v>
      </c>
    </row>
    <row r="235" spans="4:14" ht="14.65" customHeight="1" x14ac:dyDescent="0.25">
      <c r="D235" s="466" t="str">
        <f t="shared" si="15"/>
        <v>-</v>
      </c>
      <c r="E235" s="399" t="str">
        <f>IF(ISBLANK(A235),"-",D235/PLAYER_EXP_MAX)</f>
        <v>-</v>
      </c>
      <c r="F235" s="405" t="e">
        <f ca="1">IF(ISBLANK(A235),NA(),IFERROR(SLOPE(INDIRECT("D" &amp; MATCH(A235-$B$1,A:A,1)):D235, INDIRECT("A" &amp; MATCH(A235-$B$1,A:A,1)):A235),NA()))</f>
        <v>#N/A</v>
      </c>
      <c r="G235" s="418" t="e">
        <f>IF(ISBLANK(A235),NA(),IFERROR(A235+(PLAYER_EXP_MAX-D235)/F235,NA()))</f>
        <v>#N/A</v>
      </c>
      <c r="H235" s="466" t="e">
        <f ca="1">IF(ISBLANK(#REF!),NA(),IFERROR(TEXT(TRUNC(G235-NOW()),"000") &amp; " D " &amp; TEXT(TRUNC(ABS(G235-NOW()-TRUNC(G235-NOW()))*24),"00") &amp; " H", NA()))</f>
        <v>#N/A</v>
      </c>
      <c r="I235" s="405" t="e">
        <f ca="1">IF(ISBLANK(A235),NA(),IFERROR(SLOPE(INDIRECT("D" &amp; MATCH(A235-$C$1,A:A,1)):D235, INDIRECT("A" &amp; MATCH(A235-$C$1,A:A,1)):A235),NA()))</f>
        <v>#N/A</v>
      </c>
      <c r="J235" s="418" t="e">
        <f>IF(ISBLANK(A235),NA(),IFERROR(A235+(PLAYER_EXP_MAX-D235)/I235,NA()))</f>
        <v>#N/A</v>
      </c>
      <c r="K235" s="466" t="e">
        <f t="shared" ca="1" si="16"/>
        <v>#N/A</v>
      </c>
      <c r="L235" s="405" t="e">
        <f t="shared" si="17"/>
        <v>#N/A</v>
      </c>
      <c r="M235" s="418" t="e">
        <f>IF(ISBLANK(A235),NA(),IFERROR(A235+(PLAYER_EXP_MAX-D235)/L235,NA()))</f>
        <v>#N/A</v>
      </c>
      <c r="N235" s="466" t="e">
        <f t="shared" ca="1" si="18"/>
        <v>#N/A</v>
      </c>
    </row>
    <row r="236" spans="4:14" ht="14.65" customHeight="1" x14ac:dyDescent="0.25">
      <c r="D236" s="466" t="str">
        <f t="shared" si="15"/>
        <v>-</v>
      </c>
      <c r="E236" s="399" t="str">
        <f>IF(ISBLANK(A236),"-",D236/PLAYER_EXP_MAX)</f>
        <v>-</v>
      </c>
      <c r="F236" s="405" t="e">
        <f ca="1">IF(ISBLANK(A236),NA(),IFERROR(SLOPE(INDIRECT("D" &amp; MATCH(A236-$B$1,A:A,1)):D236, INDIRECT("A" &amp; MATCH(A236-$B$1,A:A,1)):A236),NA()))</f>
        <v>#N/A</v>
      </c>
      <c r="G236" s="418" t="e">
        <f>IF(ISBLANK(A236),NA(),IFERROR(A236+(PLAYER_EXP_MAX-D236)/F236,NA()))</f>
        <v>#N/A</v>
      </c>
      <c r="H236" s="466" t="e">
        <f ca="1">IF(ISBLANK(#REF!),NA(),IFERROR(TEXT(TRUNC(G236-NOW()),"000") &amp; " D " &amp; TEXT(TRUNC(ABS(G236-NOW()-TRUNC(G236-NOW()))*24),"00") &amp; " H", NA()))</f>
        <v>#N/A</v>
      </c>
      <c r="I236" s="405" t="e">
        <f ca="1">IF(ISBLANK(A236),NA(),IFERROR(SLOPE(INDIRECT("D" &amp; MATCH(A236-$C$1,A:A,1)):D236, INDIRECT("A" &amp; MATCH(A236-$C$1,A:A,1)):A236),NA()))</f>
        <v>#N/A</v>
      </c>
      <c r="J236" s="418" t="e">
        <f>IF(ISBLANK(A236),NA(),IFERROR(A236+(PLAYER_EXP_MAX-D236)/I236,NA()))</f>
        <v>#N/A</v>
      </c>
      <c r="K236" s="466" t="e">
        <f t="shared" ca="1" si="16"/>
        <v>#N/A</v>
      </c>
      <c r="L236" s="405" t="e">
        <f t="shared" si="17"/>
        <v>#N/A</v>
      </c>
      <c r="M236" s="418" t="e">
        <f>IF(ISBLANK(A236),NA(),IFERROR(A236+(PLAYER_EXP_MAX-D236)/L236,NA()))</f>
        <v>#N/A</v>
      </c>
      <c r="N236" s="466" t="e">
        <f t="shared" ca="1" si="18"/>
        <v>#N/A</v>
      </c>
    </row>
    <row r="237" spans="4:14" ht="14.65" customHeight="1" x14ac:dyDescent="0.25">
      <c r="D237" s="466" t="str">
        <f t="shared" si="15"/>
        <v>-</v>
      </c>
      <c r="E237" s="399" t="str">
        <f>IF(ISBLANK(A237),"-",D237/PLAYER_EXP_MAX)</f>
        <v>-</v>
      </c>
      <c r="F237" s="405" t="e">
        <f ca="1">IF(ISBLANK(A237),NA(),IFERROR(SLOPE(INDIRECT("D" &amp; MATCH(A237-$B$1,A:A,1)):D237, INDIRECT("A" &amp; MATCH(A237-$B$1,A:A,1)):A237),NA()))</f>
        <v>#N/A</v>
      </c>
      <c r="G237" s="418" t="e">
        <f>IF(ISBLANK(A237),NA(),IFERROR(A237+(PLAYER_EXP_MAX-D237)/F237,NA()))</f>
        <v>#N/A</v>
      </c>
      <c r="H237" s="466" t="e">
        <f ca="1">IF(ISBLANK(#REF!),NA(),IFERROR(TEXT(TRUNC(G237-NOW()),"000") &amp; " D " &amp; TEXT(TRUNC(ABS(G237-NOW()-TRUNC(G237-NOW()))*24),"00") &amp; " H", NA()))</f>
        <v>#N/A</v>
      </c>
      <c r="I237" s="405" t="e">
        <f ca="1">IF(ISBLANK(A237),NA(),IFERROR(SLOPE(INDIRECT("D" &amp; MATCH(A237-$C$1,A:A,1)):D237, INDIRECT("A" &amp; MATCH(A237-$C$1,A:A,1)):A237),NA()))</f>
        <v>#N/A</v>
      </c>
      <c r="J237" s="418" t="e">
        <f>IF(ISBLANK(A237),NA(),IFERROR(A237+(PLAYER_EXP_MAX-D237)/I237,NA()))</f>
        <v>#N/A</v>
      </c>
      <c r="K237" s="466" t="e">
        <f t="shared" ca="1" si="16"/>
        <v>#N/A</v>
      </c>
      <c r="L237" s="405" t="e">
        <f t="shared" si="17"/>
        <v>#N/A</v>
      </c>
      <c r="M237" s="418" t="e">
        <f>IF(ISBLANK(A237),NA(),IFERROR(A237+(PLAYER_EXP_MAX-D237)/L237,NA()))</f>
        <v>#N/A</v>
      </c>
      <c r="N237" s="466" t="e">
        <f t="shared" ca="1" si="18"/>
        <v>#N/A</v>
      </c>
    </row>
    <row r="238" spans="4:14" ht="14.65" customHeight="1" x14ac:dyDescent="0.25">
      <c r="D238" s="466" t="str">
        <f t="shared" si="15"/>
        <v>-</v>
      </c>
      <c r="E238" s="399" t="str">
        <f>IF(ISBLANK(A238),"-",D238/PLAYER_EXP_MAX)</f>
        <v>-</v>
      </c>
      <c r="F238" s="405" t="e">
        <f ca="1">IF(ISBLANK(A238),NA(),IFERROR(SLOPE(INDIRECT("D" &amp; MATCH(A238-$B$1,A:A,1)):D238, INDIRECT("A" &amp; MATCH(A238-$B$1,A:A,1)):A238),NA()))</f>
        <v>#N/A</v>
      </c>
      <c r="G238" s="418" t="e">
        <f>IF(ISBLANK(A238),NA(),IFERROR(A238+(PLAYER_EXP_MAX-D238)/F238,NA()))</f>
        <v>#N/A</v>
      </c>
      <c r="H238" s="466" t="e">
        <f ca="1">IF(ISBLANK(#REF!),NA(),IFERROR(TEXT(TRUNC(G238-NOW()),"000") &amp; " D " &amp; TEXT(TRUNC(ABS(G238-NOW()-TRUNC(G238-NOW()))*24),"00") &amp; " H", NA()))</f>
        <v>#N/A</v>
      </c>
      <c r="I238" s="405" t="e">
        <f ca="1">IF(ISBLANK(A238),NA(),IFERROR(SLOPE(INDIRECT("D" &amp; MATCH(A238-$C$1,A:A,1)):D238, INDIRECT("A" &amp; MATCH(A238-$C$1,A:A,1)):A238),NA()))</f>
        <v>#N/A</v>
      </c>
      <c r="J238" s="418" t="e">
        <f>IF(ISBLANK(A238),NA(),IFERROR(A238+(PLAYER_EXP_MAX-D238)/I238,NA()))</f>
        <v>#N/A</v>
      </c>
      <c r="K238" s="466" t="e">
        <f t="shared" ca="1" si="16"/>
        <v>#N/A</v>
      </c>
      <c r="L238" s="405" t="e">
        <f t="shared" si="17"/>
        <v>#N/A</v>
      </c>
      <c r="M238" s="418" t="e">
        <f>IF(ISBLANK(A238),NA(),IFERROR(A238+(PLAYER_EXP_MAX-D238)/L238,NA()))</f>
        <v>#N/A</v>
      </c>
      <c r="N238" s="466" t="e">
        <f t="shared" ca="1" si="18"/>
        <v>#N/A</v>
      </c>
    </row>
    <row r="239" spans="4:14" ht="14.65" customHeight="1" x14ac:dyDescent="0.25">
      <c r="D239" s="466" t="str">
        <f t="shared" si="15"/>
        <v>-</v>
      </c>
      <c r="E239" s="399" t="str">
        <f>IF(ISBLANK(A239),"-",D239/PLAYER_EXP_MAX)</f>
        <v>-</v>
      </c>
      <c r="F239" s="405" t="e">
        <f ca="1">IF(ISBLANK(A239),NA(),IFERROR(SLOPE(INDIRECT("D" &amp; MATCH(A239-$B$1,A:A,1)):D239, INDIRECT("A" &amp; MATCH(A239-$B$1,A:A,1)):A239),NA()))</f>
        <v>#N/A</v>
      </c>
      <c r="G239" s="418" t="e">
        <f>IF(ISBLANK(A239),NA(),IFERROR(A239+(PLAYER_EXP_MAX-D239)/F239,NA()))</f>
        <v>#N/A</v>
      </c>
      <c r="H239" s="466" t="e">
        <f ca="1">IF(ISBLANK(#REF!),NA(),IFERROR(TEXT(TRUNC(G239-NOW()),"000") &amp; " D " &amp; TEXT(TRUNC(ABS(G239-NOW()-TRUNC(G239-NOW()))*24),"00") &amp; " H", NA()))</f>
        <v>#N/A</v>
      </c>
      <c r="I239" s="405" t="e">
        <f ca="1">IF(ISBLANK(A239),NA(),IFERROR(SLOPE(INDIRECT("D" &amp; MATCH(A239-$C$1,A:A,1)):D239, INDIRECT("A" &amp; MATCH(A239-$C$1,A:A,1)):A239),NA()))</f>
        <v>#N/A</v>
      </c>
      <c r="J239" s="418" t="e">
        <f>IF(ISBLANK(A239),NA(),IFERROR(A239+(PLAYER_EXP_MAX-D239)/I239,NA()))</f>
        <v>#N/A</v>
      </c>
      <c r="K239" s="466" t="e">
        <f t="shared" ca="1" si="16"/>
        <v>#N/A</v>
      </c>
      <c r="L239" s="405" t="e">
        <f t="shared" si="17"/>
        <v>#N/A</v>
      </c>
      <c r="M239" s="418" t="e">
        <f>IF(ISBLANK(A239),NA(),IFERROR(A239+(PLAYER_EXP_MAX-D239)/L239,NA()))</f>
        <v>#N/A</v>
      </c>
      <c r="N239" s="466" t="e">
        <f t="shared" ca="1" si="18"/>
        <v>#N/A</v>
      </c>
    </row>
    <row r="240" spans="4:14" ht="14.65" customHeight="1" x14ac:dyDescent="0.25">
      <c r="D240" s="466" t="str">
        <f t="shared" si="15"/>
        <v>-</v>
      </c>
      <c r="E240" s="399" t="str">
        <f>IF(ISBLANK(A240),"-",D240/PLAYER_EXP_MAX)</f>
        <v>-</v>
      </c>
      <c r="F240" s="405" t="e">
        <f ca="1">IF(ISBLANK(A240),NA(),IFERROR(SLOPE(INDIRECT("D" &amp; MATCH(A240-$B$1,A:A,1)):D240, INDIRECT("A" &amp; MATCH(A240-$B$1,A:A,1)):A240),NA()))</f>
        <v>#N/A</v>
      </c>
      <c r="G240" s="418" t="e">
        <f>IF(ISBLANK(A240),NA(),IFERROR(A240+(PLAYER_EXP_MAX-D240)/F240,NA()))</f>
        <v>#N/A</v>
      </c>
      <c r="H240" s="466" t="e">
        <f ca="1">IF(ISBLANK(#REF!),NA(),IFERROR(TEXT(TRUNC(G240-NOW()),"000") &amp; " D " &amp; TEXT(TRUNC(ABS(G240-NOW()-TRUNC(G240-NOW()))*24),"00") &amp; " H", NA()))</f>
        <v>#N/A</v>
      </c>
      <c r="I240" s="405" t="e">
        <f ca="1">IF(ISBLANK(A240),NA(),IFERROR(SLOPE(INDIRECT("D" &amp; MATCH(A240-$C$1,A:A,1)):D240, INDIRECT("A" &amp; MATCH(A240-$C$1,A:A,1)):A240),NA()))</f>
        <v>#N/A</v>
      </c>
      <c r="J240" s="418" t="e">
        <f>IF(ISBLANK(A240),NA(),IFERROR(A240+(PLAYER_EXP_MAX-D240)/I240,NA()))</f>
        <v>#N/A</v>
      </c>
      <c r="K240" s="466" t="e">
        <f t="shared" ca="1" si="16"/>
        <v>#N/A</v>
      </c>
      <c r="L240" s="405" t="e">
        <f t="shared" si="17"/>
        <v>#N/A</v>
      </c>
      <c r="M240" s="418" t="e">
        <f>IF(ISBLANK(A240),NA(),IFERROR(A240+(PLAYER_EXP_MAX-D240)/L240,NA()))</f>
        <v>#N/A</v>
      </c>
      <c r="N240" s="466" t="e">
        <f t="shared" ca="1" si="18"/>
        <v>#N/A</v>
      </c>
    </row>
    <row r="241" spans="4:14" ht="14.65" customHeight="1" x14ac:dyDescent="0.25">
      <c r="D241" s="466" t="str">
        <f t="shared" si="15"/>
        <v>-</v>
      </c>
      <c r="E241" s="399" t="str">
        <f>IF(ISBLANK(A241),"-",D241/PLAYER_EXP_MAX)</f>
        <v>-</v>
      </c>
      <c r="F241" s="405" t="e">
        <f ca="1">IF(ISBLANK(A241),NA(),IFERROR(SLOPE(INDIRECT("D" &amp; MATCH(A241-$B$1,A:A,1)):D241, INDIRECT("A" &amp; MATCH(A241-$B$1,A:A,1)):A241),NA()))</f>
        <v>#N/A</v>
      </c>
      <c r="G241" s="418" t="e">
        <f>IF(ISBLANK(A241),NA(),IFERROR(A241+(PLAYER_EXP_MAX-D241)/F241,NA()))</f>
        <v>#N/A</v>
      </c>
      <c r="H241" s="466" t="e">
        <f ca="1">IF(ISBLANK(#REF!),NA(),IFERROR(TEXT(TRUNC(G241-NOW()),"000") &amp; " D " &amp; TEXT(TRUNC(ABS(G241-NOW()-TRUNC(G241-NOW()))*24),"00") &amp; " H", NA()))</f>
        <v>#N/A</v>
      </c>
      <c r="I241" s="405" t="e">
        <f ca="1">IF(ISBLANK(A241),NA(),IFERROR(SLOPE(INDIRECT("D" &amp; MATCH(A241-$C$1,A:A,1)):D241, INDIRECT("A" &amp; MATCH(A241-$C$1,A:A,1)):A241),NA()))</f>
        <v>#N/A</v>
      </c>
      <c r="J241" s="418" t="e">
        <f>IF(ISBLANK(A241),NA(),IFERROR(A241+(PLAYER_EXP_MAX-D241)/I241,NA()))</f>
        <v>#N/A</v>
      </c>
      <c r="K241" s="466" t="e">
        <f t="shared" ca="1" si="16"/>
        <v>#N/A</v>
      </c>
      <c r="L241" s="405" t="e">
        <f t="shared" si="17"/>
        <v>#N/A</v>
      </c>
      <c r="M241" s="418" t="e">
        <f>IF(ISBLANK(A241),NA(),IFERROR(A241+(PLAYER_EXP_MAX-D241)/L241,NA()))</f>
        <v>#N/A</v>
      </c>
      <c r="N241" s="466" t="e">
        <f t="shared" ca="1" si="18"/>
        <v>#N/A</v>
      </c>
    </row>
    <row r="242" spans="4:14" ht="14.65" customHeight="1" x14ac:dyDescent="0.25">
      <c r="D242" s="466" t="str">
        <f t="shared" si="15"/>
        <v>-</v>
      </c>
      <c r="E242" s="399" t="str">
        <f>IF(ISBLANK(A242),"-",D242/PLAYER_EXP_MAX)</f>
        <v>-</v>
      </c>
      <c r="F242" s="405" t="e">
        <f ca="1">IF(ISBLANK(A242),NA(),IFERROR(SLOPE(INDIRECT("D" &amp; MATCH(A242-$B$1,A:A,1)):D242, INDIRECT("A" &amp; MATCH(A242-$B$1,A:A,1)):A242),NA()))</f>
        <v>#N/A</v>
      </c>
      <c r="G242" s="418" t="e">
        <f>IF(ISBLANK(A242),NA(),IFERROR(A242+(PLAYER_EXP_MAX-D242)/F242,NA()))</f>
        <v>#N/A</v>
      </c>
      <c r="H242" s="466" t="e">
        <f ca="1">IF(ISBLANK(#REF!),NA(),IFERROR(TEXT(TRUNC(G242-NOW()),"000") &amp; " D " &amp; TEXT(TRUNC(ABS(G242-NOW()-TRUNC(G242-NOW()))*24),"00") &amp; " H", NA()))</f>
        <v>#N/A</v>
      </c>
      <c r="I242" s="405" t="e">
        <f ca="1">IF(ISBLANK(A242),NA(),IFERROR(SLOPE(INDIRECT("D" &amp; MATCH(A242-$C$1,A:A,1)):D242, INDIRECT("A" &amp; MATCH(A242-$C$1,A:A,1)):A242),NA()))</f>
        <v>#N/A</v>
      </c>
      <c r="J242" s="418" t="e">
        <f>IF(ISBLANK(A242),NA(),IFERROR(A242+(PLAYER_EXP_MAX-D242)/I242,NA()))</f>
        <v>#N/A</v>
      </c>
      <c r="K242" s="466" t="e">
        <f t="shared" ca="1" si="16"/>
        <v>#N/A</v>
      </c>
      <c r="L242" s="405" t="e">
        <f t="shared" si="17"/>
        <v>#N/A</v>
      </c>
      <c r="M242" s="418" t="e">
        <f>IF(ISBLANK(A242),NA(),IFERROR(A242+(PLAYER_EXP_MAX-D242)/L242,NA()))</f>
        <v>#N/A</v>
      </c>
      <c r="N242" s="466" t="e">
        <f t="shared" ca="1" si="18"/>
        <v>#N/A</v>
      </c>
    </row>
    <row r="243" spans="4:14" ht="14.65" customHeight="1" x14ac:dyDescent="0.25">
      <c r="D243" s="466" t="str">
        <f t="shared" si="15"/>
        <v>-</v>
      </c>
      <c r="E243" s="399" t="str">
        <f>IF(ISBLANK(A243),"-",D243/PLAYER_EXP_MAX)</f>
        <v>-</v>
      </c>
      <c r="F243" s="405" t="e">
        <f ca="1">IF(ISBLANK(A243),NA(),IFERROR(SLOPE(INDIRECT("D" &amp; MATCH(A243-$B$1,A:A,1)):D243, INDIRECT("A" &amp; MATCH(A243-$B$1,A:A,1)):A243),NA()))</f>
        <v>#N/A</v>
      </c>
      <c r="G243" s="418" t="e">
        <f>IF(ISBLANK(A243),NA(),IFERROR(A243+(PLAYER_EXP_MAX-D243)/F243,NA()))</f>
        <v>#N/A</v>
      </c>
      <c r="H243" s="466" t="e">
        <f ca="1">IF(ISBLANK(#REF!),NA(),IFERROR(TEXT(TRUNC(G243-NOW()),"000") &amp; " D " &amp; TEXT(TRUNC(ABS(G243-NOW()-TRUNC(G243-NOW()))*24),"00") &amp; " H", NA()))</f>
        <v>#N/A</v>
      </c>
      <c r="I243" s="405" t="e">
        <f ca="1">IF(ISBLANK(A243),NA(),IFERROR(SLOPE(INDIRECT("D" &amp; MATCH(A243-$C$1,A:A,1)):D243, INDIRECT("A" &amp; MATCH(A243-$C$1,A:A,1)):A243),NA()))</f>
        <v>#N/A</v>
      </c>
      <c r="J243" s="418" t="e">
        <f>IF(ISBLANK(A243),NA(),IFERROR(A243+(PLAYER_EXP_MAX-D243)/I243,NA()))</f>
        <v>#N/A</v>
      </c>
      <c r="K243" s="466" t="e">
        <f t="shared" ca="1" si="16"/>
        <v>#N/A</v>
      </c>
      <c r="L243" s="405" t="e">
        <f t="shared" si="17"/>
        <v>#N/A</v>
      </c>
      <c r="M243" s="418" t="e">
        <f>IF(ISBLANK(A243),NA(),IFERROR(A243+(PLAYER_EXP_MAX-D243)/L243,NA()))</f>
        <v>#N/A</v>
      </c>
      <c r="N243" s="466" t="e">
        <f t="shared" ca="1" si="18"/>
        <v>#N/A</v>
      </c>
    </row>
    <row r="244" spans="4:14" ht="14.65" customHeight="1" x14ac:dyDescent="0.25">
      <c r="D244" s="466" t="str">
        <f t="shared" si="15"/>
        <v>-</v>
      </c>
      <c r="E244" s="399" t="str">
        <f>IF(ISBLANK(A244),"-",D244/PLAYER_EXP_MAX)</f>
        <v>-</v>
      </c>
      <c r="F244" s="405" t="e">
        <f ca="1">IF(ISBLANK(A244),NA(),IFERROR(SLOPE(INDIRECT("D" &amp; MATCH(A244-$B$1,A:A,1)):D244, INDIRECT("A" &amp; MATCH(A244-$B$1,A:A,1)):A244),NA()))</f>
        <v>#N/A</v>
      </c>
      <c r="G244" s="418" t="e">
        <f>IF(ISBLANK(A244),NA(),IFERROR(A244+(PLAYER_EXP_MAX-D244)/F244,NA()))</f>
        <v>#N/A</v>
      </c>
      <c r="H244" s="466" t="e">
        <f ca="1">IF(ISBLANK(#REF!),NA(),IFERROR(TEXT(TRUNC(G244-NOW()),"000") &amp; " D " &amp; TEXT(TRUNC(ABS(G244-NOW()-TRUNC(G244-NOW()))*24),"00") &amp; " H", NA()))</f>
        <v>#N/A</v>
      </c>
      <c r="I244" s="405" t="e">
        <f ca="1">IF(ISBLANK(A244),NA(),IFERROR(SLOPE(INDIRECT("D" &amp; MATCH(A244-$C$1,A:A,1)):D244, INDIRECT("A" &amp; MATCH(A244-$C$1,A:A,1)):A244),NA()))</f>
        <v>#N/A</v>
      </c>
      <c r="J244" s="418" t="e">
        <f>IF(ISBLANK(A244),NA(),IFERROR(A244+(PLAYER_EXP_MAX-D244)/I244,NA()))</f>
        <v>#N/A</v>
      </c>
      <c r="K244" s="466" t="e">
        <f t="shared" ca="1" si="16"/>
        <v>#N/A</v>
      </c>
      <c r="L244" s="405" t="e">
        <f t="shared" si="17"/>
        <v>#N/A</v>
      </c>
      <c r="M244" s="418" t="e">
        <f>IF(ISBLANK(A244),NA(),IFERROR(A244+(PLAYER_EXP_MAX-D244)/L244,NA()))</f>
        <v>#N/A</v>
      </c>
      <c r="N244" s="466" t="e">
        <f t="shared" ca="1" si="18"/>
        <v>#N/A</v>
      </c>
    </row>
    <row r="245" spans="4:14" ht="14.65" customHeight="1" x14ac:dyDescent="0.25">
      <c r="D245" s="466" t="str">
        <f t="shared" si="15"/>
        <v>-</v>
      </c>
      <c r="E245" s="399" t="str">
        <f>IF(ISBLANK(A245),"-",D245/PLAYER_EXP_MAX)</f>
        <v>-</v>
      </c>
      <c r="F245" s="405" t="e">
        <f ca="1">IF(ISBLANK(A245),NA(),IFERROR(SLOPE(INDIRECT("D" &amp; MATCH(A245-$B$1,A:A,1)):D245, INDIRECT("A" &amp; MATCH(A245-$B$1,A:A,1)):A245),NA()))</f>
        <v>#N/A</v>
      </c>
      <c r="G245" s="418" t="e">
        <f>IF(ISBLANK(A245),NA(),IFERROR(A245+(PLAYER_EXP_MAX-D245)/F245,NA()))</f>
        <v>#N/A</v>
      </c>
      <c r="H245" s="466" t="e">
        <f ca="1">IF(ISBLANK(#REF!),NA(),IFERROR(TEXT(TRUNC(G245-NOW()),"000") &amp; " D " &amp; TEXT(TRUNC(ABS(G245-NOW()-TRUNC(G245-NOW()))*24),"00") &amp; " H", NA()))</f>
        <v>#N/A</v>
      </c>
      <c r="I245" s="405" t="e">
        <f ca="1">IF(ISBLANK(A245),NA(),IFERROR(SLOPE(INDIRECT("D" &amp; MATCH(A245-$C$1,A:A,1)):D245, INDIRECT("A" &amp; MATCH(A245-$C$1,A:A,1)):A245),NA()))</f>
        <v>#N/A</v>
      </c>
      <c r="J245" s="418" t="e">
        <f>IF(ISBLANK(A245),NA(),IFERROR(A245+(PLAYER_EXP_MAX-D245)/I245,NA()))</f>
        <v>#N/A</v>
      </c>
      <c r="K245" s="466" t="e">
        <f t="shared" ca="1" si="16"/>
        <v>#N/A</v>
      </c>
      <c r="L245" s="405" t="e">
        <f t="shared" si="17"/>
        <v>#N/A</v>
      </c>
      <c r="M245" s="418" t="e">
        <f>IF(ISBLANK(A245),NA(),IFERROR(A245+(PLAYER_EXP_MAX-D245)/L245,NA()))</f>
        <v>#N/A</v>
      </c>
      <c r="N245" s="466" t="e">
        <f t="shared" ca="1" si="18"/>
        <v>#N/A</v>
      </c>
    </row>
    <row r="246" spans="4:14" ht="14.65" customHeight="1" x14ac:dyDescent="0.25">
      <c r="D246" s="466" t="str">
        <f t="shared" si="15"/>
        <v>-</v>
      </c>
      <c r="E246" s="399" t="str">
        <f>IF(ISBLANK(A246),"-",D246/PLAYER_EXP_MAX)</f>
        <v>-</v>
      </c>
      <c r="F246" s="405" t="e">
        <f ca="1">IF(ISBLANK(A246),NA(),IFERROR(SLOPE(INDIRECT("D" &amp; MATCH(A246-$B$1,A:A,1)):D246, INDIRECT("A" &amp; MATCH(A246-$B$1,A:A,1)):A246),NA()))</f>
        <v>#N/A</v>
      </c>
      <c r="G246" s="418" t="e">
        <f>IF(ISBLANK(A246),NA(),IFERROR(A246+(PLAYER_EXP_MAX-D246)/F246,NA()))</f>
        <v>#N/A</v>
      </c>
      <c r="H246" s="466" t="e">
        <f ca="1">IF(ISBLANK(#REF!),NA(),IFERROR(TEXT(TRUNC(G246-NOW()),"000") &amp; " D " &amp; TEXT(TRUNC(ABS(G246-NOW()-TRUNC(G246-NOW()))*24),"00") &amp; " H", NA()))</f>
        <v>#N/A</v>
      </c>
      <c r="I246" s="405" t="e">
        <f ca="1">IF(ISBLANK(A246),NA(),IFERROR(SLOPE(INDIRECT("D" &amp; MATCH(A246-$C$1,A:A,1)):D246, INDIRECT("A" &amp; MATCH(A246-$C$1,A:A,1)):A246),NA()))</f>
        <v>#N/A</v>
      </c>
      <c r="J246" s="418" t="e">
        <f>IF(ISBLANK(A246),NA(),IFERROR(A246+(PLAYER_EXP_MAX-D246)/I246,NA()))</f>
        <v>#N/A</v>
      </c>
      <c r="K246" s="466" t="e">
        <f t="shared" ca="1" si="16"/>
        <v>#N/A</v>
      </c>
      <c r="L246" s="405" t="e">
        <f t="shared" si="17"/>
        <v>#N/A</v>
      </c>
      <c r="M246" s="418" t="e">
        <f>IF(ISBLANK(A246),NA(),IFERROR(A246+(PLAYER_EXP_MAX-D246)/L246,NA()))</f>
        <v>#N/A</v>
      </c>
      <c r="N246" s="466" t="e">
        <f t="shared" ca="1" si="18"/>
        <v>#N/A</v>
      </c>
    </row>
    <row r="247" spans="4:14" ht="14.65" customHeight="1" x14ac:dyDescent="0.25">
      <c r="D247" s="466" t="str">
        <f t="shared" si="15"/>
        <v>-</v>
      </c>
      <c r="E247" s="399" t="str">
        <f>IF(ISBLANK(A247),"-",D247/PLAYER_EXP_MAX)</f>
        <v>-</v>
      </c>
      <c r="F247" s="405" t="e">
        <f ca="1">IF(ISBLANK(A247),NA(),IFERROR(SLOPE(INDIRECT("D" &amp; MATCH(A247-$B$1,A:A,1)):D247, INDIRECT("A" &amp; MATCH(A247-$B$1,A:A,1)):A247),NA()))</f>
        <v>#N/A</v>
      </c>
      <c r="G247" s="418" t="e">
        <f>IF(ISBLANK(A247),NA(),IFERROR(A247+(PLAYER_EXP_MAX-D247)/F247,NA()))</f>
        <v>#N/A</v>
      </c>
      <c r="H247" s="466" t="e">
        <f ca="1">IF(ISBLANK(#REF!),NA(),IFERROR(TEXT(TRUNC(G247-NOW()),"000") &amp; " D " &amp; TEXT(TRUNC(ABS(G247-NOW()-TRUNC(G247-NOW()))*24),"00") &amp; " H", NA()))</f>
        <v>#N/A</v>
      </c>
      <c r="I247" s="405" t="e">
        <f ca="1">IF(ISBLANK(A247),NA(),IFERROR(SLOPE(INDIRECT("D" &amp; MATCH(A247-$C$1,A:A,1)):D247, INDIRECT("A" &amp; MATCH(A247-$C$1,A:A,1)):A247),NA()))</f>
        <v>#N/A</v>
      </c>
      <c r="J247" s="418" t="e">
        <f>IF(ISBLANK(A247),NA(),IFERROR(A247+(PLAYER_EXP_MAX-D247)/I247,NA()))</f>
        <v>#N/A</v>
      </c>
      <c r="K247" s="466" t="e">
        <f t="shared" ca="1" si="16"/>
        <v>#N/A</v>
      </c>
      <c r="L247" s="405" t="e">
        <f t="shared" si="17"/>
        <v>#N/A</v>
      </c>
      <c r="M247" s="418" t="e">
        <f>IF(ISBLANK(A247),NA(),IFERROR(A247+(PLAYER_EXP_MAX-D247)/L247,NA()))</f>
        <v>#N/A</v>
      </c>
      <c r="N247" s="466" t="e">
        <f t="shared" ca="1" si="18"/>
        <v>#N/A</v>
      </c>
    </row>
    <row r="248" spans="4:14" ht="14.65" customHeight="1" x14ac:dyDescent="0.25">
      <c r="D248" s="466" t="str">
        <f t="shared" si="15"/>
        <v>-</v>
      </c>
      <c r="E248" s="399" t="str">
        <f>IF(ISBLANK(A248),"-",D248/PLAYER_EXP_MAX)</f>
        <v>-</v>
      </c>
      <c r="F248" s="405" t="e">
        <f ca="1">IF(ISBLANK(A248),NA(),IFERROR(SLOPE(INDIRECT("D" &amp; MATCH(A248-$B$1,A:A,1)):D248, INDIRECT("A" &amp; MATCH(A248-$B$1,A:A,1)):A248),NA()))</f>
        <v>#N/A</v>
      </c>
      <c r="G248" s="418" t="e">
        <f>IF(ISBLANK(A248),NA(),IFERROR(A248+(PLAYER_EXP_MAX-D248)/F248,NA()))</f>
        <v>#N/A</v>
      </c>
      <c r="H248" s="466" t="e">
        <f ca="1">IF(ISBLANK(#REF!),NA(),IFERROR(TEXT(TRUNC(G248-NOW()),"000") &amp; " D " &amp; TEXT(TRUNC(ABS(G248-NOW()-TRUNC(G248-NOW()))*24),"00") &amp; " H", NA()))</f>
        <v>#N/A</v>
      </c>
      <c r="I248" s="405" t="e">
        <f ca="1">IF(ISBLANK(A248),NA(),IFERROR(SLOPE(INDIRECT("D" &amp; MATCH(A248-$C$1,A:A,1)):D248, INDIRECT("A" &amp; MATCH(A248-$C$1,A:A,1)):A248),NA()))</f>
        <v>#N/A</v>
      </c>
      <c r="J248" s="418" t="e">
        <f>IF(ISBLANK(A248),NA(),IFERROR(A248+(PLAYER_EXP_MAX-D248)/I248,NA()))</f>
        <v>#N/A</v>
      </c>
      <c r="K248" s="466" t="e">
        <f t="shared" ca="1" si="16"/>
        <v>#N/A</v>
      </c>
      <c r="L248" s="405" t="e">
        <f t="shared" si="17"/>
        <v>#N/A</v>
      </c>
      <c r="M248" s="418" t="e">
        <f>IF(ISBLANK(A248),NA(),IFERROR(A248+(PLAYER_EXP_MAX-D248)/L248,NA()))</f>
        <v>#N/A</v>
      </c>
      <c r="N248" s="466" t="e">
        <f t="shared" ca="1" si="18"/>
        <v>#N/A</v>
      </c>
    </row>
    <row r="249" spans="4:14" ht="14.65" customHeight="1" x14ac:dyDescent="0.25">
      <c r="D249" s="466" t="str">
        <f t="shared" si="15"/>
        <v>-</v>
      </c>
      <c r="E249" s="399" t="str">
        <f>IF(ISBLANK(A249),"-",D249/PLAYER_EXP_MAX)</f>
        <v>-</v>
      </c>
      <c r="F249" s="405" t="e">
        <f ca="1">IF(ISBLANK(A249),NA(),IFERROR(SLOPE(INDIRECT("D" &amp; MATCH(A249-$B$1,A:A,1)):D249, INDIRECT("A" &amp; MATCH(A249-$B$1,A:A,1)):A249),NA()))</f>
        <v>#N/A</v>
      </c>
      <c r="G249" s="418" t="e">
        <f>IF(ISBLANK(A249),NA(),IFERROR(A249+(PLAYER_EXP_MAX-D249)/F249,NA()))</f>
        <v>#N/A</v>
      </c>
      <c r="H249" s="466" t="e">
        <f ca="1">IF(ISBLANK(#REF!),NA(),IFERROR(TEXT(TRUNC(G249-NOW()),"000") &amp; " D " &amp; TEXT(TRUNC(ABS(G249-NOW()-TRUNC(G249-NOW()))*24),"00") &amp; " H", NA()))</f>
        <v>#N/A</v>
      </c>
      <c r="I249" s="405" t="e">
        <f ca="1">IF(ISBLANK(A249),NA(),IFERROR(SLOPE(INDIRECT("D" &amp; MATCH(A249-$C$1,A:A,1)):D249, INDIRECT("A" &amp; MATCH(A249-$C$1,A:A,1)):A249),NA()))</f>
        <v>#N/A</v>
      </c>
      <c r="J249" s="418" t="e">
        <f>IF(ISBLANK(A249),NA(),IFERROR(A249+(PLAYER_EXP_MAX-D249)/I249,NA()))</f>
        <v>#N/A</v>
      </c>
      <c r="K249" s="466" t="e">
        <f t="shared" ca="1" si="16"/>
        <v>#N/A</v>
      </c>
      <c r="L249" s="405" t="e">
        <f t="shared" si="17"/>
        <v>#N/A</v>
      </c>
      <c r="M249" s="418" t="e">
        <f>IF(ISBLANK(A249),NA(),IFERROR(A249+(PLAYER_EXP_MAX-D249)/L249,NA()))</f>
        <v>#N/A</v>
      </c>
      <c r="N249" s="466" t="e">
        <f t="shared" ca="1" si="18"/>
        <v>#N/A</v>
      </c>
    </row>
    <row r="250" spans="4:14" ht="14.65" customHeight="1" x14ac:dyDescent="0.25">
      <c r="D250" s="466" t="str">
        <f t="shared" si="15"/>
        <v>-</v>
      </c>
      <c r="E250" s="399" t="str">
        <f>IF(ISBLANK(A250),"-",D250/PLAYER_EXP_MAX)</f>
        <v>-</v>
      </c>
      <c r="F250" s="405" t="e">
        <f ca="1">IF(ISBLANK(A250),NA(),IFERROR(SLOPE(INDIRECT("D" &amp; MATCH(A250-$B$1,A:A,1)):D250, INDIRECT("A" &amp; MATCH(A250-$B$1,A:A,1)):A250),NA()))</f>
        <v>#N/A</v>
      </c>
      <c r="G250" s="418" t="e">
        <f>IF(ISBLANK(A250),NA(),IFERROR(A250+(PLAYER_EXP_MAX-D250)/F250,NA()))</f>
        <v>#N/A</v>
      </c>
      <c r="H250" s="466" t="e">
        <f ca="1">IF(ISBLANK(#REF!),NA(),IFERROR(TEXT(TRUNC(G250-NOW()),"000") &amp; " D " &amp; TEXT(TRUNC(ABS(G250-NOW()-TRUNC(G250-NOW()))*24),"00") &amp; " H", NA()))</f>
        <v>#N/A</v>
      </c>
      <c r="I250" s="405" t="e">
        <f ca="1">IF(ISBLANK(A250),NA(),IFERROR(SLOPE(INDIRECT("D" &amp; MATCH(A250-$C$1,A:A,1)):D250, INDIRECT("A" &amp; MATCH(A250-$C$1,A:A,1)):A250),NA()))</f>
        <v>#N/A</v>
      </c>
      <c r="J250" s="418" t="e">
        <f>IF(ISBLANK(A250),NA(),IFERROR(A250+(PLAYER_EXP_MAX-D250)/I250,NA()))</f>
        <v>#N/A</v>
      </c>
      <c r="K250" s="466" t="e">
        <f t="shared" ca="1" si="16"/>
        <v>#N/A</v>
      </c>
      <c r="L250" s="405" t="e">
        <f t="shared" si="17"/>
        <v>#N/A</v>
      </c>
      <c r="M250" s="418" t="e">
        <f>IF(ISBLANK(A250),NA(),IFERROR(A250+(PLAYER_EXP_MAX-D250)/L250,NA()))</f>
        <v>#N/A</v>
      </c>
      <c r="N250" s="466" t="e">
        <f t="shared" ca="1" si="18"/>
        <v>#N/A</v>
      </c>
    </row>
    <row r="251" spans="4:14" ht="14.65" customHeight="1" x14ac:dyDescent="0.25">
      <c r="D251" s="466" t="str">
        <f t="shared" si="15"/>
        <v>-</v>
      </c>
      <c r="E251" s="399" t="str">
        <f>IF(ISBLANK(A251),"-",D251/PLAYER_EXP_MAX)</f>
        <v>-</v>
      </c>
      <c r="F251" s="405" t="e">
        <f ca="1">IF(ISBLANK(A251),NA(),IFERROR(SLOPE(INDIRECT("D" &amp; MATCH(A251-$B$1,A:A,1)):D251, INDIRECT("A" &amp; MATCH(A251-$B$1,A:A,1)):A251),NA()))</f>
        <v>#N/A</v>
      </c>
      <c r="G251" s="418" t="e">
        <f>IF(ISBLANK(A251),NA(),IFERROR(A251+(PLAYER_EXP_MAX-D251)/F251,NA()))</f>
        <v>#N/A</v>
      </c>
      <c r="H251" s="466" t="e">
        <f ca="1">IF(ISBLANK(#REF!),NA(),IFERROR(TEXT(TRUNC(G251-NOW()),"000") &amp; " D " &amp; TEXT(TRUNC(ABS(G251-NOW()-TRUNC(G251-NOW()))*24),"00") &amp; " H", NA()))</f>
        <v>#N/A</v>
      </c>
      <c r="I251" s="405" t="e">
        <f ca="1">IF(ISBLANK(A251),NA(),IFERROR(SLOPE(INDIRECT("D" &amp; MATCH(A251-$C$1,A:A,1)):D251, INDIRECT("A" &amp; MATCH(A251-$C$1,A:A,1)):A251),NA()))</f>
        <v>#N/A</v>
      </c>
      <c r="J251" s="418" t="e">
        <f>IF(ISBLANK(A251),NA(),IFERROR(A251+(PLAYER_EXP_MAX-D251)/I251,NA()))</f>
        <v>#N/A</v>
      </c>
      <c r="K251" s="466" t="e">
        <f t="shared" ca="1" si="16"/>
        <v>#N/A</v>
      </c>
      <c r="L251" s="405" t="e">
        <f t="shared" si="17"/>
        <v>#N/A</v>
      </c>
      <c r="M251" s="418" t="e">
        <f>IF(ISBLANK(A251),NA(),IFERROR(A251+(PLAYER_EXP_MAX-D251)/L251,NA()))</f>
        <v>#N/A</v>
      </c>
      <c r="N251" s="466" t="e">
        <f t="shared" ca="1" si="18"/>
        <v>#N/A</v>
      </c>
    </row>
    <row r="252" spans="4:14" ht="14.65" customHeight="1" x14ac:dyDescent="0.25">
      <c r="D252" s="466" t="str">
        <f t="shared" si="15"/>
        <v>-</v>
      </c>
      <c r="E252" s="399" t="str">
        <f>IF(ISBLANK(A252),"-",D252/PLAYER_EXP_MAX)</f>
        <v>-</v>
      </c>
      <c r="F252" s="405" t="e">
        <f ca="1">IF(ISBLANK(A252),NA(),IFERROR(SLOPE(INDIRECT("D" &amp; MATCH(A252-$B$1,A:A,1)):D252, INDIRECT("A" &amp; MATCH(A252-$B$1,A:A,1)):A252),NA()))</f>
        <v>#N/A</v>
      </c>
      <c r="G252" s="418" t="e">
        <f>IF(ISBLANK(A252),NA(),IFERROR(A252+(PLAYER_EXP_MAX-D252)/F252,NA()))</f>
        <v>#N/A</v>
      </c>
      <c r="H252" s="466" t="e">
        <f ca="1">IF(ISBLANK(#REF!),NA(),IFERROR(TEXT(TRUNC(G252-NOW()),"000") &amp; " D " &amp; TEXT(TRUNC(ABS(G252-NOW()-TRUNC(G252-NOW()))*24),"00") &amp; " H", NA()))</f>
        <v>#N/A</v>
      </c>
      <c r="I252" s="405" t="e">
        <f ca="1">IF(ISBLANK(A252),NA(),IFERROR(SLOPE(INDIRECT("D" &amp; MATCH(A252-$C$1,A:A,1)):D252, INDIRECT("A" &amp; MATCH(A252-$C$1,A:A,1)):A252),NA()))</f>
        <v>#N/A</v>
      </c>
      <c r="J252" s="418" t="e">
        <f>IF(ISBLANK(A252),NA(),IFERROR(A252+(PLAYER_EXP_MAX-D252)/I252,NA()))</f>
        <v>#N/A</v>
      </c>
      <c r="K252" s="466" t="e">
        <f t="shared" ca="1" si="16"/>
        <v>#N/A</v>
      </c>
      <c r="L252" s="405" t="e">
        <f t="shared" si="17"/>
        <v>#N/A</v>
      </c>
      <c r="M252" s="418" t="e">
        <f>IF(ISBLANK(A252),NA(),IFERROR(A252+(PLAYER_EXP_MAX-D252)/L252,NA()))</f>
        <v>#N/A</v>
      </c>
      <c r="N252" s="466" t="e">
        <f t="shared" ca="1" si="18"/>
        <v>#N/A</v>
      </c>
    </row>
    <row r="253" spans="4:14" ht="14.65" customHeight="1" x14ac:dyDescent="0.25">
      <c r="D253" s="466" t="str">
        <f t="shared" si="15"/>
        <v>-</v>
      </c>
      <c r="E253" s="399" t="str">
        <f>IF(ISBLANK(A253),"-",D253/PLAYER_EXP_MAX)</f>
        <v>-</v>
      </c>
      <c r="F253" s="405" t="e">
        <f ca="1">IF(ISBLANK(A253),NA(),IFERROR(SLOPE(INDIRECT("D" &amp; MATCH(A253-$B$1,A:A,1)):D253, INDIRECT("A" &amp; MATCH(A253-$B$1,A:A,1)):A253),NA()))</f>
        <v>#N/A</v>
      </c>
      <c r="G253" s="418" t="e">
        <f>IF(ISBLANK(A253),NA(),IFERROR(A253+(PLAYER_EXP_MAX-D253)/F253,NA()))</f>
        <v>#N/A</v>
      </c>
      <c r="H253" s="466" t="e">
        <f ca="1">IF(ISBLANK(#REF!),NA(),IFERROR(TEXT(TRUNC(G253-NOW()),"000") &amp; " D " &amp; TEXT(TRUNC(ABS(G253-NOW()-TRUNC(G253-NOW()))*24),"00") &amp; " H", NA()))</f>
        <v>#N/A</v>
      </c>
      <c r="I253" s="405" t="e">
        <f ca="1">IF(ISBLANK(A253),NA(),IFERROR(SLOPE(INDIRECT("D" &amp; MATCH(A253-$C$1,A:A,1)):D253, INDIRECT("A" &amp; MATCH(A253-$C$1,A:A,1)):A253),NA()))</f>
        <v>#N/A</v>
      </c>
      <c r="J253" s="418" t="e">
        <f>IF(ISBLANK(A253),NA(),IFERROR(A253+(PLAYER_EXP_MAX-D253)/I253,NA()))</f>
        <v>#N/A</v>
      </c>
      <c r="K253" s="466" t="e">
        <f t="shared" ca="1" si="16"/>
        <v>#N/A</v>
      </c>
      <c r="L253" s="405" t="e">
        <f t="shared" si="17"/>
        <v>#N/A</v>
      </c>
      <c r="M253" s="418" t="e">
        <f>IF(ISBLANK(A253),NA(),IFERROR(A253+(PLAYER_EXP_MAX-D253)/L253,NA()))</f>
        <v>#N/A</v>
      </c>
      <c r="N253" s="466" t="e">
        <f t="shared" ca="1" si="18"/>
        <v>#N/A</v>
      </c>
    </row>
    <row r="254" spans="4:14" ht="14.65" customHeight="1" x14ac:dyDescent="0.25">
      <c r="D254" s="466" t="str">
        <f t="shared" si="15"/>
        <v>-</v>
      </c>
      <c r="E254" s="399" t="str">
        <f>IF(ISBLANK(A254),"-",D254/PLAYER_EXP_MAX)</f>
        <v>-</v>
      </c>
      <c r="F254" s="405" t="e">
        <f ca="1">IF(ISBLANK(A254),NA(),IFERROR(SLOPE(INDIRECT("D" &amp; MATCH(A254-$B$1,A:A,1)):D254, INDIRECT("A" &amp; MATCH(A254-$B$1,A:A,1)):A254),NA()))</f>
        <v>#N/A</v>
      </c>
      <c r="G254" s="418" t="e">
        <f>IF(ISBLANK(A254),NA(),IFERROR(A254+(PLAYER_EXP_MAX-D254)/F254,NA()))</f>
        <v>#N/A</v>
      </c>
      <c r="H254" s="466" t="e">
        <f ca="1">IF(ISBLANK(#REF!),NA(),IFERROR(TEXT(TRUNC(G254-NOW()),"000") &amp; " D " &amp; TEXT(TRUNC(ABS(G254-NOW()-TRUNC(G254-NOW()))*24),"00") &amp; " H", NA()))</f>
        <v>#N/A</v>
      </c>
      <c r="I254" s="405" t="e">
        <f ca="1">IF(ISBLANK(A254),NA(),IFERROR(SLOPE(INDIRECT("D" &amp; MATCH(A254-$C$1,A:A,1)):D254, INDIRECT("A" &amp; MATCH(A254-$C$1,A:A,1)):A254),NA()))</f>
        <v>#N/A</v>
      </c>
      <c r="J254" s="418" t="e">
        <f>IF(ISBLANK(A254),NA(),IFERROR(A254+(PLAYER_EXP_MAX-D254)/I254,NA()))</f>
        <v>#N/A</v>
      </c>
      <c r="K254" s="466" t="e">
        <f t="shared" ca="1" si="16"/>
        <v>#N/A</v>
      </c>
      <c r="L254" s="405" t="e">
        <f t="shared" si="17"/>
        <v>#N/A</v>
      </c>
      <c r="M254" s="418" t="e">
        <f>IF(ISBLANK(A254),NA(),IFERROR(A254+(PLAYER_EXP_MAX-D254)/L254,NA()))</f>
        <v>#N/A</v>
      </c>
      <c r="N254" s="466" t="e">
        <f t="shared" ca="1" si="18"/>
        <v>#N/A</v>
      </c>
    </row>
    <row r="255" spans="4:14" ht="14.65" customHeight="1" x14ac:dyDescent="0.25">
      <c r="D255" s="466" t="str">
        <f t="shared" si="15"/>
        <v>-</v>
      </c>
      <c r="E255" s="399" t="str">
        <f>IF(ISBLANK(A255),"-",D255/PLAYER_EXP_MAX)</f>
        <v>-</v>
      </c>
      <c r="F255" s="405" t="e">
        <f ca="1">IF(ISBLANK(A255),NA(),IFERROR(SLOPE(INDIRECT("D" &amp; MATCH(A255-$B$1,A:A,1)):D255, INDIRECT("A" &amp; MATCH(A255-$B$1,A:A,1)):A255),NA()))</f>
        <v>#N/A</v>
      </c>
      <c r="G255" s="418" t="e">
        <f>IF(ISBLANK(A255),NA(),IFERROR(A255+(PLAYER_EXP_MAX-D255)/F255,NA()))</f>
        <v>#N/A</v>
      </c>
      <c r="H255" s="466" t="e">
        <f ca="1">IF(ISBLANK(#REF!),NA(),IFERROR(TEXT(TRUNC(G255-NOW()),"000") &amp; " D " &amp; TEXT(TRUNC(ABS(G255-NOW()-TRUNC(G255-NOW()))*24),"00") &amp; " H", NA()))</f>
        <v>#N/A</v>
      </c>
      <c r="I255" s="405" t="e">
        <f ca="1">IF(ISBLANK(A255),NA(),IFERROR(SLOPE(INDIRECT("D" &amp; MATCH(A255-$C$1,A:A,1)):D255, INDIRECT("A" &amp; MATCH(A255-$C$1,A:A,1)):A255),NA()))</f>
        <v>#N/A</v>
      </c>
      <c r="J255" s="418" t="e">
        <f>IF(ISBLANK(A255),NA(),IFERROR(A255+(PLAYER_EXP_MAX-D255)/I255,NA()))</f>
        <v>#N/A</v>
      </c>
      <c r="K255" s="466" t="e">
        <f t="shared" ca="1" si="16"/>
        <v>#N/A</v>
      </c>
      <c r="L255" s="405" t="e">
        <f t="shared" si="17"/>
        <v>#N/A</v>
      </c>
      <c r="M255" s="418" t="e">
        <f>IF(ISBLANK(A255),NA(),IFERROR(A255+(PLAYER_EXP_MAX-D255)/L255,NA()))</f>
        <v>#N/A</v>
      </c>
      <c r="N255" s="466" t="e">
        <f t="shared" ca="1" si="18"/>
        <v>#N/A</v>
      </c>
    </row>
    <row r="256" spans="4:14" ht="14.65" customHeight="1" x14ac:dyDescent="0.25">
      <c r="D256" s="466" t="str">
        <f t="shared" si="15"/>
        <v>-</v>
      </c>
      <c r="E256" s="399" t="str">
        <f>IF(ISBLANK(A256),"-",D256/PLAYER_EXP_MAX)</f>
        <v>-</v>
      </c>
      <c r="F256" s="405" t="e">
        <f ca="1">IF(ISBLANK(A256),NA(),IFERROR(SLOPE(INDIRECT("D" &amp; MATCH(A256-$B$1,A:A,1)):D256, INDIRECT("A" &amp; MATCH(A256-$B$1,A:A,1)):A256),NA()))</f>
        <v>#N/A</v>
      </c>
      <c r="G256" s="418" t="e">
        <f>IF(ISBLANK(A256),NA(),IFERROR(A256+(PLAYER_EXP_MAX-D256)/F256,NA()))</f>
        <v>#N/A</v>
      </c>
      <c r="H256" s="466" t="e">
        <f ca="1">IF(ISBLANK(#REF!),NA(),IFERROR(TEXT(TRUNC(G256-NOW()),"000") &amp; " D " &amp; TEXT(TRUNC(ABS(G256-NOW()-TRUNC(G256-NOW()))*24),"00") &amp; " H", NA()))</f>
        <v>#N/A</v>
      </c>
      <c r="I256" s="405" t="e">
        <f ca="1">IF(ISBLANK(A256),NA(),IFERROR(SLOPE(INDIRECT("D" &amp; MATCH(A256-$C$1,A:A,1)):D256, INDIRECT("A" &amp; MATCH(A256-$C$1,A:A,1)):A256),NA()))</f>
        <v>#N/A</v>
      </c>
      <c r="J256" s="418" t="e">
        <f>IF(ISBLANK(A256),NA(),IFERROR(A256+(PLAYER_EXP_MAX-D256)/I256,NA()))</f>
        <v>#N/A</v>
      </c>
      <c r="K256" s="466" t="e">
        <f t="shared" ca="1" si="16"/>
        <v>#N/A</v>
      </c>
      <c r="L256" s="405" t="e">
        <f t="shared" si="17"/>
        <v>#N/A</v>
      </c>
      <c r="M256" s="418" t="e">
        <f>IF(ISBLANK(A256),NA(),IFERROR(A256+(PLAYER_EXP_MAX-D256)/L256,NA()))</f>
        <v>#N/A</v>
      </c>
      <c r="N256" s="466" t="e">
        <f t="shared" ca="1" si="18"/>
        <v>#N/A</v>
      </c>
    </row>
    <row r="257" spans="4:14" ht="14.65" customHeight="1" x14ac:dyDescent="0.25">
      <c r="D257" s="466" t="str">
        <f t="shared" si="15"/>
        <v>-</v>
      </c>
      <c r="E257" s="399" t="str">
        <f>IF(ISBLANK(A257),"-",D257/PLAYER_EXP_MAX)</f>
        <v>-</v>
      </c>
      <c r="F257" s="405" t="e">
        <f ca="1">IF(ISBLANK(A257),NA(),IFERROR(SLOPE(INDIRECT("D" &amp; MATCH(A257-$B$1,A:A,1)):D257, INDIRECT("A" &amp; MATCH(A257-$B$1,A:A,1)):A257),NA()))</f>
        <v>#N/A</v>
      </c>
      <c r="G257" s="418" t="e">
        <f>IF(ISBLANK(A257),NA(),IFERROR(A257+(PLAYER_EXP_MAX-D257)/F257,NA()))</f>
        <v>#N/A</v>
      </c>
      <c r="H257" s="466" t="e">
        <f ca="1">IF(ISBLANK(#REF!),NA(),IFERROR(TEXT(TRUNC(G257-NOW()),"000") &amp; " D " &amp; TEXT(TRUNC(ABS(G257-NOW()-TRUNC(G257-NOW()))*24),"00") &amp; " H", NA()))</f>
        <v>#N/A</v>
      </c>
      <c r="I257" s="405" t="e">
        <f ca="1">IF(ISBLANK(A257),NA(),IFERROR(SLOPE(INDIRECT("D" &amp; MATCH(A257-$C$1,A:A,1)):D257, INDIRECT("A" &amp; MATCH(A257-$C$1,A:A,1)):A257),NA()))</f>
        <v>#N/A</v>
      </c>
      <c r="J257" s="418" t="e">
        <f>IF(ISBLANK(A257),NA(),IFERROR(A257+(PLAYER_EXP_MAX-D257)/I257,NA()))</f>
        <v>#N/A</v>
      </c>
      <c r="K257" s="466" t="e">
        <f t="shared" ca="1" si="16"/>
        <v>#N/A</v>
      </c>
      <c r="L257" s="405" t="e">
        <f t="shared" si="17"/>
        <v>#N/A</v>
      </c>
      <c r="M257" s="418" t="e">
        <f>IF(ISBLANK(A257),NA(),IFERROR(A257+(PLAYER_EXP_MAX-D257)/L257,NA()))</f>
        <v>#N/A</v>
      </c>
      <c r="N257" s="466" t="e">
        <f t="shared" ca="1" si="18"/>
        <v>#N/A</v>
      </c>
    </row>
    <row r="258" spans="4:14" ht="14.65" customHeight="1" x14ac:dyDescent="0.25">
      <c r="D258" s="466" t="str">
        <f t="shared" si="15"/>
        <v>-</v>
      </c>
      <c r="E258" s="399" t="str">
        <f>IF(ISBLANK(A258),"-",D258/PLAYER_EXP_MAX)</f>
        <v>-</v>
      </c>
      <c r="F258" s="405" t="e">
        <f ca="1">IF(ISBLANK(A258),NA(),IFERROR(SLOPE(INDIRECT("D" &amp; MATCH(A258-$B$1,A:A,1)):D258, INDIRECT("A" &amp; MATCH(A258-$B$1,A:A,1)):A258),NA()))</f>
        <v>#N/A</v>
      </c>
      <c r="G258" s="418" t="e">
        <f>IF(ISBLANK(A258),NA(),IFERROR(A258+(PLAYER_EXP_MAX-D258)/F258,NA()))</f>
        <v>#N/A</v>
      </c>
      <c r="H258" s="466" t="e">
        <f ca="1">IF(ISBLANK(#REF!),NA(),IFERROR(TEXT(TRUNC(G258-NOW()),"000") &amp; " D " &amp; TEXT(TRUNC(ABS(G258-NOW()-TRUNC(G258-NOW()))*24),"00") &amp; " H", NA()))</f>
        <v>#N/A</v>
      </c>
      <c r="I258" s="405" t="e">
        <f ca="1">IF(ISBLANK(A258),NA(),IFERROR(SLOPE(INDIRECT("D" &amp; MATCH(A258-$C$1,A:A,1)):D258, INDIRECT("A" &amp; MATCH(A258-$C$1,A:A,1)):A258),NA()))</f>
        <v>#N/A</v>
      </c>
      <c r="J258" s="418" t="e">
        <f>IF(ISBLANK(A258),NA(),IFERROR(A258+(PLAYER_EXP_MAX-D258)/I258,NA()))</f>
        <v>#N/A</v>
      </c>
      <c r="K258" s="466" t="e">
        <f t="shared" ca="1" si="16"/>
        <v>#N/A</v>
      </c>
      <c r="L258" s="405" t="e">
        <f t="shared" si="17"/>
        <v>#N/A</v>
      </c>
      <c r="M258" s="418" t="e">
        <f>IF(ISBLANK(A258),NA(),IFERROR(A258+(PLAYER_EXP_MAX-D258)/L258,NA()))</f>
        <v>#N/A</v>
      </c>
      <c r="N258" s="466" t="e">
        <f t="shared" ca="1" si="18"/>
        <v>#N/A</v>
      </c>
    </row>
    <row r="259" spans="4:14" ht="14.65" customHeight="1" x14ac:dyDescent="0.25">
      <c r="D259" s="466" t="str">
        <f t="shared" ref="D259:D322" si="19">IF(ISBLANK(A259),"-",INDEX(DATA_PLAYER_EXP, B259, 3) + INDEX(DATA_PLAYER_EXP, B259, 2) - C259)</f>
        <v>-</v>
      </c>
      <c r="E259" s="399" t="str">
        <f>IF(ISBLANK(A259),"-",D259/PLAYER_EXP_MAX)</f>
        <v>-</v>
      </c>
      <c r="F259" s="405" t="e">
        <f ca="1">IF(ISBLANK(A259),NA(),IFERROR(SLOPE(INDIRECT("D" &amp; MATCH(A259-$B$1,A:A,1)):D259, INDIRECT("A" &amp; MATCH(A259-$B$1,A:A,1)):A259),NA()))</f>
        <v>#N/A</v>
      </c>
      <c r="G259" s="418" t="e">
        <f>IF(ISBLANK(A259),NA(),IFERROR(A259+(PLAYER_EXP_MAX-D259)/F259,NA()))</f>
        <v>#N/A</v>
      </c>
      <c r="H259" s="466" t="e">
        <f ca="1">IF(ISBLANK(#REF!),NA(),IFERROR(TEXT(TRUNC(G259-NOW()),"000") &amp; " D " &amp; TEXT(TRUNC(ABS(G259-NOW()-TRUNC(G259-NOW()))*24),"00") &amp; " H", NA()))</f>
        <v>#N/A</v>
      </c>
      <c r="I259" s="405" t="e">
        <f ca="1">IF(ISBLANK(A259),NA(),IFERROR(SLOPE(INDIRECT("D" &amp; MATCH(A259-$C$1,A:A,1)):D259, INDIRECT("A" &amp; MATCH(A259-$C$1,A:A,1)):A259),NA()))</f>
        <v>#N/A</v>
      </c>
      <c r="J259" s="418" t="e">
        <f>IF(ISBLANK(A259),NA(),IFERROR(A259+(PLAYER_EXP_MAX-D259)/I259,NA()))</f>
        <v>#N/A</v>
      </c>
      <c r="K259" s="466" t="e">
        <f t="shared" ref="K259:K322" ca="1" si="20">IF(ISBLANK(A259),NA(),IFERROR(TEXT(TRUNC(J259-NOW()),"000") &amp; " D " &amp; TEXT(TRUNC(ABS(J259-NOW()-TRUNC(J259-NOW()))*24),"00") &amp; " H", NA()))</f>
        <v>#N/A</v>
      </c>
      <c r="L259" s="405" t="e">
        <f t="shared" ref="L259:L322" si="21">IFERROR(IF(OR(ISBLANK($A259),$A259-$A$3 &lt; $B$1),NA(),($D259-$D$3)/($A259-$A$3)),NA())</f>
        <v>#N/A</v>
      </c>
      <c r="M259" s="418" t="e">
        <f>IF(ISBLANK(A259),NA(),IFERROR(A259+(PLAYER_EXP_MAX-D259)/L259,NA()))</f>
        <v>#N/A</v>
      </c>
      <c r="N259" s="466" t="e">
        <f t="shared" ca="1" si="18"/>
        <v>#N/A</v>
      </c>
    </row>
    <row r="260" spans="4:14" ht="14.65" customHeight="1" x14ac:dyDescent="0.25">
      <c r="D260" s="466" t="str">
        <f t="shared" si="19"/>
        <v>-</v>
      </c>
      <c r="E260" s="399" t="str">
        <f>IF(ISBLANK(A260),"-",D260/PLAYER_EXP_MAX)</f>
        <v>-</v>
      </c>
      <c r="F260" s="405" t="e">
        <f ca="1">IF(ISBLANK(A260),NA(),IFERROR(SLOPE(INDIRECT("D" &amp; MATCH(A260-$B$1,A:A,1)):D260, INDIRECT("A" &amp; MATCH(A260-$B$1,A:A,1)):A260),NA()))</f>
        <v>#N/A</v>
      </c>
      <c r="G260" s="418" t="e">
        <f>IF(ISBLANK(A260),NA(),IFERROR(A260+(PLAYER_EXP_MAX-D260)/F260,NA()))</f>
        <v>#N/A</v>
      </c>
      <c r="H260" s="466" t="e">
        <f ca="1">IF(ISBLANK(#REF!),NA(),IFERROR(TEXT(TRUNC(G260-NOW()),"000") &amp; " D " &amp; TEXT(TRUNC(ABS(G260-NOW()-TRUNC(G260-NOW()))*24),"00") &amp; " H", NA()))</f>
        <v>#N/A</v>
      </c>
      <c r="I260" s="405" t="e">
        <f ca="1">IF(ISBLANK(A260),NA(),IFERROR(SLOPE(INDIRECT("D" &amp; MATCH(A260-$C$1,A:A,1)):D260, INDIRECT("A" &amp; MATCH(A260-$C$1,A:A,1)):A260),NA()))</f>
        <v>#N/A</v>
      </c>
      <c r="J260" s="418" t="e">
        <f>IF(ISBLANK(A260),NA(),IFERROR(A260+(PLAYER_EXP_MAX-D260)/I260,NA()))</f>
        <v>#N/A</v>
      </c>
      <c r="K260" s="466" t="e">
        <f t="shared" ca="1" si="20"/>
        <v>#N/A</v>
      </c>
      <c r="L260" s="405" t="e">
        <f t="shared" si="21"/>
        <v>#N/A</v>
      </c>
      <c r="M260" s="418" t="e">
        <f>IF(ISBLANK(A260),NA(),IFERROR(A260+(PLAYER_EXP_MAX-D260)/L260,NA()))</f>
        <v>#N/A</v>
      </c>
      <c r="N260" s="466" t="e">
        <f t="shared" ca="1" si="18"/>
        <v>#N/A</v>
      </c>
    </row>
    <row r="261" spans="4:14" ht="14.65" customHeight="1" x14ac:dyDescent="0.25">
      <c r="D261" s="466" t="str">
        <f t="shared" si="19"/>
        <v>-</v>
      </c>
      <c r="E261" s="399" t="str">
        <f>IF(ISBLANK(A261),"-",D261/PLAYER_EXP_MAX)</f>
        <v>-</v>
      </c>
      <c r="F261" s="405" t="e">
        <f ca="1">IF(ISBLANK(A261),NA(),IFERROR(SLOPE(INDIRECT("D" &amp; MATCH(A261-$B$1,A:A,1)):D261, INDIRECT("A" &amp; MATCH(A261-$B$1,A:A,1)):A261),NA()))</f>
        <v>#N/A</v>
      </c>
      <c r="G261" s="418" t="e">
        <f>IF(ISBLANK(A261),NA(),IFERROR(A261+(PLAYER_EXP_MAX-D261)/F261,NA()))</f>
        <v>#N/A</v>
      </c>
      <c r="H261" s="466" t="e">
        <f ca="1">IF(ISBLANK(#REF!),NA(),IFERROR(TEXT(TRUNC(G261-NOW()),"000") &amp; " D " &amp; TEXT(TRUNC(ABS(G261-NOW()-TRUNC(G261-NOW()))*24),"00") &amp; " H", NA()))</f>
        <v>#N/A</v>
      </c>
      <c r="I261" s="405" t="e">
        <f ca="1">IF(ISBLANK(A261),NA(),IFERROR(SLOPE(INDIRECT("D" &amp; MATCH(A261-$C$1,A:A,1)):D261, INDIRECT("A" &amp; MATCH(A261-$C$1,A:A,1)):A261),NA()))</f>
        <v>#N/A</v>
      </c>
      <c r="J261" s="418" t="e">
        <f>IF(ISBLANK(A261),NA(),IFERROR(A261+(PLAYER_EXP_MAX-D261)/I261,NA()))</f>
        <v>#N/A</v>
      </c>
      <c r="K261" s="466" t="e">
        <f t="shared" ca="1" si="20"/>
        <v>#N/A</v>
      </c>
      <c r="L261" s="405" t="e">
        <f t="shared" si="21"/>
        <v>#N/A</v>
      </c>
      <c r="M261" s="418" t="e">
        <f>IF(ISBLANK(A261),NA(),IFERROR(A261+(PLAYER_EXP_MAX-D261)/L261,NA()))</f>
        <v>#N/A</v>
      </c>
      <c r="N261" s="466" t="e">
        <f t="shared" ca="1" si="18"/>
        <v>#N/A</v>
      </c>
    </row>
    <row r="262" spans="4:14" ht="14.65" customHeight="1" x14ac:dyDescent="0.25">
      <c r="D262" s="466" t="str">
        <f t="shared" si="19"/>
        <v>-</v>
      </c>
      <c r="E262" s="399" t="str">
        <f>IF(ISBLANK(A262),"-",D262/PLAYER_EXP_MAX)</f>
        <v>-</v>
      </c>
      <c r="F262" s="405" t="e">
        <f ca="1">IF(ISBLANK(A262),NA(),IFERROR(SLOPE(INDIRECT("D" &amp; MATCH(A262-$B$1,A:A,1)):D262, INDIRECT("A" &amp; MATCH(A262-$B$1,A:A,1)):A262),NA()))</f>
        <v>#N/A</v>
      </c>
      <c r="G262" s="418" t="e">
        <f>IF(ISBLANK(A262),NA(),IFERROR(A262+(PLAYER_EXP_MAX-D262)/F262,NA()))</f>
        <v>#N/A</v>
      </c>
      <c r="H262" s="466" t="e">
        <f ca="1">IF(ISBLANK(#REF!),NA(),IFERROR(TEXT(TRUNC(G262-NOW()),"000") &amp; " D " &amp; TEXT(TRUNC(ABS(G262-NOW()-TRUNC(G262-NOW()))*24),"00") &amp; " H", NA()))</f>
        <v>#N/A</v>
      </c>
      <c r="I262" s="405" t="e">
        <f ca="1">IF(ISBLANK(A262),NA(),IFERROR(SLOPE(INDIRECT("D" &amp; MATCH(A262-$C$1,A:A,1)):D262, INDIRECT("A" &amp; MATCH(A262-$C$1,A:A,1)):A262),NA()))</f>
        <v>#N/A</v>
      </c>
      <c r="J262" s="418" t="e">
        <f>IF(ISBLANK(A262),NA(),IFERROR(A262+(PLAYER_EXP_MAX-D262)/I262,NA()))</f>
        <v>#N/A</v>
      </c>
      <c r="K262" s="466" t="e">
        <f t="shared" ca="1" si="20"/>
        <v>#N/A</v>
      </c>
      <c r="L262" s="405" t="e">
        <f t="shared" si="21"/>
        <v>#N/A</v>
      </c>
      <c r="M262" s="418" t="e">
        <f>IF(ISBLANK(A262),NA(),IFERROR(A262+(PLAYER_EXP_MAX-D262)/L262,NA()))</f>
        <v>#N/A</v>
      </c>
      <c r="N262" s="466" t="e">
        <f t="shared" ca="1" si="18"/>
        <v>#N/A</v>
      </c>
    </row>
    <row r="263" spans="4:14" ht="14.65" customHeight="1" x14ac:dyDescent="0.25">
      <c r="D263" s="466" t="str">
        <f t="shared" si="19"/>
        <v>-</v>
      </c>
      <c r="E263" s="399" t="str">
        <f>IF(ISBLANK(A263),"-",D263/PLAYER_EXP_MAX)</f>
        <v>-</v>
      </c>
      <c r="F263" s="405" t="e">
        <f ca="1">IF(ISBLANK(A263),NA(),IFERROR(SLOPE(INDIRECT("D" &amp; MATCH(A263-$B$1,A:A,1)):D263, INDIRECT("A" &amp; MATCH(A263-$B$1,A:A,1)):A263),NA()))</f>
        <v>#N/A</v>
      </c>
      <c r="G263" s="418" t="e">
        <f>IF(ISBLANK(A263),NA(),IFERROR(A263+(PLAYER_EXP_MAX-D263)/F263,NA()))</f>
        <v>#N/A</v>
      </c>
      <c r="H263" s="466" t="e">
        <f ca="1">IF(ISBLANK(#REF!),NA(),IFERROR(TEXT(TRUNC(G263-NOW()),"000") &amp; " D " &amp; TEXT(TRUNC(ABS(G263-NOW()-TRUNC(G263-NOW()))*24),"00") &amp; " H", NA()))</f>
        <v>#N/A</v>
      </c>
      <c r="I263" s="405" t="e">
        <f ca="1">IF(ISBLANK(A263),NA(),IFERROR(SLOPE(INDIRECT("D" &amp; MATCH(A263-$C$1,A:A,1)):D263, INDIRECT("A" &amp; MATCH(A263-$C$1,A:A,1)):A263),NA()))</f>
        <v>#N/A</v>
      </c>
      <c r="J263" s="418" t="e">
        <f>IF(ISBLANK(A263),NA(),IFERROR(A263+(PLAYER_EXP_MAX-D263)/I263,NA()))</f>
        <v>#N/A</v>
      </c>
      <c r="K263" s="466" t="e">
        <f t="shared" ca="1" si="20"/>
        <v>#N/A</v>
      </c>
      <c r="L263" s="405" t="e">
        <f t="shared" si="21"/>
        <v>#N/A</v>
      </c>
      <c r="M263" s="418" t="e">
        <f>IF(ISBLANK(A263),NA(),IFERROR(A263+(PLAYER_EXP_MAX-D263)/L263,NA()))</f>
        <v>#N/A</v>
      </c>
      <c r="N263" s="466" t="e">
        <f t="shared" ca="1" si="18"/>
        <v>#N/A</v>
      </c>
    </row>
    <row r="264" spans="4:14" ht="14.65" customHeight="1" x14ac:dyDescent="0.25">
      <c r="D264" s="466" t="str">
        <f t="shared" si="19"/>
        <v>-</v>
      </c>
      <c r="E264" s="399" t="str">
        <f>IF(ISBLANK(A264),"-",D264/PLAYER_EXP_MAX)</f>
        <v>-</v>
      </c>
      <c r="F264" s="405" t="e">
        <f ca="1">IF(ISBLANK(A264),NA(),IFERROR(SLOPE(INDIRECT("D" &amp; MATCH(A264-$B$1,A:A,1)):D264, INDIRECT("A" &amp; MATCH(A264-$B$1,A:A,1)):A264),NA()))</f>
        <v>#N/A</v>
      </c>
      <c r="G264" s="418" t="e">
        <f>IF(ISBLANK(A264),NA(),IFERROR(A264+(PLAYER_EXP_MAX-D264)/F264,NA()))</f>
        <v>#N/A</v>
      </c>
      <c r="H264" s="466" t="e">
        <f ca="1">IF(ISBLANK(#REF!),NA(),IFERROR(TEXT(TRUNC(G264-NOW()),"000") &amp; " D " &amp; TEXT(TRUNC(ABS(G264-NOW()-TRUNC(G264-NOW()))*24),"00") &amp; " H", NA()))</f>
        <v>#N/A</v>
      </c>
      <c r="I264" s="405" t="e">
        <f ca="1">IF(ISBLANK(A264),NA(),IFERROR(SLOPE(INDIRECT("D" &amp; MATCH(A264-$C$1,A:A,1)):D264, INDIRECT("A" &amp; MATCH(A264-$C$1,A:A,1)):A264),NA()))</f>
        <v>#N/A</v>
      </c>
      <c r="J264" s="418" t="e">
        <f>IF(ISBLANK(A264),NA(),IFERROR(A264+(PLAYER_EXP_MAX-D264)/I264,NA()))</f>
        <v>#N/A</v>
      </c>
      <c r="K264" s="466" t="e">
        <f t="shared" ca="1" si="20"/>
        <v>#N/A</v>
      </c>
      <c r="L264" s="405" t="e">
        <f t="shared" si="21"/>
        <v>#N/A</v>
      </c>
      <c r="M264" s="418" t="e">
        <f>IF(ISBLANK(A264),NA(),IFERROR(A264+(PLAYER_EXP_MAX-D264)/L264,NA()))</f>
        <v>#N/A</v>
      </c>
      <c r="N264" s="466" t="e">
        <f t="shared" ca="1" si="18"/>
        <v>#N/A</v>
      </c>
    </row>
    <row r="265" spans="4:14" ht="14.65" customHeight="1" x14ac:dyDescent="0.25">
      <c r="D265" s="466" t="str">
        <f t="shared" si="19"/>
        <v>-</v>
      </c>
      <c r="E265" s="399" t="str">
        <f>IF(ISBLANK(A265),"-",D265/PLAYER_EXP_MAX)</f>
        <v>-</v>
      </c>
      <c r="F265" s="405" t="e">
        <f ca="1">IF(ISBLANK(A265),NA(),IFERROR(SLOPE(INDIRECT("D" &amp; MATCH(A265-$B$1,A:A,1)):D265, INDIRECT("A" &amp; MATCH(A265-$B$1,A:A,1)):A265),NA()))</f>
        <v>#N/A</v>
      </c>
      <c r="G265" s="418" t="e">
        <f>IF(ISBLANK(A265),NA(),IFERROR(A265+(PLAYER_EXP_MAX-D265)/F265,NA()))</f>
        <v>#N/A</v>
      </c>
      <c r="H265" s="466" t="e">
        <f ca="1">IF(ISBLANK(#REF!),NA(),IFERROR(TEXT(TRUNC(G265-NOW()),"000") &amp; " D " &amp; TEXT(TRUNC(ABS(G265-NOW()-TRUNC(G265-NOW()))*24),"00") &amp; " H", NA()))</f>
        <v>#N/A</v>
      </c>
      <c r="I265" s="405" t="e">
        <f ca="1">IF(ISBLANK(A265),NA(),IFERROR(SLOPE(INDIRECT("D" &amp; MATCH(A265-$C$1,A:A,1)):D265, INDIRECT("A" &amp; MATCH(A265-$C$1,A:A,1)):A265),NA()))</f>
        <v>#N/A</v>
      </c>
      <c r="J265" s="418" t="e">
        <f>IF(ISBLANK(A265),NA(),IFERROR(A265+(PLAYER_EXP_MAX-D265)/I265,NA()))</f>
        <v>#N/A</v>
      </c>
      <c r="K265" s="466" t="e">
        <f t="shared" ca="1" si="20"/>
        <v>#N/A</v>
      </c>
      <c r="L265" s="405" t="e">
        <f t="shared" si="21"/>
        <v>#N/A</v>
      </c>
      <c r="M265" s="418" t="e">
        <f>IF(ISBLANK(A265),NA(),IFERROR(A265+(PLAYER_EXP_MAX-D265)/L265,NA()))</f>
        <v>#N/A</v>
      </c>
      <c r="N265" s="466" t="e">
        <f t="shared" ca="1" si="18"/>
        <v>#N/A</v>
      </c>
    </row>
    <row r="266" spans="4:14" ht="14.65" customHeight="1" x14ac:dyDescent="0.25">
      <c r="D266" s="466" t="str">
        <f t="shared" si="19"/>
        <v>-</v>
      </c>
      <c r="E266" s="399" t="str">
        <f>IF(ISBLANK(A266),"-",D266/PLAYER_EXP_MAX)</f>
        <v>-</v>
      </c>
      <c r="F266" s="405" t="e">
        <f ca="1">IF(ISBLANK(A266),NA(),IFERROR(SLOPE(INDIRECT("D" &amp; MATCH(A266-$B$1,A:A,1)):D266, INDIRECT("A" &amp; MATCH(A266-$B$1,A:A,1)):A266),NA()))</f>
        <v>#N/A</v>
      </c>
      <c r="G266" s="418" t="e">
        <f>IF(ISBLANK(A266),NA(),IFERROR(A266+(PLAYER_EXP_MAX-D266)/F266,NA()))</f>
        <v>#N/A</v>
      </c>
      <c r="H266" s="466" t="e">
        <f ca="1">IF(ISBLANK(#REF!),NA(),IFERROR(TEXT(TRUNC(G266-NOW()),"000") &amp; " D " &amp; TEXT(TRUNC(ABS(G266-NOW()-TRUNC(G266-NOW()))*24),"00") &amp; " H", NA()))</f>
        <v>#N/A</v>
      </c>
      <c r="I266" s="405" t="e">
        <f ca="1">IF(ISBLANK(A266),NA(),IFERROR(SLOPE(INDIRECT("D" &amp; MATCH(A266-$C$1,A:A,1)):D266, INDIRECT("A" &amp; MATCH(A266-$C$1,A:A,1)):A266),NA()))</f>
        <v>#N/A</v>
      </c>
      <c r="J266" s="418" t="e">
        <f>IF(ISBLANK(A266),NA(),IFERROR(A266+(PLAYER_EXP_MAX-D266)/I266,NA()))</f>
        <v>#N/A</v>
      </c>
      <c r="K266" s="466" t="e">
        <f t="shared" ca="1" si="20"/>
        <v>#N/A</v>
      </c>
      <c r="L266" s="405" t="e">
        <f t="shared" si="21"/>
        <v>#N/A</v>
      </c>
      <c r="M266" s="418" t="e">
        <f>IF(ISBLANK(A266),NA(),IFERROR(A266+(PLAYER_EXP_MAX-D266)/L266,NA()))</f>
        <v>#N/A</v>
      </c>
      <c r="N266" s="466" t="e">
        <f t="shared" ca="1" si="18"/>
        <v>#N/A</v>
      </c>
    </row>
    <row r="267" spans="4:14" ht="14.65" customHeight="1" x14ac:dyDescent="0.25">
      <c r="D267" s="466" t="str">
        <f t="shared" si="19"/>
        <v>-</v>
      </c>
      <c r="E267" s="399" t="str">
        <f>IF(ISBLANK(A267),"-",D267/PLAYER_EXP_MAX)</f>
        <v>-</v>
      </c>
      <c r="F267" s="405" t="e">
        <f ca="1">IF(ISBLANK(A267),NA(),IFERROR(SLOPE(INDIRECT("D" &amp; MATCH(A267-$B$1,A:A,1)):D267, INDIRECT("A" &amp; MATCH(A267-$B$1,A:A,1)):A267),NA()))</f>
        <v>#N/A</v>
      </c>
      <c r="G267" s="418" t="e">
        <f>IF(ISBLANK(A267),NA(),IFERROR(A267+(PLAYER_EXP_MAX-D267)/F267,NA()))</f>
        <v>#N/A</v>
      </c>
      <c r="H267" s="466" t="e">
        <f ca="1">IF(ISBLANK(#REF!),NA(),IFERROR(TEXT(TRUNC(G267-NOW()),"000") &amp; " D " &amp; TEXT(TRUNC(ABS(G267-NOW()-TRUNC(G267-NOW()))*24),"00") &amp; " H", NA()))</f>
        <v>#N/A</v>
      </c>
      <c r="I267" s="405" t="e">
        <f ca="1">IF(ISBLANK(A267),NA(),IFERROR(SLOPE(INDIRECT("D" &amp; MATCH(A267-$C$1,A:A,1)):D267, INDIRECT("A" &amp; MATCH(A267-$C$1,A:A,1)):A267),NA()))</f>
        <v>#N/A</v>
      </c>
      <c r="J267" s="418" t="e">
        <f>IF(ISBLANK(A267),NA(),IFERROR(A267+(PLAYER_EXP_MAX-D267)/I267,NA()))</f>
        <v>#N/A</v>
      </c>
      <c r="K267" s="466" t="e">
        <f t="shared" ca="1" si="20"/>
        <v>#N/A</v>
      </c>
      <c r="L267" s="405" t="e">
        <f t="shared" si="21"/>
        <v>#N/A</v>
      </c>
      <c r="M267" s="418" t="e">
        <f>IF(ISBLANK(A267),NA(),IFERROR(A267+(PLAYER_EXP_MAX-D267)/L267,NA()))</f>
        <v>#N/A</v>
      </c>
      <c r="N267" s="466" t="e">
        <f t="shared" ca="1" si="18"/>
        <v>#N/A</v>
      </c>
    </row>
    <row r="268" spans="4:14" ht="14.65" customHeight="1" x14ac:dyDescent="0.25">
      <c r="D268" s="466" t="str">
        <f t="shared" si="19"/>
        <v>-</v>
      </c>
      <c r="E268" s="399" t="str">
        <f>IF(ISBLANK(A268),"-",D268/PLAYER_EXP_MAX)</f>
        <v>-</v>
      </c>
      <c r="F268" s="405" t="e">
        <f ca="1">IF(ISBLANK(A268),NA(),IFERROR(SLOPE(INDIRECT("D" &amp; MATCH(A268-$B$1,A:A,1)):D268, INDIRECT("A" &amp; MATCH(A268-$B$1,A:A,1)):A268),NA()))</f>
        <v>#N/A</v>
      </c>
      <c r="G268" s="418" t="e">
        <f>IF(ISBLANK(A268),NA(),IFERROR(A268+(PLAYER_EXP_MAX-D268)/F268,NA()))</f>
        <v>#N/A</v>
      </c>
      <c r="H268" s="466" t="e">
        <f ca="1">IF(ISBLANK(#REF!),NA(),IFERROR(TEXT(TRUNC(G268-NOW()),"000") &amp; " D " &amp; TEXT(TRUNC(ABS(G268-NOW()-TRUNC(G268-NOW()))*24),"00") &amp; " H", NA()))</f>
        <v>#N/A</v>
      </c>
      <c r="I268" s="405" t="e">
        <f ca="1">IF(ISBLANK(A268),NA(),IFERROR(SLOPE(INDIRECT("D" &amp; MATCH(A268-$C$1,A:A,1)):D268, INDIRECT("A" &amp; MATCH(A268-$C$1,A:A,1)):A268),NA()))</f>
        <v>#N/A</v>
      </c>
      <c r="J268" s="418" t="e">
        <f>IF(ISBLANK(A268),NA(),IFERROR(A268+(PLAYER_EXP_MAX-D268)/I268,NA()))</f>
        <v>#N/A</v>
      </c>
      <c r="K268" s="466" t="e">
        <f t="shared" ca="1" si="20"/>
        <v>#N/A</v>
      </c>
      <c r="L268" s="405" t="e">
        <f t="shared" si="21"/>
        <v>#N/A</v>
      </c>
      <c r="M268" s="418" t="e">
        <f>IF(ISBLANK(A268),NA(),IFERROR(A268+(PLAYER_EXP_MAX-D268)/L268,NA()))</f>
        <v>#N/A</v>
      </c>
      <c r="N268" s="466" t="e">
        <f t="shared" ca="1" si="18"/>
        <v>#N/A</v>
      </c>
    </row>
    <row r="269" spans="4:14" ht="14.65" customHeight="1" x14ac:dyDescent="0.25">
      <c r="D269" s="466" t="str">
        <f t="shared" si="19"/>
        <v>-</v>
      </c>
      <c r="E269" s="399" t="str">
        <f>IF(ISBLANK(A269),"-",D269/PLAYER_EXP_MAX)</f>
        <v>-</v>
      </c>
      <c r="F269" s="405" t="e">
        <f ca="1">IF(ISBLANK(A269),NA(),IFERROR(SLOPE(INDIRECT("D" &amp; MATCH(A269-$B$1,A:A,1)):D269, INDIRECT("A" &amp; MATCH(A269-$B$1,A:A,1)):A269),NA()))</f>
        <v>#N/A</v>
      </c>
      <c r="G269" s="418" t="e">
        <f>IF(ISBLANK(A269),NA(),IFERROR(A269+(PLAYER_EXP_MAX-D269)/F269,NA()))</f>
        <v>#N/A</v>
      </c>
      <c r="H269" s="466" t="e">
        <f ca="1">IF(ISBLANK(#REF!),NA(),IFERROR(TEXT(TRUNC(G269-NOW()),"000") &amp; " D " &amp; TEXT(TRUNC(ABS(G269-NOW()-TRUNC(G269-NOW()))*24),"00") &amp; " H", NA()))</f>
        <v>#N/A</v>
      </c>
      <c r="I269" s="405" t="e">
        <f ca="1">IF(ISBLANK(A269),NA(),IFERROR(SLOPE(INDIRECT("D" &amp; MATCH(A269-$C$1,A:A,1)):D269, INDIRECT("A" &amp; MATCH(A269-$C$1,A:A,1)):A269),NA()))</f>
        <v>#N/A</v>
      </c>
      <c r="J269" s="418" t="e">
        <f>IF(ISBLANK(A269),NA(),IFERROR(A269+(PLAYER_EXP_MAX-D269)/I269,NA()))</f>
        <v>#N/A</v>
      </c>
      <c r="K269" s="466" t="e">
        <f t="shared" ca="1" si="20"/>
        <v>#N/A</v>
      </c>
      <c r="L269" s="405" t="e">
        <f t="shared" si="21"/>
        <v>#N/A</v>
      </c>
      <c r="M269" s="418" t="e">
        <f>IF(ISBLANK(A269),NA(),IFERROR(A269+(PLAYER_EXP_MAX-D269)/L269,NA()))</f>
        <v>#N/A</v>
      </c>
      <c r="N269" s="466" t="e">
        <f t="shared" ca="1" si="18"/>
        <v>#N/A</v>
      </c>
    </row>
    <row r="270" spans="4:14" ht="14.65" customHeight="1" x14ac:dyDescent="0.25">
      <c r="D270" s="466" t="str">
        <f t="shared" si="19"/>
        <v>-</v>
      </c>
      <c r="E270" s="399" t="str">
        <f>IF(ISBLANK(A270),"-",D270/PLAYER_EXP_MAX)</f>
        <v>-</v>
      </c>
      <c r="F270" s="405" t="e">
        <f ca="1">IF(ISBLANK(A270),NA(),IFERROR(SLOPE(INDIRECT("D" &amp; MATCH(A270-$B$1,A:A,1)):D270, INDIRECT("A" &amp; MATCH(A270-$B$1,A:A,1)):A270),NA()))</f>
        <v>#N/A</v>
      </c>
      <c r="G270" s="418" t="e">
        <f>IF(ISBLANK(A270),NA(),IFERROR(A270+(PLAYER_EXP_MAX-D270)/F270,NA()))</f>
        <v>#N/A</v>
      </c>
      <c r="H270" s="466" t="e">
        <f ca="1">IF(ISBLANK(#REF!),NA(),IFERROR(TEXT(TRUNC(G270-NOW()),"000") &amp; " D " &amp; TEXT(TRUNC(ABS(G270-NOW()-TRUNC(G270-NOW()))*24),"00") &amp; " H", NA()))</f>
        <v>#N/A</v>
      </c>
      <c r="I270" s="405" t="e">
        <f ca="1">IF(ISBLANK(A270),NA(),IFERROR(SLOPE(INDIRECT("D" &amp; MATCH(A270-$C$1,A:A,1)):D270, INDIRECT("A" &amp; MATCH(A270-$C$1,A:A,1)):A270),NA()))</f>
        <v>#N/A</v>
      </c>
      <c r="J270" s="418" t="e">
        <f>IF(ISBLANK(A270),NA(),IFERROR(A270+(PLAYER_EXP_MAX-D270)/I270,NA()))</f>
        <v>#N/A</v>
      </c>
      <c r="K270" s="466" t="e">
        <f t="shared" ca="1" si="20"/>
        <v>#N/A</v>
      </c>
      <c r="L270" s="405" t="e">
        <f t="shared" si="21"/>
        <v>#N/A</v>
      </c>
      <c r="M270" s="418" t="e">
        <f>IF(ISBLANK(A270),NA(),IFERROR(A270+(PLAYER_EXP_MAX-D270)/L270,NA()))</f>
        <v>#N/A</v>
      </c>
      <c r="N270" s="466" t="e">
        <f t="shared" ca="1" si="18"/>
        <v>#N/A</v>
      </c>
    </row>
    <row r="271" spans="4:14" ht="14.65" customHeight="1" x14ac:dyDescent="0.25">
      <c r="D271" s="466" t="str">
        <f t="shared" si="19"/>
        <v>-</v>
      </c>
      <c r="E271" s="399" t="str">
        <f>IF(ISBLANK(A271),"-",D271/PLAYER_EXP_MAX)</f>
        <v>-</v>
      </c>
      <c r="F271" s="405" t="e">
        <f ca="1">IF(ISBLANK(A271),NA(),IFERROR(SLOPE(INDIRECT("D" &amp; MATCH(A271-$B$1,A:A,1)):D271, INDIRECT("A" &amp; MATCH(A271-$B$1,A:A,1)):A271),NA()))</f>
        <v>#N/A</v>
      </c>
      <c r="G271" s="418" t="e">
        <f>IF(ISBLANK(A271),NA(),IFERROR(A271+(PLAYER_EXP_MAX-D271)/F271,NA()))</f>
        <v>#N/A</v>
      </c>
      <c r="H271" s="466" t="e">
        <f ca="1">IF(ISBLANK(#REF!),NA(),IFERROR(TEXT(TRUNC(G271-NOW()),"000") &amp; " D " &amp; TEXT(TRUNC(ABS(G271-NOW()-TRUNC(G271-NOW()))*24),"00") &amp; " H", NA()))</f>
        <v>#N/A</v>
      </c>
      <c r="I271" s="405" t="e">
        <f ca="1">IF(ISBLANK(A271),NA(),IFERROR(SLOPE(INDIRECT("D" &amp; MATCH(A271-$C$1,A:A,1)):D271, INDIRECT("A" &amp; MATCH(A271-$C$1,A:A,1)):A271),NA()))</f>
        <v>#N/A</v>
      </c>
      <c r="J271" s="418" t="e">
        <f>IF(ISBLANK(A271),NA(),IFERROR(A271+(PLAYER_EXP_MAX-D271)/I271,NA()))</f>
        <v>#N/A</v>
      </c>
      <c r="K271" s="466" t="e">
        <f t="shared" ca="1" si="20"/>
        <v>#N/A</v>
      </c>
      <c r="L271" s="405" t="e">
        <f t="shared" si="21"/>
        <v>#N/A</v>
      </c>
      <c r="M271" s="418" t="e">
        <f>IF(ISBLANK(A271),NA(),IFERROR(A271+(PLAYER_EXP_MAX-D271)/L271,NA()))</f>
        <v>#N/A</v>
      </c>
      <c r="N271" s="466" t="e">
        <f t="shared" ca="1" si="18"/>
        <v>#N/A</v>
      </c>
    </row>
    <row r="272" spans="4:14" ht="14.65" customHeight="1" x14ac:dyDescent="0.25">
      <c r="D272" s="466" t="str">
        <f t="shared" si="19"/>
        <v>-</v>
      </c>
      <c r="E272" s="399" t="str">
        <f>IF(ISBLANK(A272),"-",D272/PLAYER_EXP_MAX)</f>
        <v>-</v>
      </c>
      <c r="F272" s="405" t="e">
        <f ca="1">IF(ISBLANK(A272),NA(),IFERROR(SLOPE(INDIRECT("D" &amp; MATCH(A272-$B$1,A:A,1)):D272, INDIRECT("A" &amp; MATCH(A272-$B$1,A:A,1)):A272),NA()))</f>
        <v>#N/A</v>
      </c>
      <c r="G272" s="418" t="e">
        <f>IF(ISBLANK(A272),NA(),IFERROR(A272+(PLAYER_EXP_MAX-D272)/F272,NA()))</f>
        <v>#N/A</v>
      </c>
      <c r="H272" s="466" t="e">
        <f ca="1">IF(ISBLANK(#REF!),NA(),IFERROR(TEXT(TRUNC(G272-NOW()),"000") &amp; " D " &amp; TEXT(TRUNC(ABS(G272-NOW()-TRUNC(G272-NOW()))*24),"00") &amp; " H", NA()))</f>
        <v>#N/A</v>
      </c>
      <c r="I272" s="405" t="e">
        <f ca="1">IF(ISBLANK(A272),NA(),IFERROR(SLOPE(INDIRECT("D" &amp; MATCH(A272-$C$1,A:A,1)):D272, INDIRECT("A" &amp; MATCH(A272-$C$1,A:A,1)):A272),NA()))</f>
        <v>#N/A</v>
      </c>
      <c r="J272" s="418" t="e">
        <f>IF(ISBLANK(A272),NA(),IFERROR(A272+(PLAYER_EXP_MAX-D272)/I272,NA()))</f>
        <v>#N/A</v>
      </c>
      <c r="K272" s="466" t="e">
        <f t="shared" ca="1" si="20"/>
        <v>#N/A</v>
      </c>
      <c r="L272" s="405" t="e">
        <f t="shared" si="21"/>
        <v>#N/A</v>
      </c>
      <c r="M272" s="418" t="e">
        <f>IF(ISBLANK(A272),NA(),IFERROR(A272+(PLAYER_EXP_MAX-D272)/L272,NA()))</f>
        <v>#N/A</v>
      </c>
      <c r="N272" s="466" t="e">
        <f t="shared" ca="1" si="18"/>
        <v>#N/A</v>
      </c>
    </row>
    <row r="273" spans="4:14" ht="14.65" customHeight="1" x14ac:dyDescent="0.25">
      <c r="D273" s="466" t="str">
        <f t="shared" si="19"/>
        <v>-</v>
      </c>
      <c r="E273" s="399" t="str">
        <f>IF(ISBLANK(A273),"-",D273/PLAYER_EXP_MAX)</f>
        <v>-</v>
      </c>
      <c r="F273" s="405" t="e">
        <f ca="1">IF(ISBLANK(A273),NA(),IFERROR(SLOPE(INDIRECT("D" &amp; MATCH(A273-$B$1,A:A,1)):D273, INDIRECT("A" &amp; MATCH(A273-$B$1,A:A,1)):A273),NA()))</f>
        <v>#N/A</v>
      </c>
      <c r="G273" s="418" t="e">
        <f>IF(ISBLANK(A273),NA(),IFERROR(A273+(PLAYER_EXP_MAX-D273)/F273,NA()))</f>
        <v>#N/A</v>
      </c>
      <c r="H273" s="466" t="e">
        <f ca="1">IF(ISBLANK(#REF!),NA(),IFERROR(TEXT(TRUNC(G273-NOW()),"000") &amp; " D " &amp; TEXT(TRUNC(ABS(G273-NOW()-TRUNC(G273-NOW()))*24),"00") &amp; " H", NA()))</f>
        <v>#N/A</v>
      </c>
      <c r="I273" s="405" t="e">
        <f ca="1">IF(ISBLANK(A273),NA(),IFERROR(SLOPE(INDIRECT("D" &amp; MATCH(A273-$C$1,A:A,1)):D273, INDIRECT("A" &amp; MATCH(A273-$C$1,A:A,1)):A273),NA()))</f>
        <v>#N/A</v>
      </c>
      <c r="J273" s="418" t="e">
        <f>IF(ISBLANK(A273),NA(),IFERROR(A273+(PLAYER_EXP_MAX-D273)/I273,NA()))</f>
        <v>#N/A</v>
      </c>
      <c r="K273" s="466" t="e">
        <f t="shared" ca="1" si="20"/>
        <v>#N/A</v>
      </c>
      <c r="L273" s="405" t="e">
        <f t="shared" si="21"/>
        <v>#N/A</v>
      </c>
      <c r="M273" s="418" t="e">
        <f>IF(ISBLANK(A273),NA(),IFERROR(A273+(PLAYER_EXP_MAX-D273)/L273,NA()))</f>
        <v>#N/A</v>
      </c>
      <c r="N273" s="466" t="e">
        <f t="shared" ca="1" si="18"/>
        <v>#N/A</v>
      </c>
    </row>
    <row r="274" spans="4:14" ht="14.65" customHeight="1" x14ac:dyDescent="0.25">
      <c r="D274" s="466" t="str">
        <f t="shared" si="19"/>
        <v>-</v>
      </c>
      <c r="E274" s="399" t="str">
        <f>IF(ISBLANK(A274),"-",D274/PLAYER_EXP_MAX)</f>
        <v>-</v>
      </c>
      <c r="F274" s="405" t="e">
        <f ca="1">IF(ISBLANK(A274),NA(),IFERROR(SLOPE(INDIRECT("D" &amp; MATCH(A274-$B$1,A:A,1)):D274, INDIRECT("A" &amp; MATCH(A274-$B$1,A:A,1)):A274),NA()))</f>
        <v>#N/A</v>
      </c>
      <c r="G274" s="418" t="e">
        <f>IF(ISBLANK(A274),NA(),IFERROR(A274+(PLAYER_EXP_MAX-D274)/F274,NA()))</f>
        <v>#N/A</v>
      </c>
      <c r="H274" s="466" t="e">
        <f ca="1">IF(ISBLANK(#REF!),NA(),IFERROR(TEXT(TRUNC(G274-NOW()),"000") &amp; " D " &amp; TEXT(TRUNC(ABS(G274-NOW()-TRUNC(G274-NOW()))*24),"00") &amp; " H", NA()))</f>
        <v>#N/A</v>
      </c>
      <c r="I274" s="405" t="e">
        <f ca="1">IF(ISBLANK(A274),NA(),IFERROR(SLOPE(INDIRECT("D" &amp; MATCH(A274-$C$1,A:A,1)):D274, INDIRECT("A" &amp; MATCH(A274-$C$1,A:A,1)):A274),NA()))</f>
        <v>#N/A</v>
      </c>
      <c r="J274" s="418" t="e">
        <f>IF(ISBLANK(A274),NA(),IFERROR(A274+(PLAYER_EXP_MAX-D274)/I274,NA()))</f>
        <v>#N/A</v>
      </c>
      <c r="K274" s="466" t="e">
        <f t="shared" ca="1" si="20"/>
        <v>#N/A</v>
      </c>
      <c r="L274" s="405" t="e">
        <f t="shared" si="21"/>
        <v>#N/A</v>
      </c>
      <c r="M274" s="418" t="e">
        <f>IF(ISBLANK(A274),NA(),IFERROR(A274+(PLAYER_EXP_MAX-D274)/L274,NA()))</f>
        <v>#N/A</v>
      </c>
      <c r="N274" s="466" t="e">
        <f t="shared" ca="1" si="18"/>
        <v>#N/A</v>
      </c>
    </row>
    <row r="275" spans="4:14" ht="14.65" customHeight="1" x14ac:dyDescent="0.25">
      <c r="D275" s="466" t="str">
        <f t="shared" si="19"/>
        <v>-</v>
      </c>
      <c r="E275" s="399" t="str">
        <f>IF(ISBLANK(A275),"-",D275/PLAYER_EXP_MAX)</f>
        <v>-</v>
      </c>
      <c r="F275" s="405" t="e">
        <f ca="1">IF(ISBLANK(A275),NA(),IFERROR(SLOPE(INDIRECT("D" &amp; MATCH(A275-$B$1,A:A,1)):D275, INDIRECT("A" &amp; MATCH(A275-$B$1,A:A,1)):A275),NA()))</f>
        <v>#N/A</v>
      </c>
      <c r="G275" s="418" t="e">
        <f>IF(ISBLANK(A275),NA(),IFERROR(A275+(PLAYER_EXP_MAX-D275)/F275,NA()))</f>
        <v>#N/A</v>
      </c>
      <c r="H275" s="466" t="e">
        <f ca="1">IF(ISBLANK(#REF!),NA(),IFERROR(TEXT(TRUNC(G275-NOW()),"000") &amp; " D " &amp; TEXT(TRUNC(ABS(G275-NOW()-TRUNC(G275-NOW()))*24),"00") &amp; " H", NA()))</f>
        <v>#N/A</v>
      </c>
      <c r="I275" s="405" t="e">
        <f ca="1">IF(ISBLANK(A275),NA(),IFERROR(SLOPE(INDIRECT("D" &amp; MATCH(A275-$C$1,A:A,1)):D275, INDIRECT("A" &amp; MATCH(A275-$C$1,A:A,1)):A275),NA()))</f>
        <v>#N/A</v>
      </c>
      <c r="J275" s="418" t="e">
        <f>IF(ISBLANK(A275),NA(),IFERROR(A275+(PLAYER_EXP_MAX-D275)/I275,NA()))</f>
        <v>#N/A</v>
      </c>
      <c r="K275" s="466" t="e">
        <f t="shared" ca="1" si="20"/>
        <v>#N/A</v>
      </c>
      <c r="L275" s="405" t="e">
        <f t="shared" si="21"/>
        <v>#N/A</v>
      </c>
      <c r="M275" s="418" t="e">
        <f>IF(ISBLANK(A275),NA(),IFERROR(A275+(PLAYER_EXP_MAX-D275)/L275,NA()))</f>
        <v>#N/A</v>
      </c>
      <c r="N275" s="466" t="e">
        <f t="shared" ca="1" si="18"/>
        <v>#N/A</v>
      </c>
    </row>
    <row r="276" spans="4:14" ht="14.65" customHeight="1" x14ac:dyDescent="0.25">
      <c r="D276" s="466" t="str">
        <f t="shared" si="19"/>
        <v>-</v>
      </c>
      <c r="E276" s="399" t="str">
        <f>IF(ISBLANK(A276),"-",D276/PLAYER_EXP_MAX)</f>
        <v>-</v>
      </c>
      <c r="F276" s="405" t="e">
        <f ca="1">IF(ISBLANK(A276),NA(),IFERROR(SLOPE(INDIRECT("D" &amp; MATCH(A276-$B$1,A:A,1)):D276, INDIRECT("A" &amp; MATCH(A276-$B$1,A:A,1)):A276),NA()))</f>
        <v>#N/A</v>
      </c>
      <c r="G276" s="418" t="e">
        <f>IF(ISBLANK(A276),NA(),IFERROR(A276+(PLAYER_EXP_MAX-D276)/F276,NA()))</f>
        <v>#N/A</v>
      </c>
      <c r="H276" s="466" t="e">
        <f ca="1">IF(ISBLANK(#REF!),NA(),IFERROR(TEXT(TRUNC(G276-NOW()),"000") &amp; " D " &amp; TEXT(TRUNC(ABS(G276-NOW()-TRUNC(G276-NOW()))*24),"00") &amp; " H", NA()))</f>
        <v>#N/A</v>
      </c>
      <c r="I276" s="405" t="e">
        <f ca="1">IF(ISBLANK(A276),NA(),IFERROR(SLOPE(INDIRECT("D" &amp; MATCH(A276-$C$1,A:A,1)):D276, INDIRECT("A" &amp; MATCH(A276-$C$1,A:A,1)):A276),NA()))</f>
        <v>#N/A</v>
      </c>
      <c r="J276" s="418" t="e">
        <f>IF(ISBLANK(A276),NA(),IFERROR(A276+(PLAYER_EXP_MAX-D276)/I276,NA()))</f>
        <v>#N/A</v>
      </c>
      <c r="K276" s="466" t="e">
        <f t="shared" ca="1" si="20"/>
        <v>#N/A</v>
      </c>
      <c r="L276" s="405" t="e">
        <f t="shared" si="21"/>
        <v>#N/A</v>
      </c>
      <c r="M276" s="418" t="e">
        <f>IF(ISBLANK(A276),NA(),IFERROR(A276+(PLAYER_EXP_MAX-D276)/L276,NA()))</f>
        <v>#N/A</v>
      </c>
      <c r="N276" s="466" t="e">
        <f t="shared" ref="N276:N339" ca="1" si="22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466" t="str">
        <f t="shared" si="19"/>
        <v>-</v>
      </c>
      <c r="E277" s="399" t="str">
        <f>IF(ISBLANK(A277),"-",D277/PLAYER_EXP_MAX)</f>
        <v>-</v>
      </c>
      <c r="F277" s="405" t="e">
        <f ca="1">IF(ISBLANK(A277),NA(),IFERROR(SLOPE(INDIRECT("D" &amp; MATCH(A277-$B$1,A:A,1)):D277, INDIRECT("A" &amp; MATCH(A277-$B$1,A:A,1)):A277),NA()))</f>
        <v>#N/A</v>
      </c>
      <c r="G277" s="418" t="e">
        <f>IF(ISBLANK(A277),NA(),IFERROR(A277+(PLAYER_EXP_MAX-D277)/F277,NA()))</f>
        <v>#N/A</v>
      </c>
      <c r="H277" s="466" t="e">
        <f ca="1">IF(ISBLANK(#REF!),NA(),IFERROR(TEXT(TRUNC(G277-NOW()),"000") &amp; " D " &amp; TEXT(TRUNC(ABS(G277-NOW()-TRUNC(G277-NOW()))*24),"00") &amp; " H", NA()))</f>
        <v>#N/A</v>
      </c>
      <c r="I277" s="405" t="e">
        <f ca="1">IF(ISBLANK(A277),NA(),IFERROR(SLOPE(INDIRECT("D" &amp; MATCH(A277-$C$1,A:A,1)):D277, INDIRECT("A" &amp; MATCH(A277-$C$1,A:A,1)):A277),NA()))</f>
        <v>#N/A</v>
      </c>
      <c r="J277" s="418" t="e">
        <f>IF(ISBLANK(A277),NA(),IFERROR(A277+(PLAYER_EXP_MAX-D277)/I277,NA()))</f>
        <v>#N/A</v>
      </c>
      <c r="K277" s="466" t="e">
        <f t="shared" ca="1" si="20"/>
        <v>#N/A</v>
      </c>
      <c r="L277" s="405" t="e">
        <f t="shared" si="21"/>
        <v>#N/A</v>
      </c>
      <c r="M277" s="418" t="e">
        <f>IF(ISBLANK(A277),NA(),IFERROR(A277+(PLAYER_EXP_MAX-D277)/L277,NA()))</f>
        <v>#N/A</v>
      </c>
      <c r="N277" s="466" t="e">
        <f t="shared" ca="1" si="22"/>
        <v>#N/A</v>
      </c>
    </row>
    <row r="278" spans="4:14" ht="14.65" customHeight="1" x14ac:dyDescent="0.25">
      <c r="D278" s="466" t="str">
        <f t="shared" si="19"/>
        <v>-</v>
      </c>
      <c r="E278" s="399" t="str">
        <f>IF(ISBLANK(A278),"-",D278/PLAYER_EXP_MAX)</f>
        <v>-</v>
      </c>
      <c r="F278" s="405" t="e">
        <f ca="1">IF(ISBLANK(A278),NA(),IFERROR(SLOPE(INDIRECT("D" &amp; MATCH(A278-$B$1,A:A,1)):D278, INDIRECT("A" &amp; MATCH(A278-$B$1,A:A,1)):A278),NA()))</f>
        <v>#N/A</v>
      </c>
      <c r="G278" s="418" t="e">
        <f>IF(ISBLANK(A278),NA(),IFERROR(A278+(PLAYER_EXP_MAX-D278)/F278,NA()))</f>
        <v>#N/A</v>
      </c>
      <c r="H278" s="466" t="e">
        <f ca="1">IF(ISBLANK(#REF!),NA(),IFERROR(TEXT(TRUNC(G278-NOW()),"000") &amp; " D " &amp; TEXT(TRUNC(ABS(G278-NOW()-TRUNC(G278-NOW()))*24),"00") &amp; " H", NA()))</f>
        <v>#N/A</v>
      </c>
      <c r="I278" s="405" t="e">
        <f ca="1">IF(ISBLANK(A278),NA(),IFERROR(SLOPE(INDIRECT("D" &amp; MATCH(A278-$C$1,A:A,1)):D278, INDIRECT("A" &amp; MATCH(A278-$C$1,A:A,1)):A278),NA()))</f>
        <v>#N/A</v>
      </c>
      <c r="J278" s="418" t="e">
        <f>IF(ISBLANK(A278),NA(),IFERROR(A278+(PLAYER_EXP_MAX-D278)/I278,NA()))</f>
        <v>#N/A</v>
      </c>
      <c r="K278" s="466" t="e">
        <f t="shared" ca="1" si="20"/>
        <v>#N/A</v>
      </c>
      <c r="L278" s="405" t="e">
        <f t="shared" si="21"/>
        <v>#N/A</v>
      </c>
      <c r="M278" s="418" t="e">
        <f>IF(ISBLANK(A278),NA(),IFERROR(A278+(PLAYER_EXP_MAX-D278)/L278,NA()))</f>
        <v>#N/A</v>
      </c>
      <c r="N278" s="466" t="e">
        <f t="shared" ca="1" si="22"/>
        <v>#N/A</v>
      </c>
    </row>
    <row r="279" spans="4:14" ht="14.65" customHeight="1" x14ac:dyDescent="0.25">
      <c r="D279" s="466" t="str">
        <f t="shared" si="19"/>
        <v>-</v>
      </c>
      <c r="E279" s="399" t="str">
        <f>IF(ISBLANK(A279),"-",D279/PLAYER_EXP_MAX)</f>
        <v>-</v>
      </c>
      <c r="F279" s="405" t="e">
        <f ca="1">IF(ISBLANK(A279),NA(),IFERROR(SLOPE(INDIRECT("D" &amp; MATCH(A279-$B$1,A:A,1)):D279, INDIRECT("A" &amp; MATCH(A279-$B$1,A:A,1)):A279),NA()))</f>
        <v>#N/A</v>
      </c>
      <c r="G279" s="418" t="e">
        <f>IF(ISBLANK(A279),NA(),IFERROR(A279+(PLAYER_EXP_MAX-D279)/F279,NA()))</f>
        <v>#N/A</v>
      </c>
      <c r="H279" s="466" t="e">
        <f ca="1">IF(ISBLANK(#REF!),NA(),IFERROR(TEXT(TRUNC(G279-NOW()),"000") &amp; " D " &amp; TEXT(TRUNC(ABS(G279-NOW()-TRUNC(G279-NOW()))*24),"00") &amp; " H", NA()))</f>
        <v>#N/A</v>
      </c>
      <c r="I279" s="405" t="e">
        <f ca="1">IF(ISBLANK(A279),NA(),IFERROR(SLOPE(INDIRECT("D" &amp; MATCH(A279-$C$1,A:A,1)):D279, INDIRECT("A" &amp; MATCH(A279-$C$1,A:A,1)):A279),NA()))</f>
        <v>#N/A</v>
      </c>
      <c r="J279" s="418" t="e">
        <f>IF(ISBLANK(A279),NA(),IFERROR(A279+(PLAYER_EXP_MAX-D279)/I279,NA()))</f>
        <v>#N/A</v>
      </c>
      <c r="K279" s="466" t="e">
        <f t="shared" ca="1" si="20"/>
        <v>#N/A</v>
      </c>
      <c r="L279" s="405" t="e">
        <f t="shared" si="21"/>
        <v>#N/A</v>
      </c>
      <c r="M279" s="418" t="e">
        <f>IF(ISBLANK(A279),NA(),IFERROR(A279+(PLAYER_EXP_MAX-D279)/L279,NA()))</f>
        <v>#N/A</v>
      </c>
      <c r="N279" s="466" t="e">
        <f t="shared" ca="1" si="22"/>
        <v>#N/A</v>
      </c>
    </row>
    <row r="280" spans="4:14" ht="14.65" customHeight="1" x14ac:dyDescent="0.25">
      <c r="D280" s="466" t="str">
        <f t="shared" si="19"/>
        <v>-</v>
      </c>
      <c r="E280" s="399" t="str">
        <f>IF(ISBLANK(A280),"-",D280/PLAYER_EXP_MAX)</f>
        <v>-</v>
      </c>
      <c r="F280" s="405" t="e">
        <f ca="1">IF(ISBLANK(A280),NA(),IFERROR(SLOPE(INDIRECT("D" &amp; MATCH(A280-$B$1,A:A,1)):D280, INDIRECT("A" &amp; MATCH(A280-$B$1,A:A,1)):A280),NA()))</f>
        <v>#N/A</v>
      </c>
      <c r="G280" s="418" t="e">
        <f>IF(ISBLANK(A280),NA(),IFERROR(A280+(PLAYER_EXP_MAX-D280)/F280,NA()))</f>
        <v>#N/A</v>
      </c>
      <c r="H280" s="466" t="e">
        <f ca="1">IF(ISBLANK(#REF!),NA(),IFERROR(TEXT(TRUNC(G280-NOW()),"000") &amp; " D " &amp; TEXT(TRUNC(ABS(G280-NOW()-TRUNC(G280-NOW()))*24),"00") &amp; " H", NA()))</f>
        <v>#N/A</v>
      </c>
      <c r="I280" s="405" t="e">
        <f ca="1">IF(ISBLANK(A280),NA(),IFERROR(SLOPE(INDIRECT("D" &amp; MATCH(A280-$C$1,A:A,1)):D280, INDIRECT("A" &amp; MATCH(A280-$C$1,A:A,1)):A280),NA()))</f>
        <v>#N/A</v>
      </c>
      <c r="J280" s="418" t="e">
        <f>IF(ISBLANK(A280),NA(),IFERROR(A280+(PLAYER_EXP_MAX-D280)/I280,NA()))</f>
        <v>#N/A</v>
      </c>
      <c r="K280" s="466" t="e">
        <f t="shared" ca="1" si="20"/>
        <v>#N/A</v>
      </c>
      <c r="L280" s="405" t="e">
        <f t="shared" si="21"/>
        <v>#N/A</v>
      </c>
      <c r="M280" s="418" t="e">
        <f>IF(ISBLANK(A280),NA(),IFERROR(A280+(PLAYER_EXP_MAX-D280)/L280,NA()))</f>
        <v>#N/A</v>
      </c>
      <c r="N280" s="466" t="e">
        <f t="shared" ca="1" si="22"/>
        <v>#N/A</v>
      </c>
    </row>
    <row r="281" spans="4:14" ht="14.65" customHeight="1" x14ac:dyDescent="0.25">
      <c r="D281" s="466" t="str">
        <f t="shared" si="19"/>
        <v>-</v>
      </c>
      <c r="E281" s="399" t="str">
        <f>IF(ISBLANK(A281),"-",D281/PLAYER_EXP_MAX)</f>
        <v>-</v>
      </c>
      <c r="F281" s="405" t="e">
        <f ca="1">IF(ISBLANK(A281),NA(),IFERROR(SLOPE(INDIRECT("D" &amp; MATCH(A281-$B$1,A:A,1)):D281, INDIRECT("A" &amp; MATCH(A281-$B$1,A:A,1)):A281),NA()))</f>
        <v>#N/A</v>
      </c>
      <c r="G281" s="418" t="e">
        <f>IF(ISBLANK(A281),NA(),IFERROR(A281+(PLAYER_EXP_MAX-D281)/F281,NA()))</f>
        <v>#N/A</v>
      </c>
      <c r="H281" s="466" t="e">
        <f ca="1">IF(ISBLANK(#REF!),NA(),IFERROR(TEXT(TRUNC(G281-NOW()),"000") &amp; " D " &amp; TEXT(TRUNC(ABS(G281-NOW()-TRUNC(G281-NOW()))*24),"00") &amp; " H", NA()))</f>
        <v>#N/A</v>
      </c>
      <c r="I281" s="405" t="e">
        <f ca="1">IF(ISBLANK(A281),NA(),IFERROR(SLOPE(INDIRECT("D" &amp; MATCH(A281-$C$1,A:A,1)):D281, INDIRECT("A" &amp; MATCH(A281-$C$1,A:A,1)):A281),NA()))</f>
        <v>#N/A</v>
      </c>
      <c r="J281" s="418" t="e">
        <f>IF(ISBLANK(A281),NA(),IFERROR(A281+(PLAYER_EXP_MAX-D281)/I281,NA()))</f>
        <v>#N/A</v>
      </c>
      <c r="K281" s="466" t="e">
        <f t="shared" ca="1" si="20"/>
        <v>#N/A</v>
      </c>
      <c r="L281" s="405" t="e">
        <f t="shared" si="21"/>
        <v>#N/A</v>
      </c>
      <c r="M281" s="418" t="e">
        <f>IF(ISBLANK(A281),NA(),IFERROR(A281+(PLAYER_EXP_MAX-D281)/L281,NA()))</f>
        <v>#N/A</v>
      </c>
      <c r="N281" s="466" t="e">
        <f t="shared" ca="1" si="22"/>
        <v>#N/A</v>
      </c>
    </row>
    <row r="282" spans="4:14" ht="14.65" customHeight="1" x14ac:dyDescent="0.25">
      <c r="D282" s="466" t="str">
        <f t="shared" si="19"/>
        <v>-</v>
      </c>
      <c r="E282" s="399" t="str">
        <f>IF(ISBLANK(A282),"-",D282/PLAYER_EXP_MAX)</f>
        <v>-</v>
      </c>
      <c r="F282" s="405" t="e">
        <f ca="1">IF(ISBLANK(A282),NA(),IFERROR(SLOPE(INDIRECT("D" &amp; MATCH(A282-$B$1,A:A,1)):D282, INDIRECT("A" &amp; MATCH(A282-$B$1,A:A,1)):A282),NA()))</f>
        <v>#N/A</v>
      </c>
      <c r="G282" s="418" t="e">
        <f>IF(ISBLANK(A282),NA(),IFERROR(A282+(PLAYER_EXP_MAX-D282)/F282,NA()))</f>
        <v>#N/A</v>
      </c>
      <c r="H282" s="466" t="e">
        <f ca="1">IF(ISBLANK(#REF!),NA(),IFERROR(TEXT(TRUNC(G282-NOW()),"000") &amp; " D " &amp; TEXT(TRUNC(ABS(G282-NOW()-TRUNC(G282-NOW()))*24),"00") &amp; " H", NA()))</f>
        <v>#N/A</v>
      </c>
      <c r="I282" s="405" t="e">
        <f ca="1">IF(ISBLANK(A282),NA(),IFERROR(SLOPE(INDIRECT("D" &amp; MATCH(A282-$C$1,A:A,1)):D282, INDIRECT("A" &amp; MATCH(A282-$C$1,A:A,1)):A282),NA()))</f>
        <v>#N/A</v>
      </c>
      <c r="J282" s="418" t="e">
        <f>IF(ISBLANK(A282),NA(),IFERROR(A282+(PLAYER_EXP_MAX-D282)/I282,NA()))</f>
        <v>#N/A</v>
      </c>
      <c r="K282" s="466" t="e">
        <f t="shared" ca="1" si="20"/>
        <v>#N/A</v>
      </c>
      <c r="L282" s="405" t="e">
        <f t="shared" si="21"/>
        <v>#N/A</v>
      </c>
      <c r="M282" s="418" t="e">
        <f>IF(ISBLANK(A282),NA(),IFERROR(A282+(PLAYER_EXP_MAX-D282)/L282,NA()))</f>
        <v>#N/A</v>
      </c>
      <c r="N282" s="466" t="e">
        <f t="shared" ca="1" si="22"/>
        <v>#N/A</v>
      </c>
    </row>
    <row r="283" spans="4:14" ht="14.65" customHeight="1" x14ac:dyDescent="0.25">
      <c r="D283" s="466" t="str">
        <f t="shared" si="19"/>
        <v>-</v>
      </c>
      <c r="E283" s="399" t="str">
        <f>IF(ISBLANK(A283),"-",D283/PLAYER_EXP_MAX)</f>
        <v>-</v>
      </c>
      <c r="F283" s="405" t="e">
        <f ca="1">IF(ISBLANK(A283),NA(),IFERROR(SLOPE(INDIRECT("D" &amp; MATCH(A283-$B$1,A:A,1)):D283, INDIRECT("A" &amp; MATCH(A283-$B$1,A:A,1)):A283),NA()))</f>
        <v>#N/A</v>
      </c>
      <c r="G283" s="418" t="e">
        <f>IF(ISBLANK(A283),NA(),IFERROR(A283+(PLAYER_EXP_MAX-D283)/F283,NA()))</f>
        <v>#N/A</v>
      </c>
      <c r="H283" s="466" t="e">
        <f ca="1">IF(ISBLANK(#REF!),NA(),IFERROR(TEXT(TRUNC(G283-NOW()),"000") &amp; " D " &amp; TEXT(TRUNC(ABS(G283-NOW()-TRUNC(G283-NOW()))*24),"00") &amp; " H", NA()))</f>
        <v>#N/A</v>
      </c>
      <c r="I283" s="405" t="e">
        <f ca="1">IF(ISBLANK(A283),NA(),IFERROR(SLOPE(INDIRECT("D" &amp; MATCH(A283-$C$1,A:A,1)):D283, INDIRECT("A" &amp; MATCH(A283-$C$1,A:A,1)):A283),NA()))</f>
        <v>#N/A</v>
      </c>
      <c r="J283" s="418" t="e">
        <f>IF(ISBLANK(A283),NA(),IFERROR(A283+(PLAYER_EXP_MAX-D283)/I283,NA()))</f>
        <v>#N/A</v>
      </c>
      <c r="K283" s="466" t="e">
        <f t="shared" ca="1" si="20"/>
        <v>#N/A</v>
      </c>
      <c r="L283" s="405" t="e">
        <f t="shared" si="21"/>
        <v>#N/A</v>
      </c>
      <c r="M283" s="418" t="e">
        <f>IF(ISBLANK(A283),NA(),IFERROR(A283+(PLAYER_EXP_MAX-D283)/L283,NA()))</f>
        <v>#N/A</v>
      </c>
      <c r="N283" s="466" t="e">
        <f t="shared" ca="1" si="22"/>
        <v>#N/A</v>
      </c>
    </row>
    <row r="284" spans="4:14" ht="14.65" customHeight="1" x14ac:dyDescent="0.25">
      <c r="D284" s="466" t="str">
        <f t="shared" si="19"/>
        <v>-</v>
      </c>
      <c r="E284" s="399" t="str">
        <f>IF(ISBLANK(A284),"-",D284/PLAYER_EXP_MAX)</f>
        <v>-</v>
      </c>
      <c r="F284" s="405" t="e">
        <f ca="1">IF(ISBLANK(A284),NA(),IFERROR(SLOPE(INDIRECT("D" &amp; MATCH(A284-$B$1,A:A,1)):D284, INDIRECT("A" &amp; MATCH(A284-$B$1,A:A,1)):A284),NA()))</f>
        <v>#N/A</v>
      </c>
      <c r="G284" s="418" t="e">
        <f>IF(ISBLANK(A284),NA(),IFERROR(A284+(PLAYER_EXP_MAX-D284)/F284,NA()))</f>
        <v>#N/A</v>
      </c>
      <c r="H284" s="466" t="e">
        <f ca="1">IF(ISBLANK(#REF!),NA(),IFERROR(TEXT(TRUNC(G284-NOW()),"000") &amp; " D " &amp; TEXT(TRUNC(ABS(G284-NOW()-TRUNC(G284-NOW()))*24),"00") &amp; " H", NA()))</f>
        <v>#N/A</v>
      </c>
      <c r="I284" s="405" t="e">
        <f ca="1">IF(ISBLANK(A284),NA(),IFERROR(SLOPE(INDIRECT("D" &amp; MATCH(A284-$C$1,A:A,1)):D284, INDIRECT("A" &amp; MATCH(A284-$C$1,A:A,1)):A284),NA()))</f>
        <v>#N/A</v>
      </c>
      <c r="J284" s="418" t="e">
        <f>IF(ISBLANK(A284),NA(),IFERROR(A284+(PLAYER_EXP_MAX-D284)/I284,NA()))</f>
        <v>#N/A</v>
      </c>
      <c r="K284" s="466" t="e">
        <f t="shared" ca="1" si="20"/>
        <v>#N/A</v>
      </c>
      <c r="L284" s="405" t="e">
        <f t="shared" si="21"/>
        <v>#N/A</v>
      </c>
      <c r="M284" s="418" t="e">
        <f>IF(ISBLANK(A284),NA(),IFERROR(A284+(PLAYER_EXP_MAX-D284)/L284,NA()))</f>
        <v>#N/A</v>
      </c>
      <c r="N284" s="466" t="e">
        <f t="shared" ca="1" si="22"/>
        <v>#N/A</v>
      </c>
    </row>
    <row r="285" spans="4:14" ht="14.65" customHeight="1" x14ac:dyDescent="0.25">
      <c r="D285" s="466" t="str">
        <f t="shared" si="19"/>
        <v>-</v>
      </c>
      <c r="E285" s="399" t="str">
        <f>IF(ISBLANK(A285),"-",D285/PLAYER_EXP_MAX)</f>
        <v>-</v>
      </c>
      <c r="F285" s="405" t="e">
        <f ca="1">IF(ISBLANK(A285),NA(),IFERROR(SLOPE(INDIRECT("D" &amp; MATCH(A285-$B$1,A:A,1)):D285, INDIRECT("A" &amp; MATCH(A285-$B$1,A:A,1)):A285),NA()))</f>
        <v>#N/A</v>
      </c>
      <c r="G285" s="418" t="e">
        <f>IF(ISBLANK(A285),NA(),IFERROR(A285+(PLAYER_EXP_MAX-D285)/F285,NA()))</f>
        <v>#N/A</v>
      </c>
      <c r="H285" s="466" t="e">
        <f ca="1">IF(ISBLANK(#REF!),NA(),IFERROR(TEXT(TRUNC(G285-NOW()),"000") &amp; " D " &amp; TEXT(TRUNC(ABS(G285-NOW()-TRUNC(G285-NOW()))*24),"00") &amp; " H", NA()))</f>
        <v>#N/A</v>
      </c>
      <c r="I285" s="405" t="e">
        <f ca="1">IF(ISBLANK(A285),NA(),IFERROR(SLOPE(INDIRECT("D" &amp; MATCH(A285-$C$1,A:A,1)):D285, INDIRECT("A" &amp; MATCH(A285-$C$1,A:A,1)):A285),NA()))</f>
        <v>#N/A</v>
      </c>
      <c r="J285" s="418" t="e">
        <f>IF(ISBLANK(A285),NA(),IFERROR(A285+(PLAYER_EXP_MAX-D285)/I285,NA()))</f>
        <v>#N/A</v>
      </c>
      <c r="K285" s="466" t="e">
        <f t="shared" ca="1" si="20"/>
        <v>#N/A</v>
      </c>
      <c r="L285" s="405" t="e">
        <f t="shared" si="21"/>
        <v>#N/A</v>
      </c>
      <c r="M285" s="418" t="e">
        <f>IF(ISBLANK(A285),NA(),IFERROR(A285+(PLAYER_EXP_MAX-D285)/L285,NA()))</f>
        <v>#N/A</v>
      </c>
      <c r="N285" s="466" t="e">
        <f t="shared" ca="1" si="22"/>
        <v>#N/A</v>
      </c>
    </row>
    <row r="286" spans="4:14" ht="14.65" customHeight="1" x14ac:dyDescent="0.25">
      <c r="D286" s="466" t="str">
        <f t="shared" si="19"/>
        <v>-</v>
      </c>
      <c r="E286" s="399" t="str">
        <f>IF(ISBLANK(A286),"-",D286/PLAYER_EXP_MAX)</f>
        <v>-</v>
      </c>
      <c r="F286" s="405" t="e">
        <f ca="1">IF(ISBLANK(A286),NA(),IFERROR(SLOPE(INDIRECT("D" &amp; MATCH(A286-$B$1,A:A,1)):D286, INDIRECT("A" &amp; MATCH(A286-$B$1,A:A,1)):A286),NA()))</f>
        <v>#N/A</v>
      </c>
      <c r="G286" s="418" t="e">
        <f>IF(ISBLANK(A286),NA(),IFERROR(A286+(PLAYER_EXP_MAX-D286)/F286,NA()))</f>
        <v>#N/A</v>
      </c>
      <c r="H286" s="466" t="e">
        <f ca="1">IF(ISBLANK(#REF!),NA(),IFERROR(TEXT(TRUNC(G286-NOW()),"000") &amp; " D " &amp; TEXT(TRUNC(ABS(G286-NOW()-TRUNC(G286-NOW()))*24),"00") &amp; " H", NA()))</f>
        <v>#N/A</v>
      </c>
      <c r="I286" s="405" t="e">
        <f ca="1">IF(ISBLANK(A286),NA(),IFERROR(SLOPE(INDIRECT("D" &amp; MATCH(A286-$C$1,A:A,1)):D286, INDIRECT("A" &amp; MATCH(A286-$C$1,A:A,1)):A286),NA()))</f>
        <v>#N/A</v>
      </c>
      <c r="J286" s="418" t="e">
        <f>IF(ISBLANK(A286),NA(),IFERROR(A286+(PLAYER_EXP_MAX-D286)/I286,NA()))</f>
        <v>#N/A</v>
      </c>
      <c r="K286" s="466" t="e">
        <f t="shared" ca="1" si="20"/>
        <v>#N/A</v>
      </c>
      <c r="L286" s="405" t="e">
        <f t="shared" si="21"/>
        <v>#N/A</v>
      </c>
      <c r="M286" s="418" t="e">
        <f>IF(ISBLANK(A286),NA(),IFERROR(A286+(PLAYER_EXP_MAX-D286)/L286,NA()))</f>
        <v>#N/A</v>
      </c>
      <c r="N286" s="466" t="e">
        <f t="shared" ca="1" si="22"/>
        <v>#N/A</v>
      </c>
    </row>
    <row r="287" spans="4:14" ht="14.65" customHeight="1" x14ac:dyDescent="0.25">
      <c r="D287" s="466" t="str">
        <f t="shared" si="19"/>
        <v>-</v>
      </c>
      <c r="E287" s="399" t="str">
        <f>IF(ISBLANK(A287),"-",D287/PLAYER_EXP_MAX)</f>
        <v>-</v>
      </c>
      <c r="F287" s="405" t="e">
        <f ca="1">IF(ISBLANK(A287),NA(),IFERROR(SLOPE(INDIRECT("D" &amp; MATCH(A287-$B$1,A:A,1)):D287, INDIRECT("A" &amp; MATCH(A287-$B$1,A:A,1)):A287),NA()))</f>
        <v>#N/A</v>
      </c>
      <c r="G287" s="418" t="e">
        <f>IF(ISBLANK(A287),NA(),IFERROR(A287+(PLAYER_EXP_MAX-D287)/F287,NA()))</f>
        <v>#N/A</v>
      </c>
      <c r="H287" s="466" t="e">
        <f ca="1">IF(ISBLANK(#REF!),NA(),IFERROR(TEXT(TRUNC(G287-NOW()),"000") &amp; " D " &amp; TEXT(TRUNC(ABS(G287-NOW()-TRUNC(G287-NOW()))*24),"00") &amp; " H", NA()))</f>
        <v>#N/A</v>
      </c>
      <c r="I287" s="405" t="e">
        <f ca="1">IF(ISBLANK(A287),NA(),IFERROR(SLOPE(INDIRECT("D" &amp; MATCH(A287-$C$1,A:A,1)):D287, INDIRECT("A" &amp; MATCH(A287-$C$1,A:A,1)):A287),NA()))</f>
        <v>#N/A</v>
      </c>
      <c r="J287" s="418" t="e">
        <f>IF(ISBLANK(A287),NA(),IFERROR(A287+(PLAYER_EXP_MAX-D287)/I287,NA()))</f>
        <v>#N/A</v>
      </c>
      <c r="K287" s="466" t="e">
        <f t="shared" ca="1" si="20"/>
        <v>#N/A</v>
      </c>
      <c r="L287" s="405" t="e">
        <f t="shared" si="21"/>
        <v>#N/A</v>
      </c>
      <c r="M287" s="418" t="e">
        <f>IF(ISBLANK(A287),NA(),IFERROR(A287+(PLAYER_EXP_MAX-D287)/L287,NA()))</f>
        <v>#N/A</v>
      </c>
      <c r="N287" s="466" t="e">
        <f t="shared" ca="1" si="22"/>
        <v>#N/A</v>
      </c>
    </row>
    <row r="288" spans="4:14" ht="14.65" customHeight="1" x14ac:dyDescent="0.25">
      <c r="D288" s="466" t="str">
        <f t="shared" si="19"/>
        <v>-</v>
      </c>
      <c r="E288" s="399" t="str">
        <f>IF(ISBLANK(A288),"-",D288/PLAYER_EXP_MAX)</f>
        <v>-</v>
      </c>
      <c r="F288" s="405" t="e">
        <f ca="1">IF(ISBLANK(A288),NA(),IFERROR(SLOPE(INDIRECT("D" &amp; MATCH(A288-$B$1,A:A,1)):D288, INDIRECT("A" &amp; MATCH(A288-$B$1,A:A,1)):A288),NA()))</f>
        <v>#N/A</v>
      </c>
      <c r="G288" s="418" t="e">
        <f>IF(ISBLANK(A288),NA(),IFERROR(A288+(PLAYER_EXP_MAX-D288)/F288,NA()))</f>
        <v>#N/A</v>
      </c>
      <c r="H288" s="466" t="e">
        <f ca="1">IF(ISBLANK(#REF!),NA(),IFERROR(TEXT(TRUNC(G288-NOW()),"000") &amp; " D " &amp; TEXT(TRUNC(ABS(G288-NOW()-TRUNC(G288-NOW()))*24),"00") &amp; " H", NA()))</f>
        <v>#N/A</v>
      </c>
      <c r="I288" s="405" t="e">
        <f ca="1">IF(ISBLANK(A288),NA(),IFERROR(SLOPE(INDIRECT("D" &amp; MATCH(A288-$C$1,A:A,1)):D288, INDIRECT("A" &amp; MATCH(A288-$C$1,A:A,1)):A288),NA()))</f>
        <v>#N/A</v>
      </c>
      <c r="J288" s="418" t="e">
        <f>IF(ISBLANK(A288),NA(),IFERROR(A288+(PLAYER_EXP_MAX-D288)/I288,NA()))</f>
        <v>#N/A</v>
      </c>
      <c r="K288" s="466" t="e">
        <f t="shared" ca="1" si="20"/>
        <v>#N/A</v>
      </c>
      <c r="L288" s="405" t="e">
        <f t="shared" si="21"/>
        <v>#N/A</v>
      </c>
      <c r="M288" s="418" t="e">
        <f>IF(ISBLANK(A288),NA(),IFERROR(A288+(PLAYER_EXP_MAX-D288)/L288,NA()))</f>
        <v>#N/A</v>
      </c>
      <c r="N288" s="466" t="e">
        <f t="shared" ca="1" si="22"/>
        <v>#N/A</v>
      </c>
    </row>
    <row r="289" spans="4:14" ht="14.65" customHeight="1" x14ac:dyDescent="0.25">
      <c r="D289" s="466" t="str">
        <f t="shared" si="19"/>
        <v>-</v>
      </c>
      <c r="E289" s="399" t="str">
        <f>IF(ISBLANK(A289),"-",D289/PLAYER_EXP_MAX)</f>
        <v>-</v>
      </c>
      <c r="F289" s="405" t="e">
        <f ca="1">IF(ISBLANK(A289),NA(),IFERROR(SLOPE(INDIRECT("D" &amp; MATCH(A289-$B$1,A:A,1)):D289, INDIRECT("A" &amp; MATCH(A289-$B$1,A:A,1)):A289),NA()))</f>
        <v>#N/A</v>
      </c>
      <c r="G289" s="418" t="e">
        <f>IF(ISBLANK(A289),NA(),IFERROR(A289+(PLAYER_EXP_MAX-D289)/F289,NA()))</f>
        <v>#N/A</v>
      </c>
      <c r="H289" s="466" t="e">
        <f ca="1">IF(ISBLANK(#REF!),NA(),IFERROR(TEXT(TRUNC(G289-NOW()),"000") &amp; " D " &amp; TEXT(TRUNC(ABS(G289-NOW()-TRUNC(G289-NOW()))*24),"00") &amp; " H", NA()))</f>
        <v>#N/A</v>
      </c>
      <c r="I289" s="405" t="e">
        <f ca="1">IF(ISBLANK(A289),NA(),IFERROR(SLOPE(INDIRECT("D" &amp; MATCH(A289-$C$1,A:A,1)):D289, INDIRECT("A" &amp; MATCH(A289-$C$1,A:A,1)):A289),NA()))</f>
        <v>#N/A</v>
      </c>
      <c r="J289" s="418" t="e">
        <f>IF(ISBLANK(A289),NA(),IFERROR(A289+(PLAYER_EXP_MAX-D289)/I289,NA()))</f>
        <v>#N/A</v>
      </c>
      <c r="K289" s="466" t="e">
        <f t="shared" ca="1" si="20"/>
        <v>#N/A</v>
      </c>
      <c r="L289" s="405" t="e">
        <f t="shared" si="21"/>
        <v>#N/A</v>
      </c>
      <c r="M289" s="418" t="e">
        <f>IF(ISBLANK(A289),NA(),IFERROR(A289+(PLAYER_EXP_MAX-D289)/L289,NA()))</f>
        <v>#N/A</v>
      </c>
      <c r="N289" s="466" t="e">
        <f t="shared" ca="1" si="22"/>
        <v>#N/A</v>
      </c>
    </row>
    <row r="290" spans="4:14" ht="14.65" customHeight="1" x14ac:dyDescent="0.25">
      <c r="D290" s="466" t="str">
        <f t="shared" si="19"/>
        <v>-</v>
      </c>
      <c r="E290" s="399" t="str">
        <f>IF(ISBLANK(A290),"-",D290/PLAYER_EXP_MAX)</f>
        <v>-</v>
      </c>
      <c r="F290" s="405" t="e">
        <f ca="1">IF(ISBLANK(A290),NA(),IFERROR(SLOPE(INDIRECT("D" &amp; MATCH(A290-$B$1,A:A,1)):D290, INDIRECT("A" &amp; MATCH(A290-$B$1,A:A,1)):A290),NA()))</f>
        <v>#N/A</v>
      </c>
      <c r="G290" s="418" t="e">
        <f>IF(ISBLANK(A290),NA(),IFERROR(A290+(PLAYER_EXP_MAX-D290)/F290,NA()))</f>
        <v>#N/A</v>
      </c>
      <c r="H290" s="466" t="e">
        <f ca="1">IF(ISBLANK(#REF!),NA(),IFERROR(TEXT(TRUNC(G290-NOW()),"000") &amp; " D " &amp; TEXT(TRUNC(ABS(G290-NOW()-TRUNC(G290-NOW()))*24),"00") &amp; " H", NA()))</f>
        <v>#N/A</v>
      </c>
      <c r="I290" s="405" t="e">
        <f ca="1">IF(ISBLANK(A290),NA(),IFERROR(SLOPE(INDIRECT("D" &amp; MATCH(A290-$C$1,A:A,1)):D290, INDIRECT("A" &amp; MATCH(A290-$C$1,A:A,1)):A290),NA()))</f>
        <v>#N/A</v>
      </c>
      <c r="J290" s="418" t="e">
        <f>IF(ISBLANK(A290),NA(),IFERROR(A290+(PLAYER_EXP_MAX-D290)/I290,NA()))</f>
        <v>#N/A</v>
      </c>
      <c r="K290" s="466" t="e">
        <f t="shared" ca="1" si="20"/>
        <v>#N/A</v>
      </c>
      <c r="L290" s="405" t="e">
        <f t="shared" si="21"/>
        <v>#N/A</v>
      </c>
      <c r="M290" s="418" t="e">
        <f>IF(ISBLANK(A290),NA(),IFERROR(A290+(PLAYER_EXP_MAX-D290)/L290,NA()))</f>
        <v>#N/A</v>
      </c>
      <c r="N290" s="466" t="e">
        <f t="shared" ca="1" si="22"/>
        <v>#N/A</v>
      </c>
    </row>
    <row r="291" spans="4:14" ht="14.65" customHeight="1" x14ac:dyDescent="0.25">
      <c r="D291" s="466" t="str">
        <f t="shared" si="19"/>
        <v>-</v>
      </c>
      <c r="E291" s="399" t="str">
        <f>IF(ISBLANK(A291),"-",D291/PLAYER_EXP_MAX)</f>
        <v>-</v>
      </c>
      <c r="F291" s="405" t="e">
        <f ca="1">IF(ISBLANK(A291),NA(),IFERROR(SLOPE(INDIRECT("D" &amp; MATCH(A291-$B$1,A:A,1)):D291, INDIRECT("A" &amp; MATCH(A291-$B$1,A:A,1)):A291),NA()))</f>
        <v>#N/A</v>
      </c>
      <c r="G291" s="418" t="e">
        <f>IF(ISBLANK(A291),NA(),IFERROR(A291+(PLAYER_EXP_MAX-D291)/F291,NA()))</f>
        <v>#N/A</v>
      </c>
      <c r="H291" s="466" t="e">
        <f ca="1">IF(ISBLANK(#REF!),NA(),IFERROR(TEXT(TRUNC(G291-NOW()),"000") &amp; " D " &amp; TEXT(TRUNC(ABS(G291-NOW()-TRUNC(G291-NOW()))*24),"00") &amp; " H", NA()))</f>
        <v>#N/A</v>
      </c>
      <c r="I291" s="405" t="e">
        <f ca="1">IF(ISBLANK(A291),NA(),IFERROR(SLOPE(INDIRECT("D" &amp; MATCH(A291-$C$1,A:A,1)):D291, INDIRECT("A" &amp; MATCH(A291-$C$1,A:A,1)):A291),NA()))</f>
        <v>#N/A</v>
      </c>
      <c r="J291" s="418" t="e">
        <f>IF(ISBLANK(A291),NA(),IFERROR(A291+(PLAYER_EXP_MAX-D291)/I291,NA()))</f>
        <v>#N/A</v>
      </c>
      <c r="K291" s="466" t="e">
        <f t="shared" ca="1" si="20"/>
        <v>#N/A</v>
      </c>
      <c r="L291" s="405" t="e">
        <f t="shared" si="21"/>
        <v>#N/A</v>
      </c>
      <c r="M291" s="418" t="e">
        <f>IF(ISBLANK(A291),NA(),IFERROR(A291+(PLAYER_EXP_MAX-D291)/L291,NA()))</f>
        <v>#N/A</v>
      </c>
      <c r="N291" s="466" t="e">
        <f t="shared" ca="1" si="22"/>
        <v>#N/A</v>
      </c>
    </row>
    <row r="292" spans="4:14" ht="14.65" customHeight="1" x14ac:dyDescent="0.25">
      <c r="D292" s="466" t="str">
        <f t="shared" si="19"/>
        <v>-</v>
      </c>
      <c r="E292" s="399" t="str">
        <f>IF(ISBLANK(A292),"-",D292/PLAYER_EXP_MAX)</f>
        <v>-</v>
      </c>
      <c r="F292" s="405" t="e">
        <f ca="1">IF(ISBLANK(A292),NA(),IFERROR(SLOPE(INDIRECT("D" &amp; MATCH(A292-$B$1,A:A,1)):D292, INDIRECT("A" &amp; MATCH(A292-$B$1,A:A,1)):A292),NA()))</f>
        <v>#N/A</v>
      </c>
      <c r="G292" s="418" t="e">
        <f>IF(ISBLANK(A292),NA(),IFERROR(A292+(PLAYER_EXP_MAX-D292)/F292,NA()))</f>
        <v>#N/A</v>
      </c>
      <c r="H292" s="466" t="e">
        <f ca="1">IF(ISBLANK(#REF!),NA(),IFERROR(TEXT(TRUNC(G292-NOW()),"000") &amp; " D " &amp; TEXT(TRUNC(ABS(G292-NOW()-TRUNC(G292-NOW()))*24),"00") &amp; " H", NA()))</f>
        <v>#N/A</v>
      </c>
      <c r="I292" s="405" t="e">
        <f ca="1">IF(ISBLANK(A292),NA(),IFERROR(SLOPE(INDIRECT("D" &amp; MATCH(A292-$C$1,A:A,1)):D292, INDIRECT("A" &amp; MATCH(A292-$C$1,A:A,1)):A292),NA()))</f>
        <v>#N/A</v>
      </c>
      <c r="J292" s="418" t="e">
        <f>IF(ISBLANK(A292),NA(),IFERROR(A292+(PLAYER_EXP_MAX-D292)/I292,NA()))</f>
        <v>#N/A</v>
      </c>
      <c r="K292" s="466" t="e">
        <f t="shared" ca="1" si="20"/>
        <v>#N/A</v>
      </c>
      <c r="L292" s="405" t="e">
        <f t="shared" si="21"/>
        <v>#N/A</v>
      </c>
      <c r="M292" s="418" t="e">
        <f>IF(ISBLANK(A292),NA(),IFERROR(A292+(PLAYER_EXP_MAX-D292)/L292,NA()))</f>
        <v>#N/A</v>
      </c>
      <c r="N292" s="466" t="e">
        <f t="shared" ca="1" si="22"/>
        <v>#N/A</v>
      </c>
    </row>
    <row r="293" spans="4:14" ht="14.65" customHeight="1" x14ac:dyDescent="0.25">
      <c r="D293" s="466" t="str">
        <f t="shared" si="19"/>
        <v>-</v>
      </c>
      <c r="E293" s="399" t="str">
        <f>IF(ISBLANK(A293),"-",D293/PLAYER_EXP_MAX)</f>
        <v>-</v>
      </c>
      <c r="F293" s="405" t="e">
        <f ca="1">IF(ISBLANK(A293),NA(),IFERROR(SLOPE(INDIRECT("D" &amp; MATCH(A293-$B$1,A:A,1)):D293, INDIRECT("A" &amp; MATCH(A293-$B$1,A:A,1)):A293),NA()))</f>
        <v>#N/A</v>
      </c>
      <c r="G293" s="418" t="e">
        <f>IF(ISBLANK(A293),NA(),IFERROR(A293+(PLAYER_EXP_MAX-D293)/F293,NA()))</f>
        <v>#N/A</v>
      </c>
      <c r="H293" s="466" t="e">
        <f ca="1">IF(ISBLANK(#REF!),NA(),IFERROR(TEXT(TRUNC(G293-NOW()),"000") &amp; " D " &amp; TEXT(TRUNC(ABS(G293-NOW()-TRUNC(G293-NOW()))*24),"00") &amp; " H", NA()))</f>
        <v>#N/A</v>
      </c>
      <c r="I293" s="405" t="e">
        <f ca="1">IF(ISBLANK(A293),NA(),IFERROR(SLOPE(INDIRECT("D" &amp; MATCH(A293-$C$1,A:A,1)):D293, INDIRECT("A" &amp; MATCH(A293-$C$1,A:A,1)):A293),NA()))</f>
        <v>#N/A</v>
      </c>
      <c r="J293" s="418" t="e">
        <f>IF(ISBLANK(A293),NA(),IFERROR(A293+(PLAYER_EXP_MAX-D293)/I293,NA()))</f>
        <v>#N/A</v>
      </c>
      <c r="K293" s="466" t="e">
        <f t="shared" ca="1" si="20"/>
        <v>#N/A</v>
      </c>
      <c r="L293" s="405" t="e">
        <f t="shared" si="21"/>
        <v>#N/A</v>
      </c>
      <c r="M293" s="418" t="e">
        <f>IF(ISBLANK(A293),NA(),IFERROR(A293+(PLAYER_EXP_MAX-D293)/L293,NA()))</f>
        <v>#N/A</v>
      </c>
      <c r="N293" s="466" t="e">
        <f t="shared" ca="1" si="22"/>
        <v>#N/A</v>
      </c>
    </row>
    <row r="294" spans="4:14" ht="14.65" customHeight="1" x14ac:dyDescent="0.25">
      <c r="D294" s="466" t="str">
        <f t="shared" si="19"/>
        <v>-</v>
      </c>
      <c r="E294" s="399" t="str">
        <f>IF(ISBLANK(A294),"-",D294/PLAYER_EXP_MAX)</f>
        <v>-</v>
      </c>
      <c r="F294" s="405" t="e">
        <f ca="1">IF(ISBLANK(A294),NA(),IFERROR(SLOPE(INDIRECT("D" &amp; MATCH(A294-$B$1,A:A,1)):D294, INDIRECT("A" &amp; MATCH(A294-$B$1,A:A,1)):A294),NA()))</f>
        <v>#N/A</v>
      </c>
      <c r="G294" s="418" t="e">
        <f>IF(ISBLANK(A294),NA(),IFERROR(A294+(PLAYER_EXP_MAX-D294)/F294,NA()))</f>
        <v>#N/A</v>
      </c>
      <c r="H294" s="466" t="e">
        <f ca="1">IF(ISBLANK(#REF!),NA(),IFERROR(TEXT(TRUNC(G294-NOW()),"000") &amp; " D " &amp; TEXT(TRUNC(ABS(G294-NOW()-TRUNC(G294-NOW()))*24),"00") &amp; " H", NA()))</f>
        <v>#N/A</v>
      </c>
      <c r="I294" s="405" t="e">
        <f ca="1">IF(ISBLANK(A294),NA(),IFERROR(SLOPE(INDIRECT("D" &amp; MATCH(A294-$C$1,A:A,1)):D294, INDIRECT("A" &amp; MATCH(A294-$C$1,A:A,1)):A294),NA()))</f>
        <v>#N/A</v>
      </c>
      <c r="J294" s="418" t="e">
        <f>IF(ISBLANK(A294),NA(),IFERROR(A294+(PLAYER_EXP_MAX-D294)/I294,NA()))</f>
        <v>#N/A</v>
      </c>
      <c r="K294" s="466" t="e">
        <f t="shared" ca="1" si="20"/>
        <v>#N/A</v>
      </c>
      <c r="L294" s="405" t="e">
        <f t="shared" si="21"/>
        <v>#N/A</v>
      </c>
      <c r="M294" s="418" t="e">
        <f>IF(ISBLANK(A294),NA(),IFERROR(A294+(PLAYER_EXP_MAX-D294)/L294,NA()))</f>
        <v>#N/A</v>
      </c>
      <c r="N294" s="466" t="e">
        <f t="shared" ca="1" si="22"/>
        <v>#N/A</v>
      </c>
    </row>
    <row r="295" spans="4:14" ht="14.65" customHeight="1" x14ac:dyDescent="0.25">
      <c r="D295" s="466" t="str">
        <f t="shared" si="19"/>
        <v>-</v>
      </c>
      <c r="E295" s="399" t="str">
        <f>IF(ISBLANK(A295),"-",D295/PLAYER_EXP_MAX)</f>
        <v>-</v>
      </c>
      <c r="F295" s="405" t="e">
        <f ca="1">IF(ISBLANK(A295),NA(),IFERROR(SLOPE(INDIRECT("D" &amp; MATCH(A295-$B$1,A:A,1)):D295, INDIRECT("A" &amp; MATCH(A295-$B$1,A:A,1)):A295),NA()))</f>
        <v>#N/A</v>
      </c>
      <c r="G295" s="418" t="e">
        <f>IF(ISBLANK(A295),NA(),IFERROR(A295+(PLAYER_EXP_MAX-D295)/F295,NA()))</f>
        <v>#N/A</v>
      </c>
      <c r="H295" s="466" t="e">
        <f ca="1">IF(ISBLANK(#REF!),NA(),IFERROR(TEXT(TRUNC(G295-NOW()),"000") &amp; " D " &amp; TEXT(TRUNC(ABS(G295-NOW()-TRUNC(G295-NOW()))*24),"00") &amp; " H", NA()))</f>
        <v>#N/A</v>
      </c>
      <c r="I295" s="405" t="e">
        <f ca="1">IF(ISBLANK(A295),NA(),IFERROR(SLOPE(INDIRECT("D" &amp; MATCH(A295-$C$1,A:A,1)):D295, INDIRECT("A" &amp; MATCH(A295-$C$1,A:A,1)):A295),NA()))</f>
        <v>#N/A</v>
      </c>
      <c r="J295" s="418" t="e">
        <f>IF(ISBLANK(A295),NA(),IFERROR(A295+(PLAYER_EXP_MAX-D295)/I295,NA()))</f>
        <v>#N/A</v>
      </c>
      <c r="K295" s="466" t="e">
        <f t="shared" ca="1" si="20"/>
        <v>#N/A</v>
      </c>
      <c r="L295" s="405" t="e">
        <f t="shared" si="21"/>
        <v>#N/A</v>
      </c>
      <c r="M295" s="418" t="e">
        <f>IF(ISBLANK(A295),NA(),IFERROR(A295+(PLAYER_EXP_MAX-D295)/L295,NA()))</f>
        <v>#N/A</v>
      </c>
      <c r="N295" s="466" t="e">
        <f t="shared" ca="1" si="22"/>
        <v>#N/A</v>
      </c>
    </row>
    <row r="296" spans="4:14" ht="14.65" customHeight="1" x14ac:dyDescent="0.25">
      <c r="D296" s="466" t="str">
        <f t="shared" si="19"/>
        <v>-</v>
      </c>
      <c r="E296" s="399" t="str">
        <f>IF(ISBLANK(A296),"-",D296/PLAYER_EXP_MAX)</f>
        <v>-</v>
      </c>
      <c r="F296" s="405" t="e">
        <f ca="1">IF(ISBLANK(A296),NA(),IFERROR(SLOPE(INDIRECT("D" &amp; MATCH(A296-$B$1,A:A,1)):D296, INDIRECT("A" &amp; MATCH(A296-$B$1,A:A,1)):A296),NA()))</f>
        <v>#N/A</v>
      </c>
      <c r="G296" s="418" t="e">
        <f>IF(ISBLANK(A296),NA(),IFERROR(A296+(PLAYER_EXP_MAX-D296)/F296,NA()))</f>
        <v>#N/A</v>
      </c>
      <c r="H296" s="466" t="e">
        <f ca="1">IF(ISBLANK(#REF!),NA(),IFERROR(TEXT(TRUNC(G296-NOW()),"000") &amp; " D " &amp; TEXT(TRUNC(ABS(G296-NOW()-TRUNC(G296-NOW()))*24),"00") &amp; " H", NA()))</f>
        <v>#N/A</v>
      </c>
      <c r="I296" s="405" t="e">
        <f ca="1">IF(ISBLANK(A296),NA(),IFERROR(SLOPE(INDIRECT("D" &amp; MATCH(A296-$C$1,A:A,1)):D296, INDIRECT("A" &amp; MATCH(A296-$C$1,A:A,1)):A296),NA()))</f>
        <v>#N/A</v>
      </c>
      <c r="J296" s="418" t="e">
        <f>IF(ISBLANK(A296),NA(),IFERROR(A296+(PLAYER_EXP_MAX-D296)/I296,NA()))</f>
        <v>#N/A</v>
      </c>
      <c r="K296" s="466" t="e">
        <f t="shared" ca="1" si="20"/>
        <v>#N/A</v>
      </c>
      <c r="L296" s="405" t="e">
        <f t="shared" si="21"/>
        <v>#N/A</v>
      </c>
      <c r="M296" s="418" t="e">
        <f>IF(ISBLANK(A296),NA(),IFERROR(A296+(PLAYER_EXP_MAX-D296)/L296,NA()))</f>
        <v>#N/A</v>
      </c>
      <c r="N296" s="466" t="e">
        <f t="shared" ca="1" si="22"/>
        <v>#N/A</v>
      </c>
    </row>
    <row r="297" spans="4:14" ht="14.65" customHeight="1" x14ac:dyDescent="0.25">
      <c r="D297" s="466" t="str">
        <f t="shared" si="19"/>
        <v>-</v>
      </c>
      <c r="E297" s="399" t="str">
        <f>IF(ISBLANK(A297),"-",D297/PLAYER_EXP_MAX)</f>
        <v>-</v>
      </c>
      <c r="F297" s="405" t="e">
        <f ca="1">IF(ISBLANK(A297),NA(),IFERROR(SLOPE(INDIRECT("D" &amp; MATCH(A297-$B$1,A:A,1)):D297, INDIRECT("A" &amp; MATCH(A297-$B$1,A:A,1)):A297),NA()))</f>
        <v>#N/A</v>
      </c>
      <c r="G297" s="418" t="e">
        <f>IF(ISBLANK(A297),NA(),IFERROR(A297+(PLAYER_EXP_MAX-D297)/F297,NA()))</f>
        <v>#N/A</v>
      </c>
      <c r="H297" s="466" t="e">
        <f ca="1">IF(ISBLANK(#REF!),NA(),IFERROR(TEXT(TRUNC(G297-NOW()),"000") &amp; " D " &amp; TEXT(TRUNC(ABS(G297-NOW()-TRUNC(G297-NOW()))*24),"00") &amp; " H", NA()))</f>
        <v>#N/A</v>
      </c>
      <c r="I297" s="405" t="e">
        <f ca="1">IF(ISBLANK(A297),NA(),IFERROR(SLOPE(INDIRECT("D" &amp; MATCH(A297-$C$1,A:A,1)):D297, INDIRECT("A" &amp; MATCH(A297-$C$1,A:A,1)):A297),NA()))</f>
        <v>#N/A</v>
      </c>
      <c r="J297" s="418" t="e">
        <f>IF(ISBLANK(A297),NA(),IFERROR(A297+(PLAYER_EXP_MAX-D297)/I297,NA()))</f>
        <v>#N/A</v>
      </c>
      <c r="K297" s="466" t="e">
        <f t="shared" ca="1" si="20"/>
        <v>#N/A</v>
      </c>
      <c r="L297" s="405" t="e">
        <f t="shared" si="21"/>
        <v>#N/A</v>
      </c>
      <c r="M297" s="418" t="e">
        <f>IF(ISBLANK(A297),NA(),IFERROR(A297+(PLAYER_EXP_MAX-D297)/L297,NA()))</f>
        <v>#N/A</v>
      </c>
      <c r="N297" s="466" t="e">
        <f t="shared" ca="1" si="22"/>
        <v>#N/A</v>
      </c>
    </row>
    <row r="298" spans="4:14" ht="14.65" customHeight="1" x14ac:dyDescent="0.25">
      <c r="D298" s="466" t="str">
        <f t="shared" si="19"/>
        <v>-</v>
      </c>
      <c r="E298" s="399" t="str">
        <f>IF(ISBLANK(A298),"-",D298/PLAYER_EXP_MAX)</f>
        <v>-</v>
      </c>
      <c r="F298" s="405" t="e">
        <f ca="1">IF(ISBLANK(A298),NA(),IFERROR(SLOPE(INDIRECT("D" &amp; MATCH(A298-$B$1,A:A,1)):D298, INDIRECT("A" &amp; MATCH(A298-$B$1,A:A,1)):A298),NA()))</f>
        <v>#N/A</v>
      </c>
      <c r="G298" s="418" t="e">
        <f>IF(ISBLANK(A298),NA(),IFERROR(A298+(PLAYER_EXP_MAX-D298)/F298,NA()))</f>
        <v>#N/A</v>
      </c>
      <c r="H298" s="466" t="e">
        <f ca="1">IF(ISBLANK(#REF!),NA(),IFERROR(TEXT(TRUNC(G298-NOW()),"000") &amp; " D " &amp; TEXT(TRUNC(ABS(G298-NOW()-TRUNC(G298-NOW()))*24),"00") &amp; " H", NA()))</f>
        <v>#N/A</v>
      </c>
      <c r="I298" s="405" t="e">
        <f ca="1">IF(ISBLANK(A298),NA(),IFERROR(SLOPE(INDIRECT("D" &amp; MATCH(A298-$C$1,A:A,1)):D298, INDIRECT("A" &amp; MATCH(A298-$C$1,A:A,1)):A298),NA()))</f>
        <v>#N/A</v>
      </c>
      <c r="J298" s="418" t="e">
        <f>IF(ISBLANK(A298),NA(),IFERROR(A298+(PLAYER_EXP_MAX-D298)/I298,NA()))</f>
        <v>#N/A</v>
      </c>
      <c r="K298" s="466" t="e">
        <f t="shared" ca="1" si="20"/>
        <v>#N/A</v>
      </c>
      <c r="L298" s="405" t="e">
        <f t="shared" si="21"/>
        <v>#N/A</v>
      </c>
      <c r="M298" s="418" t="e">
        <f>IF(ISBLANK(A298),NA(),IFERROR(A298+(PLAYER_EXP_MAX-D298)/L298,NA()))</f>
        <v>#N/A</v>
      </c>
      <c r="N298" s="466" t="e">
        <f t="shared" ca="1" si="22"/>
        <v>#N/A</v>
      </c>
    </row>
    <row r="299" spans="4:14" ht="14.65" customHeight="1" x14ac:dyDescent="0.25">
      <c r="D299" s="466" t="str">
        <f t="shared" si="19"/>
        <v>-</v>
      </c>
      <c r="E299" s="399" t="str">
        <f>IF(ISBLANK(A299),"-",D299/PLAYER_EXP_MAX)</f>
        <v>-</v>
      </c>
      <c r="F299" s="405" t="e">
        <f ca="1">IF(ISBLANK(A299),NA(),IFERROR(SLOPE(INDIRECT("D" &amp; MATCH(A299-$B$1,A:A,1)):D299, INDIRECT("A" &amp; MATCH(A299-$B$1,A:A,1)):A299),NA()))</f>
        <v>#N/A</v>
      </c>
      <c r="G299" s="418" t="e">
        <f>IF(ISBLANK(A299),NA(),IFERROR(A299+(PLAYER_EXP_MAX-D299)/F299,NA()))</f>
        <v>#N/A</v>
      </c>
      <c r="H299" s="466" t="e">
        <f ca="1">IF(ISBLANK(#REF!),NA(),IFERROR(TEXT(TRUNC(G299-NOW()),"000") &amp; " D " &amp; TEXT(TRUNC(ABS(G299-NOW()-TRUNC(G299-NOW()))*24),"00") &amp; " H", NA()))</f>
        <v>#N/A</v>
      </c>
      <c r="I299" s="405" t="e">
        <f ca="1">IF(ISBLANK(A299),NA(),IFERROR(SLOPE(INDIRECT("D" &amp; MATCH(A299-$C$1,A:A,1)):D299, INDIRECT("A" &amp; MATCH(A299-$C$1,A:A,1)):A299),NA()))</f>
        <v>#N/A</v>
      </c>
      <c r="J299" s="418" t="e">
        <f>IF(ISBLANK(A299),NA(),IFERROR(A299+(PLAYER_EXP_MAX-D299)/I299,NA()))</f>
        <v>#N/A</v>
      </c>
      <c r="K299" s="466" t="e">
        <f t="shared" ca="1" si="20"/>
        <v>#N/A</v>
      </c>
      <c r="L299" s="405" t="e">
        <f t="shared" si="21"/>
        <v>#N/A</v>
      </c>
      <c r="M299" s="418" t="e">
        <f>IF(ISBLANK(A299),NA(),IFERROR(A299+(PLAYER_EXP_MAX-D299)/L299,NA()))</f>
        <v>#N/A</v>
      </c>
      <c r="N299" s="466" t="e">
        <f t="shared" ca="1" si="22"/>
        <v>#N/A</v>
      </c>
    </row>
    <row r="300" spans="4:14" ht="14.65" customHeight="1" x14ac:dyDescent="0.25">
      <c r="D300" s="466" t="str">
        <f t="shared" si="19"/>
        <v>-</v>
      </c>
      <c r="E300" s="399" t="str">
        <f>IF(ISBLANK(A300),"-",D300/PLAYER_EXP_MAX)</f>
        <v>-</v>
      </c>
      <c r="F300" s="405" t="e">
        <f ca="1">IF(ISBLANK(A300),NA(),IFERROR(SLOPE(INDIRECT("D" &amp; MATCH(A300-$B$1,A:A,1)):D300, INDIRECT("A" &amp; MATCH(A300-$B$1,A:A,1)):A300),NA()))</f>
        <v>#N/A</v>
      </c>
      <c r="G300" s="418" t="e">
        <f>IF(ISBLANK(A300),NA(),IFERROR(A300+(PLAYER_EXP_MAX-D300)/F300,NA()))</f>
        <v>#N/A</v>
      </c>
      <c r="H300" s="466" t="e">
        <f ca="1">IF(ISBLANK(#REF!),NA(),IFERROR(TEXT(TRUNC(G300-NOW()),"000") &amp; " D " &amp; TEXT(TRUNC(ABS(G300-NOW()-TRUNC(G300-NOW()))*24),"00") &amp; " H", NA()))</f>
        <v>#N/A</v>
      </c>
      <c r="I300" s="405" t="e">
        <f ca="1">IF(ISBLANK(A300),NA(),IFERROR(SLOPE(INDIRECT("D" &amp; MATCH(A300-$C$1,A:A,1)):D300, INDIRECT("A" &amp; MATCH(A300-$C$1,A:A,1)):A300),NA()))</f>
        <v>#N/A</v>
      </c>
      <c r="J300" s="418" t="e">
        <f>IF(ISBLANK(A300),NA(),IFERROR(A300+(PLAYER_EXP_MAX-D300)/I300,NA()))</f>
        <v>#N/A</v>
      </c>
      <c r="K300" s="466" t="e">
        <f t="shared" ca="1" si="20"/>
        <v>#N/A</v>
      </c>
      <c r="L300" s="405" t="e">
        <f t="shared" si="21"/>
        <v>#N/A</v>
      </c>
      <c r="M300" s="418" t="e">
        <f>IF(ISBLANK(A300),NA(),IFERROR(A300+(PLAYER_EXP_MAX-D300)/L300,NA()))</f>
        <v>#N/A</v>
      </c>
      <c r="N300" s="466" t="e">
        <f t="shared" ca="1" si="22"/>
        <v>#N/A</v>
      </c>
    </row>
    <row r="301" spans="4:14" ht="14.65" customHeight="1" x14ac:dyDescent="0.25">
      <c r="D301" s="466" t="str">
        <f t="shared" si="19"/>
        <v>-</v>
      </c>
      <c r="E301" s="399" t="str">
        <f>IF(ISBLANK(A301),"-",D301/PLAYER_EXP_MAX)</f>
        <v>-</v>
      </c>
      <c r="F301" s="405" t="e">
        <f ca="1">IF(ISBLANK(A301),NA(),IFERROR(SLOPE(INDIRECT("D" &amp; MATCH(A301-$B$1,A:A,1)):D301, INDIRECT("A" &amp; MATCH(A301-$B$1,A:A,1)):A301),NA()))</f>
        <v>#N/A</v>
      </c>
      <c r="G301" s="418" t="e">
        <f>IF(ISBLANK(A301),NA(),IFERROR(A301+(PLAYER_EXP_MAX-D301)/F301,NA()))</f>
        <v>#N/A</v>
      </c>
      <c r="H301" s="466" t="e">
        <f ca="1">IF(ISBLANK(#REF!),NA(),IFERROR(TEXT(TRUNC(G301-NOW()),"000") &amp; " D " &amp; TEXT(TRUNC(ABS(G301-NOW()-TRUNC(G301-NOW()))*24),"00") &amp; " H", NA()))</f>
        <v>#N/A</v>
      </c>
      <c r="I301" s="405" t="e">
        <f ca="1">IF(ISBLANK(A301),NA(),IFERROR(SLOPE(INDIRECT("D" &amp; MATCH(A301-$C$1,A:A,1)):D301, INDIRECT("A" &amp; MATCH(A301-$C$1,A:A,1)):A301),NA()))</f>
        <v>#N/A</v>
      </c>
      <c r="J301" s="418" t="e">
        <f>IF(ISBLANK(A301),NA(),IFERROR(A301+(PLAYER_EXP_MAX-D301)/I301,NA()))</f>
        <v>#N/A</v>
      </c>
      <c r="K301" s="466" t="e">
        <f t="shared" ca="1" si="20"/>
        <v>#N/A</v>
      </c>
      <c r="L301" s="405" t="e">
        <f t="shared" si="21"/>
        <v>#N/A</v>
      </c>
      <c r="M301" s="418" t="e">
        <f>IF(ISBLANK(A301),NA(),IFERROR(A301+(PLAYER_EXP_MAX-D301)/L301,NA()))</f>
        <v>#N/A</v>
      </c>
      <c r="N301" s="466" t="e">
        <f t="shared" ca="1" si="22"/>
        <v>#N/A</v>
      </c>
    </row>
    <row r="302" spans="4:14" ht="14.65" customHeight="1" x14ac:dyDescent="0.25">
      <c r="D302" s="466" t="str">
        <f t="shared" si="19"/>
        <v>-</v>
      </c>
      <c r="E302" s="399" t="str">
        <f>IF(ISBLANK(A302),"-",D302/PLAYER_EXP_MAX)</f>
        <v>-</v>
      </c>
      <c r="F302" s="405" t="e">
        <f ca="1">IF(ISBLANK(A302),NA(),IFERROR(SLOPE(INDIRECT("D" &amp; MATCH(A302-$B$1,A:A,1)):D302, INDIRECT("A" &amp; MATCH(A302-$B$1,A:A,1)):A302),NA()))</f>
        <v>#N/A</v>
      </c>
      <c r="G302" s="418" t="e">
        <f>IF(ISBLANK(A302),NA(),IFERROR(A302+(PLAYER_EXP_MAX-D302)/F302,NA()))</f>
        <v>#N/A</v>
      </c>
      <c r="H302" s="466" t="e">
        <f ca="1">IF(ISBLANK(#REF!),NA(),IFERROR(TEXT(TRUNC(G302-NOW()),"000") &amp; " D " &amp; TEXT(TRUNC(ABS(G302-NOW()-TRUNC(G302-NOW()))*24),"00") &amp; " H", NA()))</f>
        <v>#N/A</v>
      </c>
      <c r="I302" s="405" t="e">
        <f ca="1">IF(ISBLANK(A302),NA(),IFERROR(SLOPE(INDIRECT("D" &amp; MATCH(A302-$C$1,A:A,1)):D302, INDIRECT("A" &amp; MATCH(A302-$C$1,A:A,1)):A302),NA()))</f>
        <v>#N/A</v>
      </c>
      <c r="J302" s="418" t="e">
        <f>IF(ISBLANK(A302),NA(),IFERROR(A302+(PLAYER_EXP_MAX-D302)/I302,NA()))</f>
        <v>#N/A</v>
      </c>
      <c r="K302" s="466" t="e">
        <f t="shared" ca="1" si="20"/>
        <v>#N/A</v>
      </c>
      <c r="L302" s="405" t="e">
        <f t="shared" si="21"/>
        <v>#N/A</v>
      </c>
      <c r="M302" s="418" t="e">
        <f>IF(ISBLANK(A302),NA(),IFERROR(A302+(PLAYER_EXP_MAX-D302)/L302,NA()))</f>
        <v>#N/A</v>
      </c>
      <c r="N302" s="466" t="e">
        <f t="shared" ca="1" si="22"/>
        <v>#N/A</v>
      </c>
    </row>
    <row r="303" spans="4:14" ht="14.65" customHeight="1" x14ac:dyDescent="0.25">
      <c r="D303" s="466" t="str">
        <f t="shared" si="19"/>
        <v>-</v>
      </c>
      <c r="E303" s="399" t="str">
        <f>IF(ISBLANK(A303),"-",D303/PLAYER_EXP_MAX)</f>
        <v>-</v>
      </c>
      <c r="F303" s="405" t="e">
        <f ca="1">IF(ISBLANK(A303),NA(),IFERROR(SLOPE(INDIRECT("D" &amp; MATCH(A303-$B$1,A:A,1)):D303, INDIRECT("A" &amp; MATCH(A303-$B$1,A:A,1)):A303),NA()))</f>
        <v>#N/A</v>
      </c>
      <c r="G303" s="418" t="e">
        <f>IF(ISBLANK(A303),NA(),IFERROR(A303+(PLAYER_EXP_MAX-D303)/F303,NA()))</f>
        <v>#N/A</v>
      </c>
      <c r="H303" s="466" t="e">
        <f ca="1">IF(ISBLANK(#REF!),NA(),IFERROR(TEXT(TRUNC(G303-NOW()),"000") &amp; " D " &amp; TEXT(TRUNC(ABS(G303-NOW()-TRUNC(G303-NOW()))*24),"00") &amp; " H", NA()))</f>
        <v>#N/A</v>
      </c>
      <c r="I303" s="405" t="e">
        <f ca="1">IF(ISBLANK(A303),NA(),IFERROR(SLOPE(INDIRECT("D" &amp; MATCH(A303-$C$1,A:A,1)):D303, INDIRECT("A" &amp; MATCH(A303-$C$1,A:A,1)):A303),NA()))</f>
        <v>#N/A</v>
      </c>
      <c r="J303" s="418" t="e">
        <f>IF(ISBLANK(A303),NA(),IFERROR(A303+(PLAYER_EXP_MAX-D303)/I303,NA()))</f>
        <v>#N/A</v>
      </c>
      <c r="K303" s="466" t="e">
        <f t="shared" ca="1" si="20"/>
        <v>#N/A</v>
      </c>
      <c r="L303" s="405" t="e">
        <f t="shared" si="21"/>
        <v>#N/A</v>
      </c>
      <c r="M303" s="418" t="e">
        <f>IF(ISBLANK(A303),NA(),IFERROR(A303+(PLAYER_EXP_MAX-D303)/L303,NA()))</f>
        <v>#N/A</v>
      </c>
      <c r="N303" s="466" t="e">
        <f t="shared" ca="1" si="22"/>
        <v>#N/A</v>
      </c>
    </row>
    <row r="304" spans="4:14" ht="14.65" customHeight="1" x14ac:dyDescent="0.25">
      <c r="D304" s="466" t="str">
        <f t="shared" si="19"/>
        <v>-</v>
      </c>
      <c r="E304" s="399" t="str">
        <f>IF(ISBLANK(A304),"-",D304/PLAYER_EXP_MAX)</f>
        <v>-</v>
      </c>
      <c r="F304" s="405" t="e">
        <f ca="1">IF(ISBLANK(A304),NA(),IFERROR(SLOPE(INDIRECT("D" &amp; MATCH(A304-$B$1,A:A,1)):D304, INDIRECT("A" &amp; MATCH(A304-$B$1,A:A,1)):A304),NA()))</f>
        <v>#N/A</v>
      </c>
      <c r="G304" s="418" t="e">
        <f>IF(ISBLANK(A304),NA(),IFERROR(A304+(PLAYER_EXP_MAX-D304)/F304,NA()))</f>
        <v>#N/A</v>
      </c>
      <c r="H304" s="466" t="e">
        <f ca="1">IF(ISBLANK(#REF!),NA(),IFERROR(TEXT(TRUNC(G304-NOW()),"000") &amp; " D " &amp; TEXT(TRUNC(ABS(G304-NOW()-TRUNC(G304-NOW()))*24),"00") &amp; " H", NA()))</f>
        <v>#N/A</v>
      </c>
      <c r="I304" s="405" t="e">
        <f ca="1">IF(ISBLANK(A304),NA(),IFERROR(SLOPE(INDIRECT("D" &amp; MATCH(A304-$C$1,A:A,1)):D304, INDIRECT("A" &amp; MATCH(A304-$C$1,A:A,1)):A304),NA()))</f>
        <v>#N/A</v>
      </c>
      <c r="J304" s="418" t="e">
        <f>IF(ISBLANK(A304),NA(),IFERROR(A304+(PLAYER_EXP_MAX-D304)/I304,NA()))</f>
        <v>#N/A</v>
      </c>
      <c r="K304" s="466" t="e">
        <f t="shared" ca="1" si="20"/>
        <v>#N/A</v>
      </c>
      <c r="L304" s="405" t="e">
        <f t="shared" si="21"/>
        <v>#N/A</v>
      </c>
      <c r="M304" s="418" t="e">
        <f>IF(ISBLANK(A304),NA(),IFERROR(A304+(PLAYER_EXP_MAX-D304)/L304,NA()))</f>
        <v>#N/A</v>
      </c>
      <c r="N304" s="466" t="e">
        <f t="shared" ca="1" si="22"/>
        <v>#N/A</v>
      </c>
    </row>
    <row r="305" spans="4:14" ht="14.65" customHeight="1" x14ac:dyDescent="0.25">
      <c r="D305" s="466" t="str">
        <f t="shared" si="19"/>
        <v>-</v>
      </c>
      <c r="E305" s="399" t="str">
        <f>IF(ISBLANK(A305),"-",D305/PLAYER_EXP_MAX)</f>
        <v>-</v>
      </c>
      <c r="F305" s="405" t="e">
        <f ca="1">IF(ISBLANK(A305),NA(),IFERROR(SLOPE(INDIRECT("D" &amp; MATCH(A305-$B$1,A:A,1)):D305, INDIRECT("A" &amp; MATCH(A305-$B$1,A:A,1)):A305),NA()))</f>
        <v>#N/A</v>
      </c>
      <c r="G305" s="418" t="e">
        <f>IF(ISBLANK(A305),NA(),IFERROR(A305+(PLAYER_EXP_MAX-D305)/F305,NA()))</f>
        <v>#N/A</v>
      </c>
      <c r="H305" s="466" t="e">
        <f ca="1">IF(ISBLANK(#REF!),NA(),IFERROR(TEXT(TRUNC(G305-NOW()),"000") &amp; " D " &amp; TEXT(TRUNC(ABS(G305-NOW()-TRUNC(G305-NOW()))*24),"00") &amp; " H", NA()))</f>
        <v>#N/A</v>
      </c>
      <c r="I305" s="405" t="e">
        <f ca="1">IF(ISBLANK(A305),NA(),IFERROR(SLOPE(INDIRECT("D" &amp; MATCH(A305-$C$1,A:A,1)):D305, INDIRECT("A" &amp; MATCH(A305-$C$1,A:A,1)):A305),NA()))</f>
        <v>#N/A</v>
      </c>
      <c r="J305" s="418" t="e">
        <f>IF(ISBLANK(A305),NA(),IFERROR(A305+(PLAYER_EXP_MAX-D305)/I305,NA()))</f>
        <v>#N/A</v>
      </c>
      <c r="K305" s="466" t="e">
        <f t="shared" ca="1" si="20"/>
        <v>#N/A</v>
      </c>
      <c r="L305" s="405" t="e">
        <f t="shared" si="21"/>
        <v>#N/A</v>
      </c>
      <c r="M305" s="418" t="e">
        <f>IF(ISBLANK(A305),NA(),IFERROR(A305+(PLAYER_EXP_MAX-D305)/L305,NA()))</f>
        <v>#N/A</v>
      </c>
      <c r="N305" s="466" t="e">
        <f t="shared" ca="1" si="22"/>
        <v>#N/A</v>
      </c>
    </row>
    <row r="306" spans="4:14" ht="14.65" customHeight="1" x14ac:dyDescent="0.25">
      <c r="D306" s="466" t="str">
        <f t="shared" si="19"/>
        <v>-</v>
      </c>
      <c r="E306" s="399" t="str">
        <f>IF(ISBLANK(A306),"-",D306/PLAYER_EXP_MAX)</f>
        <v>-</v>
      </c>
      <c r="F306" s="405" t="e">
        <f ca="1">IF(ISBLANK(A306),NA(),IFERROR(SLOPE(INDIRECT("D" &amp; MATCH(A306-$B$1,A:A,1)):D306, INDIRECT("A" &amp; MATCH(A306-$B$1,A:A,1)):A306),NA()))</f>
        <v>#N/A</v>
      </c>
      <c r="G306" s="418" t="e">
        <f>IF(ISBLANK(A306),NA(),IFERROR(A306+(PLAYER_EXP_MAX-D306)/F306,NA()))</f>
        <v>#N/A</v>
      </c>
      <c r="H306" s="466" t="e">
        <f ca="1">IF(ISBLANK(#REF!),NA(),IFERROR(TEXT(TRUNC(G306-NOW()),"000") &amp; " D " &amp; TEXT(TRUNC(ABS(G306-NOW()-TRUNC(G306-NOW()))*24),"00") &amp; " H", NA()))</f>
        <v>#N/A</v>
      </c>
      <c r="I306" s="405" t="e">
        <f ca="1">IF(ISBLANK(A306),NA(),IFERROR(SLOPE(INDIRECT("D" &amp; MATCH(A306-$C$1,A:A,1)):D306, INDIRECT("A" &amp; MATCH(A306-$C$1,A:A,1)):A306),NA()))</f>
        <v>#N/A</v>
      </c>
      <c r="J306" s="418" t="e">
        <f>IF(ISBLANK(A306),NA(),IFERROR(A306+(PLAYER_EXP_MAX-D306)/I306,NA()))</f>
        <v>#N/A</v>
      </c>
      <c r="K306" s="466" t="e">
        <f t="shared" ca="1" si="20"/>
        <v>#N/A</v>
      </c>
      <c r="L306" s="405" t="e">
        <f t="shared" si="21"/>
        <v>#N/A</v>
      </c>
      <c r="M306" s="418" t="e">
        <f>IF(ISBLANK(A306),NA(),IFERROR(A306+(PLAYER_EXP_MAX-D306)/L306,NA()))</f>
        <v>#N/A</v>
      </c>
      <c r="N306" s="466" t="e">
        <f t="shared" ca="1" si="22"/>
        <v>#N/A</v>
      </c>
    </row>
    <row r="307" spans="4:14" ht="14.65" customHeight="1" x14ac:dyDescent="0.25">
      <c r="D307" s="466" t="str">
        <f t="shared" si="19"/>
        <v>-</v>
      </c>
      <c r="E307" s="399" t="str">
        <f>IF(ISBLANK(A307),"-",D307/PLAYER_EXP_MAX)</f>
        <v>-</v>
      </c>
      <c r="F307" s="405" t="e">
        <f ca="1">IF(ISBLANK(A307),NA(),IFERROR(SLOPE(INDIRECT("D" &amp; MATCH(A307-$B$1,A:A,1)):D307, INDIRECT("A" &amp; MATCH(A307-$B$1,A:A,1)):A307),NA()))</f>
        <v>#N/A</v>
      </c>
      <c r="G307" s="418" t="e">
        <f>IF(ISBLANK(A307),NA(),IFERROR(A307+(PLAYER_EXP_MAX-D307)/F307,NA()))</f>
        <v>#N/A</v>
      </c>
      <c r="H307" s="466" t="e">
        <f ca="1">IF(ISBLANK(#REF!),NA(),IFERROR(TEXT(TRUNC(G307-NOW()),"000") &amp; " D " &amp; TEXT(TRUNC(ABS(G307-NOW()-TRUNC(G307-NOW()))*24),"00") &amp; " H", NA()))</f>
        <v>#N/A</v>
      </c>
      <c r="I307" s="405" t="e">
        <f ca="1">IF(ISBLANK(A307),NA(),IFERROR(SLOPE(INDIRECT("D" &amp; MATCH(A307-$C$1,A:A,1)):D307, INDIRECT("A" &amp; MATCH(A307-$C$1,A:A,1)):A307),NA()))</f>
        <v>#N/A</v>
      </c>
      <c r="J307" s="418" t="e">
        <f>IF(ISBLANK(A307),NA(),IFERROR(A307+(PLAYER_EXP_MAX-D307)/I307,NA()))</f>
        <v>#N/A</v>
      </c>
      <c r="K307" s="466" t="e">
        <f t="shared" ca="1" si="20"/>
        <v>#N/A</v>
      </c>
      <c r="L307" s="405" t="e">
        <f t="shared" si="21"/>
        <v>#N/A</v>
      </c>
      <c r="M307" s="418" t="e">
        <f>IF(ISBLANK(A307),NA(),IFERROR(A307+(PLAYER_EXP_MAX-D307)/L307,NA()))</f>
        <v>#N/A</v>
      </c>
      <c r="N307" s="466" t="e">
        <f t="shared" ca="1" si="22"/>
        <v>#N/A</v>
      </c>
    </row>
    <row r="308" spans="4:14" ht="14.65" customHeight="1" x14ac:dyDescent="0.25">
      <c r="D308" s="466" t="str">
        <f t="shared" si="19"/>
        <v>-</v>
      </c>
      <c r="E308" s="399" t="str">
        <f>IF(ISBLANK(A308),"-",D308/PLAYER_EXP_MAX)</f>
        <v>-</v>
      </c>
      <c r="F308" s="405" t="e">
        <f ca="1">IF(ISBLANK(A308),NA(),IFERROR(SLOPE(INDIRECT("D" &amp; MATCH(A308-$B$1,A:A,1)):D308, INDIRECT("A" &amp; MATCH(A308-$B$1,A:A,1)):A308),NA()))</f>
        <v>#N/A</v>
      </c>
      <c r="G308" s="418" t="e">
        <f>IF(ISBLANK(A308),NA(),IFERROR(A308+(PLAYER_EXP_MAX-D308)/F308,NA()))</f>
        <v>#N/A</v>
      </c>
      <c r="H308" s="466" t="e">
        <f ca="1">IF(ISBLANK(#REF!),NA(),IFERROR(TEXT(TRUNC(G308-NOW()),"000") &amp; " D " &amp; TEXT(TRUNC(ABS(G308-NOW()-TRUNC(G308-NOW()))*24),"00") &amp; " H", NA()))</f>
        <v>#N/A</v>
      </c>
      <c r="I308" s="405" t="e">
        <f ca="1">IF(ISBLANK(A308),NA(),IFERROR(SLOPE(INDIRECT("D" &amp; MATCH(A308-$C$1,A:A,1)):D308, INDIRECT("A" &amp; MATCH(A308-$C$1,A:A,1)):A308),NA()))</f>
        <v>#N/A</v>
      </c>
      <c r="J308" s="418" t="e">
        <f>IF(ISBLANK(A308),NA(),IFERROR(A308+(PLAYER_EXP_MAX-D308)/I308,NA()))</f>
        <v>#N/A</v>
      </c>
      <c r="K308" s="466" t="e">
        <f t="shared" ca="1" si="20"/>
        <v>#N/A</v>
      </c>
      <c r="L308" s="405" t="e">
        <f t="shared" si="21"/>
        <v>#N/A</v>
      </c>
      <c r="M308" s="418" t="e">
        <f>IF(ISBLANK(A308),NA(),IFERROR(A308+(PLAYER_EXP_MAX-D308)/L308,NA()))</f>
        <v>#N/A</v>
      </c>
      <c r="N308" s="466" t="e">
        <f t="shared" ca="1" si="22"/>
        <v>#N/A</v>
      </c>
    </row>
    <row r="309" spans="4:14" ht="14.65" customHeight="1" x14ac:dyDescent="0.25">
      <c r="D309" s="466" t="str">
        <f t="shared" si="19"/>
        <v>-</v>
      </c>
      <c r="E309" s="399" t="str">
        <f>IF(ISBLANK(A309),"-",D309/PLAYER_EXP_MAX)</f>
        <v>-</v>
      </c>
      <c r="F309" s="405" t="e">
        <f ca="1">IF(ISBLANK(A309),NA(),IFERROR(SLOPE(INDIRECT("D" &amp; MATCH(A309-$B$1,A:A,1)):D309, INDIRECT("A" &amp; MATCH(A309-$B$1,A:A,1)):A309),NA()))</f>
        <v>#N/A</v>
      </c>
      <c r="G309" s="418" t="e">
        <f>IF(ISBLANK(A309),NA(),IFERROR(A309+(PLAYER_EXP_MAX-D309)/F309,NA()))</f>
        <v>#N/A</v>
      </c>
      <c r="H309" s="466" t="e">
        <f ca="1">IF(ISBLANK(#REF!),NA(),IFERROR(TEXT(TRUNC(G309-NOW()),"000") &amp; " D " &amp; TEXT(TRUNC(ABS(G309-NOW()-TRUNC(G309-NOW()))*24),"00") &amp; " H", NA()))</f>
        <v>#N/A</v>
      </c>
      <c r="I309" s="405" t="e">
        <f ca="1">IF(ISBLANK(A309),NA(),IFERROR(SLOPE(INDIRECT("D" &amp; MATCH(A309-$C$1,A:A,1)):D309, INDIRECT("A" &amp; MATCH(A309-$C$1,A:A,1)):A309),NA()))</f>
        <v>#N/A</v>
      </c>
      <c r="J309" s="418" t="e">
        <f>IF(ISBLANK(A309),NA(),IFERROR(A309+(PLAYER_EXP_MAX-D309)/I309,NA()))</f>
        <v>#N/A</v>
      </c>
      <c r="K309" s="466" t="e">
        <f t="shared" ca="1" si="20"/>
        <v>#N/A</v>
      </c>
      <c r="L309" s="405" t="e">
        <f t="shared" si="21"/>
        <v>#N/A</v>
      </c>
      <c r="M309" s="418" t="e">
        <f>IF(ISBLANK(A309),NA(),IFERROR(A309+(PLAYER_EXP_MAX-D309)/L309,NA()))</f>
        <v>#N/A</v>
      </c>
      <c r="N309" s="466" t="e">
        <f t="shared" ca="1" si="22"/>
        <v>#N/A</v>
      </c>
    </row>
    <row r="310" spans="4:14" ht="14.65" customHeight="1" x14ac:dyDescent="0.25">
      <c r="D310" s="466" t="str">
        <f t="shared" si="19"/>
        <v>-</v>
      </c>
      <c r="E310" s="399" t="str">
        <f>IF(ISBLANK(A310),"-",D310/PLAYER_EXP_MAX)</f>
        <v>-</v>
      </c>
      <c r="F310" s="405" t="e">
        <f ca="1">IF(ISBLANK(A310),NA(),IFERROR(SLOPE(INDIRECT("D" &amp; MATCH(A310-$B$1,A:A,1)):D310, INDIRECT("A" &amp; MATCH(A310-$B$1,A:A,1)):A310),NA()))</f>
        <v>#N/A</v>
      </c>
      <c r="G310" s="418" t="e">
        <f>IF(ISBLANK(A310),NA(),IFERROR(A310+(PLAYER_EXP_MAX-D310)/F310,NA()))</f>
        <v>#N/A</v>
      </c>
      <c r="H310" s="466" t="e">
        <f ca="1">IF(ISBLANK(#REF!),NA(),IFERROR(TEXT(TRUNC(G310-NOW()),"000") &amp; " D " &amp; TEXT(TRUNC(ABS(G310-NOW()-TRUNC(G310-NOW()))*24),"00") &amp; " H", NA()))</f>
        <v>#N/A</v>
      </c>
      <c r="I310" s="405" t="e">
        <f ca="1">IF(ISBLANK(A310),NA(),IFERROR(SLOPE(INDIRECT("D" &amp; MATCH(A310-$C$1,A:A,1)):D310, INDIRECT("A" &amp; MATCH(A310-$C$1,A:A,1)):A310),NA()))</f>
        <v>#N/A</v>
      </c>
      <c r="J310" s="418" t="e">
        <f>IF(ISBLANK(A310),NA(),IFERROR(A310+(PLAYER_EXP_MAX-D310)/I310,NA()))</f>
        <v>#N/A</v>
      </c>
      <c r="K310" s="466" t="e">
        <f t="shared" ca="1" si="20"/>
        <v>#N/A</v>
      </c>
      <c r="L310" s="405" t="e">
        <f t="shared" si="21"/>
        <v>#N/A</v>
      </c>
      <c r="M310" s="418" t="e">
        <f>IF(ISBLANK(A310),NA(),IFERROR(A310+(PLAYER_EXP_MAX-D310)/L310,NA()))</f>
        <v>#N/A</v>
      </c>
      <c r="N310" s="466" t="e">
        <f t="shared" ca="1" si="22"/>
        <v>#N/A</v>
      </c>
    </row>
    <row r="311" spans="4:14" ht="14.65" customHeight="1" x14ac:dyDescent="0.25">
      <c r="D311" s="466" t="str">
        <f t="shared" si="19"/>
        <v>-</v>
      </c>
      <c r="E311" s="399" t="str">
        <f>IF(ISBLANK(A311),"-",D311/PLAYER_EXP_MAX)</f>
        <v>-</v>
      </c>
      <c r="F311" s="405" t="e">
        <f ca="1">IF(ISBLANK(A311),NA(),IFERROR(SLOPE(INDIRECT("D" &amp; MATCH(A311-$B$1,A:A,1)):D311, INDIRECT("A" &amp; MATCH(A311-$B$1,A:A,1)):A311),NA()))</f>
        <v>#N/A</v>
      </c>
      <c r="G311" s="418" t="e">
        <f>IF(ISBLANK(A311),NA(),IFERROR(A311+(PLAYER_EXP_MAX-D311)/F311,NA()))</f>
        <v>#N/A</v>
      </c>
      <c r="H311" s="466" t="e">
        <f ca="1">IF(ISBLANK(#REF!),NA(),IFERROR(TEXT(TRUNC(G311-NOW()),"000") &amp; " D " &amp; TEXT(TRUNC(ABS(G311-NOW()-TRUNC(G311-NOW()))*24),"00") &amp; " H", NA()))</f>
        <v>#N/A</v>
      </c>
      <c r="I311" s="405" t="e">
        <f ca="1">IF(ISBLANK(A311),NA(),IFERROR(SLOPE(INDIRECT("D" &amp; MATCH(A311-$C$1,A:A,1)):D311, INDIRECT("A" &amp; MATCH(A311-$C$1,A:A,1)):A311),NA()))</f>
        <v>#N/A</v>
      </c>
      <c r="J311" s="418" t="e">
        <f>IF(ISBLANK(A311),NA(),IFERROR(A311+(PLAYER_EXP_MAX-D311)/I311,NA()))</f>
        <v>#N/A</v>
      </c>
      <c r="K311" s="466" t="e">
        <f t="shared" ca="1" si="20"/>
        <v>#N/A</v>
      </c>
      <c r="L311" s="405" t="e">
        <f t="shared" si="21"/>
        <v>#N/A</v>
      </c>
      <c r="M311" s="418" t="e">
        <f>IF(ISBLANK(A311),NA(),IFERROR(A311+(PLAYER_EXP_MAX-D311)/L311,NA()))</f>
        <v>#N/A</v>
      </c>
      <c r="N311" s="466" t="e">
        <f t="shared" ca="1" si="22"/>
        <v>#N/A</v>
      </c>
    </row>
    <row r="312" spans="4:14" ht="14.65" customHeight="1" x14ac:dyDescent="0.25">
      <c r="D312" s="466" t="str">
        <f t="shared" si="19"/>
        <v>-</v>
      </c>
      <c r="E312" s="399" t="str">
        <f>IF(ISBLANK(A312),"-",D312/PLAYER_EXP_MAX)</f>
        <v>-</v>
      </c>
      <c r="F312" s="405" t="e">
        <f ca="1">IF(ISBLANK(A312),NA(),IFERROR(SLOPE(INDIRECT("D" &amp; MATCH(A312-$B$1,A:A,1)):D312, INDIRECT("A" &amp; MATCH(A312-$B$1,A:A,1)):A312),NA()))</f>
        <v>#N/A</v>
      </c>
      <c r="G312" s="418" t="e">
        <f>IF(ISBLANK(A312),NA(),IFERROR(A312+(PLAYER_EXP_MAX-D312)/F312,NA()))</f>
        <v>#N/A</v>
      </c>
      <c r="H312" s="466" t="e">
        <f ca="1">IF(ISBLANK(#REF!),NA(),IFERROR(TEXT(TRUNC(G312-NOW()),"000") &amp; " D " &amp; TEXT(TRUNC(ABS(G312-NOW()-TRUNC(G312-NOW()))*24),"00") &amp; " H", NA()))</f>
        <v>#N/A</v>
      </c>
      <c r="I312" s="405" t="e">
        <f ca="1">IF(ISBLANK(A312),NA(),IFERROR(SLOPE(INDIRECT("D" &amp; MATCH(A312-$C$1,A:A,1)):D312, INDIRECT("A" &amp; MATCH(A312-$C$1,A:A,1)):A312),NA()))</f>
        <v>#N/A</v>
      </c>
      <c r="J312" s="418" t="e">
        <f>IF(ISBLANK(A312),NA(),IFERROR(A312+(PLAYER_EXP_MAX-D312)/I312,NA()))</f>
        <v>#N/A</v>
      </c>
      <c r="K312" s="466" t="e">
        <f t="shared" ca="1" si="20"/>
        <v>#N/A</v>
      </c>
      <c r="L312" s="405" t="e">
        <f t="shared" si="21"/>
        <v>#N/A</v>
      </c>
      <c r="M312" s="418" t="e">
        <f>IF(ISBLANK(A312),NA(),IFERROR(A312+(PLAYER_EXP_MAX-D312)/L312,NA()))</f>
        <v>#N/A</v>
      </c>
      <c r="N312" s="466" t="e">
        <f t="shared" ca="1" si="22"/>
        <v>#N/A</v>
      </c>
    </row>
    <row r="313" spans="4:14" ht="14.65" customHeight="1" x14ac:dyDescent="0.25">
      <c r="D313" s="466" t="str">
        <f t="shared" si="19"/>
        <v>-</v>
      </c>
      <c r="E313" s="399" t="str">
        <f>IF(ISBLANK(A313),"-",D313/PLAYER_EXP_MAX)</f>
        <v>-</v>
      </c>
      <c r="F313" s="405" t="e">
        <f ca="1">IF(ISBLANK(A313),NA(),IFERROR(SLOPE(INDIRECT("D" &amp; MATCH(A313-$B$1,A:A,1)):D313, INDIRECT("A" &amp; MATCH(A313-$B$1,A:A,1)):A313),NA()))</f>
        <v>#N/A</v>
      </c>
      <c r="G313" s="418" t="e">
        <f>IF(ISBLANK(A313),NA(),IFERROR(A313+(PLAYER_EXP_MAX-D313)/F313,NA()))</f>
        <v>#N/A</v>
      </c>
      <c r="H313" s="466" t="e">
        <f ca="1">IF(ISBLANK(#REF!),NA(),IFERROR(TEXT(TRUNC(G313-NOW()),"000") &amp; " D " &amp; TEXT(TRUNC(ABS(G313-NOW()-TRUNC(G313-NOW()))*24),"00") &amp; " H", NA()))</f>
        <v>#N/A</v>
      </c>
      <c r="I313" s="405" t="e">
        <f ca="1">IF(ISBLANK(A313),NA(),IFERROR(SLOPE(INDIRECT("D" &amp; MATCH(A313-$C$1,A:A,1)):D313, INDIRECT("A" &amp; MATCH(A313-$C$1,A:A,1)):A313),NA()))</f>
        <v>#N/A</v>
      </c>
      <c r="J313" s="418" t="e">
        <f>IF(ISBLANK(A313),NA(),IFERROR(A313+(PLAYER_EXP_MAX-D313)/I313,NA()))</f>
        <v>#N/A</v>
      </c>
      <c r="K313" s="466" t="e">
        <f t="shared" ca="1" si="20"/>
        <v>#N/A</v>
      </c>
      <c r="L313" s="405" t="e">
        <f t="shared" si="21"/>
        <v>#N/A</v>
      </c>
      <c r="M313" s="418" t="e">
        <f>IF(ISBLANK(A313),NA(),IFERROR(A313+(PLAYER_EXP_MAX-D313)/L313,NA()))</f>
        <v>#N/A</v>
      </c>
      <c r="N313" s="466" t="e">
        <f t="shared" ca="1" si="22"/>
        <v>#N/A</v>
      </c>
    </row>
    <row r="314" spans="4:14" ht="14.65" customHeight="1" x14ac:dyDescent="0.25">
      <c r="D314" s="466" t="str">
        <f t="shared" si="19"/>
        <v>-</v>
      </c>
      <c r="E314" s="399" t="str">
        <f>IF(ISBLANK(A314),"-",D314/PLAYER_EXP_MAX)</f>
        <v>-</v>
      </c>
      <c r="F314" s="405" t="e">
        <f ca="1">IF(ISBLANK(A314),NA(),IFERROR(SLOPE(INDIRECT("D" &amp; MATCH(A314-$B$1,A:A,1)):D314, INDIRECT("A" &amp; MATCH(A314-$B$1,A:A,1)):A314),NA()))</f>
        <v>#N/A</v>
      </c>
      <c r="G314" s="418" t="e">
        <f>IF(ISBLANK(A314),NA(),IFERROR(A314+(PLAYER_EXP_MAX-D314)/F314,NA()))</f>
        <v>#N/A</v>
      </c>
      <c r="H314" s="466" t="e">
        <f ca="1">IF(ISBLANK(#REF!),NA(),IFERROR(TEXT(TRUNC(G314-NOW()),"000") &amp; " D " &amp; TEXT(TRUNC(ABS(G314-NOW()-TRUNC(G314-NOW()))*24),"00") &amp; " H", NA()))</f>
        <v>#N/A</v>
      </c>
      <c r="I314" s="405" t="e">
        <f ca="1">IF(ISBLANK(A314),NA(),IFERROR(SLOPE(INDIRECT("D" &amp; MATCH(A314-$C$1,A:A,1)):D314, INDIRECT("A" &amp; MATCH(A314-$C$1,A:A,1)):A314),NA()))</f>
        <v>#N/A</v>
      </c>
      <c r="J314" s="418" t="e">
        <f>IF(ISBLANK(A314),NA(),IFERROR(A314+(PLAYER_EXP_MAX-D314)/I314,NA()))</f>
        <v>#N/A</v>
      </c>
      <c r="K314" s="466" t="e">
        <f t="shared" ca="1" si="20"/>
        <v>#N/A</v>
      </c>
      <c r="L314" s="405" t="e">
        <f t="shared" si="21"/>
        <v>#N/A</v>
      </c>
      <c r="M314" s="418" t="e">
        <f>IF(ISBLANK(A314),NA(),IFERROR(A314+(PLAYER_EXP_MAX-D314)/L314,NA()))</f>
        <v>#N/A</v>
      </c>
      <c r="N314" s="466" t="e">
        <f t="shared" ca="1" si="22"/>
        <v>#N/A</v>
      </c>
    </row>
    <row r="315" spans="4:14" ht="14.65" customHeight="1" x14ac:dyDescent="0.25">
      <c r="D315" s="466" t="str">
        <f t="shared" si="19"/>
        <v>-</v>
      </c>
      <c r="E315" s="399" t="str">
        <f>IF(ISBLANK(A315),"-",D315/PLAYER_EXP_MAX)</f>
        <v>-</v>
      </c>
      <c r="F315" s="405" t="e">
        <f ca="1">IF(ISBLANK(A315),NA(),IFERROR(SLOPE(INDIRECT("D" &amp; MATCH(A315-$B$1,A:A,1)):D315, INDIRECT("A" &amp; MATCH(A315-$B$1,A:A,1)):A315),NA()))</f>
        <v>#N/A</v>
      </c>
      <c r="G315" s="418" t="e">
        <f>IF(ISBLANK(A315),NA(),IFERROR(A315+(PLAYER_EXP_MAX-D315)/F315,NA()))</f>
        <v>#N/A</v>
      </c>
      <c r="H315" s="466" t="e">
        <f ca="1">IF(ISBLANK(#REF!),NA(),IFERROR(TEXT(TRUNC(G315-NOW()),"000") &amp; " D " &amp; TEXT(TRUNC(ABS(G315-NOW()-TRUNC(G315-NOW()))*24),"00") &amp; " H", NA()))</f>
        <v>#N/A</v>
      </c>
      <c r="I315" s="405" t="e">
        <f ca="1">IF(ISBLANK(A315),NA(),IFERROR(SLOPE(INDIRECT("D" &amp; MATCH(A315-$C$1,A:A,1)):D315, INDIRECT("A" &amp; MATCH(A315-$C$1,A:A,1)):A315),NA()))</f>
        <v>#N/A</v>
      </c>
      <c r="J315" s="418" t="e">
        <f>IF(ISBLANK(A315),NA(),IFERROR(A315+(PLAYER_EXP_MAX-D315)/I315,NA()))</f>
        <v>#N/A</v>
      </c>
      <c r="K315" s="466" t="e">
        <f t="shared" ca="1" si="20"/>
        <v>#N/A</v>
      </c>
      <c r="L315" s="405" t="e">
        <f t="shared" si="21"/>
        <v>#N/A</v>
      </c>
      <c r="M315" s="418" t="e">
        <f>IF(ISBLANK(A315),NA(),IFERROR(A315+(PLAYER_EXP_MAX-D315)/L315,NA()))</f>
        <v>#N/A</v>
      </c>
      <c r="N315" s="466" t="e">
        <f t="shared" ca="1" si="22"/>
        <v>#N/A</v>
      </c>
    </row>
    <row r="316" spans="4:14" ht="14.65" customHeight="1" x14ac:dyDescent="0.25">
      <c r="D316" s="466" t="str">
        <f t="shared" si="19"/>
        <v>-</v>
      </c>
      <c r="E316" s="399" t="str">
        <f>IF(ISBLANK(A316),"-",D316/PLAYER_EXP_MAX)</f>
        <v>-</v>
      </c>
      <c r="F316" s="405" t="e">
        <f ca="1">IF(ISBLANK(A316),NA(),IFERROR(SLOPE(INDIRECT("D" &amp; MATCH(A316-$B$1,A:A,1)):D316, INDIRECT("A" &amp; MATCH(A316-$B$1,A:A,1)):A316),NA()))</f>
        <v>#N/A</v>
      </c>
      <c r="G316" s="418" t="e">
        <f>IF(ISBLANK(A316),NA(),IFERROR(A316+(PLAYER_EXP_MAX-D316)/F316,NA()))</f>
        <v>#N/A</v>
      </c>
      <c r="H316" s="466" t="e">
        <f ca="1">IF(ISBLANK(#REF!),NA(),IFERROR(TEXT(TRUNC(G316-NOW()),"000") &amp; " D " &amp; TEXT(TRUNC(ABS(G316-NOW()-TRUNC(G316-NOW()))*24),"00") &amp; " H", NA()))</f>
        <v>#N/A</v>
      </c>
      <c r="I316" s="405" t="e">
        <f ca="1">IF(ISBLANK(A316),NA(),IFERROR(SLOPE(INDIRECT("D" &amp; MATCH(A316-$C$1,A:A,1)):D316, INDIRECT("A" &amp; MATCH(A316-$C$1,A:A,1)):A316),NA()))</f>
        <v>#N/A</v>
      </c>
      <c r="J316" s="418" t="e">
        <f>IF(ISBLANK(A316),NA(),IFERROR(A316+(PLAYER_EXP_MAX-D316)/I316,NA()))</f>
        <v>#N/A</v>
      </c>
      <c r="K316" s="466" t="e">
        <f t="shared" ca="1" si="20"/>
        <v>#N/A</v>
      </c>
      <c r="L316" s="405" t="e">
        <f t="shared" si="21"/>
        <v>#N/A</v>
      </c>
      <c r="M316" s="418" t="e">
        <f>IF(ISBLANK(A316),NA(),IFERROR(A316+(PLAYER_EXP_MAX-D316)/L316,NA()))</f>
        <v>#N/A</v>
      </c>
      <c r="N316" s="466" t="e">
        <f t="shared" ca="1" si="22"/>
        <v>#N/A</v>
      </c>
    </row>
    <row r="317" spans="4:14" ht="14.65" customHeight="1" x14ac:dyDescent="0.25">
      <c r="D317" s="466" t="str">
        <f t="shared" si="19"/>
        <v>-</v>
      </c>
      <c r="E317" s="399" t="str">
        <f>IF(ISBLANK(A317),"-",D317/PLAYER_EXP_MAX)</f>
        <v>-</v>
      </c>
      <c r="F317" s="405" t="e">
        <f ca="1">IF(ISBLANK(A317),NA(),IFERROR(SLOPE(INDIRECT("D" &amp; MATCH(A317-$B$1,A:A,1)):D317, INDIRECT("A" &amp; MATCH(A317-$B$1,A:A,1)):A317),NA()))</f>
        <v>#N/A</v>
      </c>
      <c r="G317" s="418" t="e">
        <f>IF(ISBLANK(A317),NA(),IFERROR(A317+(PLAYER_EXP_MAX-D317)/F317,NA()))</f>
        <v>#N/A</v>
      </c>
      <c r="H317" s="466" t="e">
        <f ca="1">IF(ISBLANK(#REF!),NA(),IFERROR(TEXT(TRUNC(G317-NOW()),"000") &amp; " D " &amp; TEXT(TRUNC(ABS(G317-NOW()-TRUNC(G317-NOW()))*24),"00") &amp; " H", NA()))</f>
        <v>#N/A</v>
      </c>
      <c r="I317" s="405" t="e">
        <f ca="1">IF(ISBLANK(A317),NA(),IFERROR(SLOPE(INDIRECT("D" &amp; MATCH(A317-$C$1,A:A,1)):D317, INDIRECT("A" &amp; MATCH(A317-$C$1,A:A,1)):A317),NA()))</f>
        <v>#N/A</v>
      </c>
      <c r="J317" s="418" t="e">
        <f>IF(ISBLANK(A317),NA(),IFERROR(A317+(PLAYER_EXP_MAX-D317)/I317,NA()))</f>
        <v>#N/A</v>
      </c>
      <c r="K317" s="466" t="e">
        <f t="shared" ca="1" si="20"/>
        <v>#N/A</v>
      </c>
      <c r="L317" s="405" t="e">
        <f t="shared" si="21"/>
        <v>#N/A</v>
      </c>
      <c r="M317" s="418" t="e">
        <f>IF(ISBLANK(A317),NA(),IFERROR(A317+(PLAYER_EXP_MAX-D317)/L317,NA()))</f>
        <v>#N/A</v>
      </c>
      <c r="N317" s="466" t="e">
        <f t="shared" ca="1" si="22"/>
        <v>#N/A</v>
      </c>
    </row>
    <row r="318" spans="4:14" ht="14.65" customHeight="1" x14ac:dyDescent="0.25">
      <c r="D318" s="466" t="str">
        <f t="shared" si="19"/>
        <v>-</v>
      </c>
      <c r="E318" s="399" t="str">
        <f>IF(ISBLANK(A318),"-",D318/PLAYER_EXP_MAX)</f>
        <v>-</v>
      </c>
      <c r="F318" s="405" t="e">
        <f ca="1">IF(ISBLANK(A318),NA(),IFERROR(SLOPE(INDIRECT("D" &amp; MATCH(A318-$B$1,A:A,1)):D318, INDIRECT("A" &amp; MATCH(A318-$B$1,A:A,1)):A318),NA()))</f>
        <v>#N/A</v>
      </c>
      <c r="G318" s="418" t="e">
        <f>IF(ISBLANK(A318),NA(),IFERROR(A318+(PLAYER_EXP_MAX-D318)/F318,NA()))</f>
        <v>#N/A</v>
      </c>
      <c r="H318" s="466" t="e">
        <f ca="1">IF(ISBLANK(#REF!),NA(),IFERROR(TEXT(TRUNC(G318-NOW()),"000") &amp; " D " &amp; TEXT(TRUNC(ABS(G318-NOW()-TRUNC(G318-NOW()))*24),"00") &amp; " H", NA()))</f>
        <v>#N/A</v>
      </c>
      <c r="I318" s="405" t="e">
        <f ca="1">IF(ISBLANK(A318),NA(),IFERROR(SLOPE(INDIRECT("D" &amp; MATCH(A318-$C$1,A:A,1)):D318, INDIRECT("A" &amp; MATCH(A318-$C$1,A:A,1)):A318),NA()))</f>
        <v>#N/A</v>
      </c>
      <c r="J318" s="418" t="e">
        <f>IF(ISBLANK(A318),NA(),IFERROR(A318+(PLAYER_EXP_MAX-D318)/I318,NA()))</f>
        <v>#N/A</v>
      </c>
      <c r="K318" s="466" t="e">
        <f t="shared" ca="1" si="20"/>
        <v>#N/A</v>
      </c>
      <c r="L318" s="405" t="e">
        <f t="shared" si="21"/>
        <v>#N/A</v>
      </c>
      <c r="M318" s="418" t="e">
        <f>IF(ISBLANK(A318),NA(),IFERROR(A318+(PLAYER_EXP_MAX-D318)/L318,NA()))</f>
        <v>#N/A</v>
      </c>
      <c r="N318" s="466" t="e">
        <f t="shared" ca="1" si="22"/>
        <v>#N/A</v>
      </c>
    </row>
    <row r="319" spans="4:14" ht="14.65" customHeight="1" x14ac:dyDescent="0.25">
      <c r="D319" s="466" t="str">
        <f t="shared" si="19"/>
        <v>-</v>
      </c>
      <c r="E319" s="399" t="str">
        <f>IF(ISBLANK(A319),"-",D319/PLAYER_EXP_MAX)</f>
        <v>-</v>
      </c>
      <c r="F319" s="405" t="e">
        <f ca="1">IF(ISBLANK(A319),NA(),IFERROR(SLOPE(INDIRECT("D" &amp; MATCH(A319-$B$1,A:A,1)):D319, INDIRECT("A" &amp; MATCH(A319-$B$1,A:A,1)):A319),NA()))</f>
        <v>#N/A</v>
      </c>
      <c r="G319" s="418" t="e">
        <f>IF(ISBLANK(A319),NA(),IFERROR(A319+(PLAYER_EXP_MAX-D319)/F319,NA()))</f>
        <v>#N/A</v>
      </c>
      <c r="H319" s="466" t="e">
        <f ca="1">IF(ISBLANK(#REF!),NA(),IFERROR(TEXT(TRUNC(G319-NOW()),"000") &amp; " D " &amp; TEXT(TRUNC(ABS(G319-NOW()-TRUNC(G319-NOW()))*24),"00") &amp; " H", NA()))</f>
        <v>#N/A</v>
      </c>
      <c r="I319" s="405" t="e">
        <f ca="1">IF(ISBLANK(A319),NA(),IFERROR(SLOPE(INDIRECT("D" &amp; MATCH(A319-$C$1,A:A,1)):D319, INDIRECT("A" &amp; MATCH(A319-$C$1,A:A,1)):A319),NA()))</f>
        <v>#N/A</v>
      </c>
      <c r="J319" s="418" t="e">
        <f>IF(ISBLANK(A319),NA(),IFERROR(A319+(PLAYER_EXP_MAX-D319)/I319,NA()))</f>
        <v>#N/A</v>
      </c>
      <c r="K319" s="466" t="e">
        <f t="shared" ca="1" si="20"/>
        <v>#N/A</v>
      </c>
      <c r="L319" s="405" t="e">
        <f t="shared" si="21"/>
        <v>#N/A</v>
      </c>
      <c r="M319" s="418" t="e">
        <f>IF(ISBLANK(A319),NA(),IFERROR(A319+(PLAYER_EXP_MAX-D319)/L319,NA()))</f>
        <v>#N/A</v>
      </c>
      <c r="N319" s="466" t="e">
        <f t="shared" ca="1" si="22"/>
        <v>#N/A</v>
      </c>
    </row>
    <row r="320" spans="4:14" ht="14.65" customHeight="1" x14ac:dyDescent="0.25">
      <c r="D320" s="466" t="str">
        <f t="shared" si="19"/>
        <v>-</v>
      </c>
      <c r="E320" s="399" t="str">
        <f>IF(ISBLANK(A320),"-",D320/PLAYER_EXP_MAX)</f>
        <v>-</v>
      </c>
      <c r="F320" s="405" t="e">
        <f ca="1">IF(ISBLANK(A320),NA(),IFERROR(SLOPE(INDIRECT("D" &amp; MATCH(A320-$B$1,A:A,1)):D320, INDIRECT("A" &amp; MATCH(A320-$B$1,A:A,1)):A320),NA()))</f>
        <v>#N/A</v>
      </c>
      <c r="G320" s="418" t="e">
        <f>IF(ISBLANK(A320),NA(),IFERROR(A320+(PLAYER_EXP_MAX-D320)/F320,NA()))</f>
        <v>#N/A</v>
      </c>
      <c r="H320" s="466" t="e">
        <f ca="1">IF(ISBLANK(#REF!),NA(),IFERROR(TEXT(TRUNC(G320-NOW()),"000") &amp; " D " &amp; TEXT(TRUNC(ABS(G320-NOW()-TRUNC(G320-NOW()))*24),"00") &amp; " H", NA()))</f>
        <v>#N/A</v>
      </c>
      <c r="I320" s="405" t="e">
        <f ca="1">IF(ISBLANK(A320),NA(),IFERROR(SLOPE(INDIRECT("D" &amp; MATCH(A320-$C$1,A:A,1)):D320, INDIRECT("A" &amp; MATCH(A320-$C$1,A:A,1)):A320),NA()))</f>
        <v>#N/A</v>
      </c>
      <c r="J320" s="418" t="e">
        <f>IF(ISBLANK(A320),NA(),IFERROR(A320+(PLAYER_EXP_MAX-D320)/I320,NA()))</f>
        <v>#N/A</v>
      </c>
      <c r="K320" s="466" t="e">
        <f t="shared" ca="1" si="20"/>
        <v>#N/A</v>
      </c>
      <c r="L320" s="405" t="e">
        <f t="shared" si="21"/>
        <v>#N/A</v>
      </c>
      <c r="M320" s="418" t="e">
        <f>IF(ISBLANK(A320),NA(),IFERROR(A320+(PLAYER_EXP_MAX-D320)/L320,NA()))</f>
        <v>#N/A</v>
      </c>
      <c r="N320" s="466" t="e">
        <f t="shared" ca="1" si="22"/>
        <v>#N/A</v>
      </c>
    </row>
    <row r="321" spans="4:14" ht="14.65" customHeight="1" x14ac:dyDescent="0.25">
      <c r="D321" s="466" t="str">
        <f t="shared" si="19"/>
        <v>-</v>
      </c>
      <c r="E321" s="399" t="str">
        <f>IF(ISBLANK(A321),"-",D321/PLAYER_EXP_MAX)</f>
        <v>-</v>
      </c>
      <c r="F321" s="405" t="e">
        <f ca="1">IF(ISBLANK(A321),NA(),IFERROR(SLOPE(INDIRECT("D" &amp; MATCH(A321-$B$1,A:A,1)):D321, INDIRECT("A" &amp; MATCH(A321-$B$1,A:A,1)):A321),NA()))</f>
        <v>#N/A</v>
      </c>
      <c r="G321" s="418" t="e">
        <f>IF(ISBLANK(A321),NA(),IFERROR(A321+(PLAYER_EXP_MAX-D321)/F321,NA()))</f>
        <v>#N/A</v>
      </c>
      <c r="H321" s="466" t="e">
        <f ca="1">IF(ISBLANK(#REF!),NA(),IFERROR(TEXT(TRUNC(G321-NOW()),"000") &amp; " D " &amp; TEXT(TRUNC(ABS(G321-NOW()-TRUNC(G321-NOW()))*24),"00") &amp; " H", NA()))</f>
        <v>#N/A</v>
      </c>
      <c r="I321" s="405" t="e">
        <f ca="1">IF(ISBLANK(A321),NA(),IFERROR(SLOPE(INDIRECT("D" &amp; MATCH(A321-$C$1,A:A,1)):D321, INDIRECT("A" &amp; MATCH(A321-$C$1,A:A,1)):A321),NA()))</f>
        <v>#N/A</v>
      </c>
      <c r="J321" s="418" t="e">
        <f>IF(ISBLANK(A321),NA(),IFERROR(A321+(PLAYER_EXP_MAX-D321)/I321,NA()))</f>
        <v>#N/A</v>
      </c>
      <c r="K321" s="466" t="e">
        <f t="shared" ca="1" si="20"/>
        <v>#N/A</v>
      </c>
      <c r="L321" s="405" t="e">
        <f t="shared" si="21"/>
        <v>#N/A</v>
      </c>
      <c r="M321" s="418" t="e">
        <f>IF(ISBLANK(A321),NA(),IFERROR(A321+(PLAYER_EXP_MAX-D321)/L321,NA()))</f>
        <v>#N/A</v>
      </c>
      <c r="N321" s="466" t="e">
        <f t="shared" ca="1" si="22"/>
        <v>#N/A</v>
      </c>
    </row>
    <row r="322" spans="4:14" ht="14.65" customHeight="1" x14ac:dyDescent="0.25">
      <c r="D322" s="466" t="str">
        <f t="shared" si="19"/>
        <v>-</v>
      </c>
      <c r="E322" s="399" t="str">
        <f>IF(ISBLANK(A322),"-",D322/PLAYER_EXP_MAX)</f>
        <v>-</v>
      </c>
      <c r="F322" s="405" t="e">
        <f ca="1">IF(ISBLANK(A322),NA(),IFERROR(SLOPE(INDIRECT("D" &amp; MATCH(A322-$B$1,A:A,1)):D322, INDIRECT("A" &amp; MATCH(A322-$B$1,A:A,1)):A322),NA()))</f>
        <v>#N/A</v>
      </c>
      <c r="G322" s="418" t="e">
        <f>IF(ISBLANK(A322),NA(),IFERROR(A322+(PLAYER_EXP_MAX-D322)/F322,NA()))</f>
        <v>#N/A</v>
      </c>
      <c r="H322" s="466" t="e">
        <f ca="1">IF(ISBLANK(#REF!),NA(),IFERROR(TEXT(TRUNC(G322-NOW()),"000") &amp; " D " &amp; TEXT(TRUNC(ABS(G322-NOW()-TRUNC(G322-NOW()))*24),"00") &amp; " H", NA()))</f>
        <v>#N/A</v>
      </c>
      <c r="I322" s="405" t="e">
        <f ca="1">IF(ISBLANK(A322),NA(),IFERROR(SLOPE(INDIRECT("D" &amp; MATCH(A322-$C$1,A:A,1)):D322, INDIRECT("A" &amp; MATCH(A322-$C$1,A:A,1)):A322),NA()))</f>
        <v>#N/A</v>
      </c>
      <c r="J322" s="418" t="e">
        <f>IF(ISBLANK(A322),NA(),IFERROR(A322+(PLAYER_EXP_MAX-D322)/I322,NA()))</f>
        <v>#N/A</v>
      </c>
      <c r="K322" s="466" t="e">
        <f t="shared" ca="1" si="20"/>
        <v>#N/A</v>
      </c>
      <c r="L322" s="405" t="e">
        <f t="shared" si="21"/>
        <v>#N/A</v>
      </c>
      <c r="M322" s="418" t="e">
        <f>IF(ISBLANK(A322),NA(),IFERROR(A322+(PLAYER_EXP_MAX-D322)/L322,NA()))</f>
        <v>#N/A</v>
      </c>
      <c r="N322" s="466" t="e">
        <f t="shared" ca="1" si="22"/>
        <v>#N/A</v>
      </c>
    </row>
    <row r="323" spans="4:14" ht="14.65" customHeight="1" x14ac:dyDescent="0.25">
      <c r="D323" s="466" t="str">
        <f t="shared" ref="D323:D386" si="23">IF(ISBLANK(A323),"-",INDEX(DATA_PLAYER_EXP, B323, 3) + INDEX(DATA_PLAYER_EXP, B323, 2) - C323)</f>
        <v>-</v>
      </c>
      <c r="E323" s="399" t="str">
        <f>IF(ISBLANK(A323),"-",D323/PLAYER_EXP_MAX)</f>
        <v>-</v>
      </c>
      <c r="F323" s="405" t="e">
        <f ca="1">IF(ISBLANK(A323),NA(),IFERROR(SLOPE(INDIRECT("D" &amp; MATCH(A323-$B$1,A:A,1)):D323, INDIRECT("A" &amp; MATCH(A323-$B$1,A:A,1)):A323),NA()))</f>
        <v>#N/A</v>
      </c>
      <c r="G323" s="418" t="e">
        <f>IF(ISBLANK(A323),NA(),IFERROR(A323+(PLAYER_EXP_MAX-D323)/F323,NA()))</f>
        <v>#N/A</v>
      </c>
      <c r="H323" s="466" t="e">
        <f ca="1">IF(ISBLANK(#REF!),NA(),IFERROR(TEXT(TRUNC(G323-NOW()),"000") &amp; " D " &amp; TEXT(TRUNC(ABS(G323-NOW()-TRUNC(G323-NOW()))*24),"00") &amp; " H", NA()))</f>
        <v>#N/A</v>
      </c>
      <c r="I323" s="405" t="e">
        <f ca="1">IF(ISBLANK(A323),NA(),IFERROR(SLOPE(INDIRECT("D" &amp; MATCH(A323-$C$1,A:A,1)):D323, INDIRECT("A" &amp; MATCH(A323-$C$1,A:A,1)):A323),NA()))</f>
        <v>#N/A</v>
      </c>
      <c r="J323" s="418" t="e">
        <f>IF(ISBLANK(A323),NA(),IFERROR(A323+(PLAYER_EXP_MAX-D323)/I323,NA()))</f>
        <v>#N/A</v>
      </c>
      <c r="K323" s="466" t="e">
        <f t="shared" ref="K323:K386" ca="1" si="24">IF(ISBLANK(A323),NA(),IFERROR(TEXT(TRUNC(J323-NOW()),"000") &amp; " D " &amp; TEXT(TRUNC(ABS(J323-NOW()-TRUNC(J323-NOW()))*24),"00") &amp; " H", NA()))</f>
        <v>#N/A</v>
      </c>
      <c r="L323" s="405" t="e">
        <f t="shared" ref="L323:L386" si="25">IFERROR(IF(OR(ISBLANK($A323),$A323-$A$3 &lt; $B$1),NA(),($D323-$D$3)/($A323-$A$3)),NA())</f>
        <v>#N/A</v>
      </c>
      <c r="M323" s="418" t="e">
        <f>IF(ISBLANK(A323),NA(),IFERROR(A323+(PLAYER_EXP_MAX-D323)/L323,NA()))</f>
        <v>#N/A</v>
      </c>
      <c r="N323" s="466" t="e">
        <f t="shared" ca="1" si="22"/>
        <v>#N/A</v>
      </c>
    </row>
    <row r="324" spans="4:14" ht="14.65" customHeight="1" x14ac:dyDescent="0.25">
      <c r="D324" s="466" t="str">
        <f t="shared" si="23"/>
        <v>-</v>
      </c>
      <c r="E324" s="399" t="str">
        <f>IF(ISBLANK(A324),"-",D324/PLAYER_EXP_MAX)</f>
        <v>-</v>
      </c>
      <c r="F324" s="405" t="e">
        <f ca="1">IF(ISBLANK(A324),NA(),IFERROR(SLOPE(INDIRECT("D" &amp; MATCH(A324-$B$1,A:A,1)):D324, INDIRECT("A" &amp; MATCH(A324-$B$1,A:A,1)):A324),NA()))</f>
        <v>#N/A</v>
      </c>
      <c r="G324" s="418" t="e">
        <f>IF(ISBLANK(A324),NA(),IFERROR(A324+(PLAYER_EXP_MAX-D324)/F324,NA()))</f>
        <v>#N/A</v>
      </c>
      <c r="H324" s="466" t="e">
        <f ca="1">IF(ISBLANK(#REF!),NA(),IFERROR(TEXT(TRUNC(G324-NOW()),"000") &amp; " D " &amp; TEXT(TRUNC(ABS(G324-NOW()-TRUNC(G324-NOW()))*24),"00") &amp; " H", NA()))</f>
        <v>#N/A</v>
      </c>
      <c r="I324" s="405" t="e">
        <f ca="1">IF(ISBLANK(A324),NA(),IFERROR(SLOPE(INDIRECT("D" &amp; MATCH(A324-$C$1,A:A,1)):D324, INDIRECT("A" &amp; MATCH(A324-$C$1,A:A,1)):A324),NA()))</f>
        <v>#N/A</v>
      </c>
      <c r="J324" s="418" t="e">
        <f>IF(ISBLANK(A324),NA(),IFERROR(A324+(PLAYER_EXP_MAX-D324)/I324,NA()))</f>
        <v>#N/A</v>
      </c>
      <c r="K324" s="466" t="e">
        <f t="shared" ca="1" si="24"/>
        <v>#N/A</v>
      </c>
      <c r="L324" s="405" t="e">
        <f t="shared" si="25"/>
        <v>#N/A</v>
      </c>
      <c r="M324" s="418" t="e">
        <f>IF(ISBLANK(A324),NA(),IFERROR(A324+(PLAYER_EXP_MAX-D324)/L324,NA()))</f>
        <v>#N/A</v>
      </c>
      <c r="N324" s="466" t="e">
        <f t="shared" ca="1" si="22"/>
        <v>#N/A</v>
      </c>
    </row>
    <row r="325" spans="4:14" ht="14.65" customHeight="1" x14ac:dyDescent="0.25">
      <c r="D325" s="466" t="str">
        <f t="shared" si="23"/>
        <v>-</v>
      </c>
      <c r="E325" s="399" t="str">
        <f>IF(ISBLANK(A325),"-",D325/PLAYER_EXP_MAX)</f>
        <v>-</v>
      </c>
      <c r="F325" s="405" t="e">
        <f ca="1">IF(ISBLANK(A325),NA(),IFERROR(SLOPE(INDIRECT("D" &amp; MATCH(A325-$B$1,A:A,1)):D325, INDIRECT("A" &amp; MATCH(A325-$B$1,A:A,1)):A325),NA()))</f>
        <v>#N/A</v>
      </c>
      <c r="G325" s="418" t="e">
        <f>IF(ISBLANK(A325),NA(),IFERROR(A325+(PLAYER_EXP_MAX-D325)/F325,NA()))</f>
        <v>#N/A</v>
      </c>
      <c r="H325" s="466" t="e">
        <f ca="1">IF(ISBLANK(#REF!),NA(),IFERROR(TEXT(TRUNC(G325-NOW()),"000") &amp; " D " &amp; TEXT(TRUNC(ABS(G325-NOW()-TRUNC(G325-NOW()))*24),"00") &amp; " H", NA()))</f>
        <v>#N/A</v>
      </c>
      <c r="I325" s="405" t="e">
        <f ca="1">IF(ISBLANK(A325),NA(),IFERROR(SLOPE(INDIRECT("D" &amp; MATCH(A325-$C$1,A:A,1)):D325, INDIRECT("A" &amp; MATCH(A325-$C$1,A:A,1)):A325),NA()))</f>
        <v>#N/A</v>
      </c>
      <c r="J325" s="418" t="e">
        <f>IF(ISBLANK(A325),NA(),IFERROR(A325+(PLAYER_EXP_MAX-D325)/I325,NA()))</f>
        <v>#N/A</v>
      </c>
      <c r="K325" s="466" t="e">
        <f t="shared" ca="1" si="24"/>
        <v>#N/A</v>
      </c>
      <c r="L325" s="405" t="e">
        <f t="shared" si="25"/>
        <v>#N/A</v>
      </c>
      <c r="M325" s="418" t="e">
        <f>IF(ISBLANK(A325),NA(),IFERROR(A325+(PLAYER_EXP_MAX-D325)/L325,NA()))</f>
        <v>#N/A</v>
      </c>
      <c r="N325" s="466" t="e">
        <f t="shared" ca="1" si="22"/>
        <v>#N/A</v>
      </c>
    </row>
    <row r="326" spans="4:14" ht="14.65" customHeight="1" x14ac:dyDescent="0.25">
      <c r="D326" s="466" t="str">
        <f t="shared" si="23"/>
        <v>-</v>
      </c>
      <c r="E326" s="399" t="str">
        <f>IF(ISBLANK(A326),"-",D326/PLAYER_EXP_MAX)</f>
        <v>-</v>
      </c>
      <c r="F326" s="405" t="e">
        <f ca="1">IF(ISBLANK(A326),NA(),IFERROR(SLOPE(INDIRECT("D" &amp; MATCH(A326-$B$1,A:A,1)):D326, INDIRECT("A" &amp; MATCH(A326-$B$1,A:A,1)):A326),NA()))</f>
        <v>#N/A</v>
      </c>
      <c r="G326" s="418" t="e">
        <f>IF(ISBLANK(A326),NA(),IFERROR(A326+(PLAYER_EXP_MAX-D326)/F326,NA()))</f>
        <v>#N/A</v>
      </c>
      <c r="H326" s="466" t="e">
        <f ca="1">IF(ISBLANK(#REF!),NA(),IFERROR(TEXT(TRUNC(G326-NOW()),"000") &amp; " D " &amp; TEXT(TRUNC(ABS(G326-NOW()-TRUNC(G326-NOW()))*24),"00") &amp; " H", NA()))</f>
        <v>#N/A</v>
      </c>
      <c r="I326" s="405" t="e">
        <f ca="1">IF(ISBLANK(A326),NA(),IFERROR(SLOPE(INDIRECT("D" &amp; MATCH(A326-$C$1,A:A,1)):D326, INDIRECT("A" &amp; MATCH(A326-$C$1,A:A,1)):A326),NA()))</f>
        <v>#N/A</v>
      </c>
      <c r="J326" s="418" t="e">
        <f>IF(ISBLANK(A326),NA(),IFERROR(A326+(PLAYER_EXP_MAX-D326)/I326,NA()))</f>
        <v>#N/A</v>
      </c>
      <c r="K326" s="466" t="e">
        <f t="shared" ca="1" si="24"/>
        <v>#N/A</v>
      </c>
      <c r="L326" s="405" t="e">
        <f t="shared" si="25"/>
        <v>#N/A</v>
      </c>
      <c r="M326" s="418" t="e">
        <f>IF(ISBLANK(A326),NA(),IFERROR(A326+(PLAYER_EXP_MAX-D326)/L326,NA()))</f>
        <v>#N/A</v>
      </c>
      <c r="N326" s="466" t="e">
        <f t="shared" ca="1" si="22"/>
        <v>#N/A</v>
      </c>
    </row>
    <row r="327" spans="4:14" ht="14.65" customHeight="1" x14ac:dyDescent="0.25">
      <c r="D327" s="466" t="str">
        <f t="shared" si="23"/>
        <v>-</v>
      </c>
      <c r="E327" s="399" t="str">
        <f>IF(ISBLANK(A327),"-",D327/PLAYER_EXP_MAX)</f>
        <v>-</v>
      </c>
      <c r="F327" s="405" t="e">
        <f ca="1">IF(ISBLANK(A327),NA(),IFERROR(SLOPE(INDIRECT("D" &amp; MATCH(A327-$B$1,A:A,1)):D327, INDIRECT("A" &amp; MATCH(A327-$B$1,A:A,1)):A327),NA()))</f>
        <v>#N/A</v>
      </c>
      <c r="G327" s="418" t="e">
        <f>IF(ISBLANK(A327),NA(),IFERROR(A327+(PLAYER_EXP_MAX-D327)/F327,NA()))</f>
        <v>#N/A</v>
      </c>
      <c r="H327" s="466" t="e">
        <f ca="1">IF(ISBLANK(#REF!),NA(),IFERROR(TEXT(TRUNC(G327-NOW()),"000") &amp; " D " &amp; TEXT(TRUNC(ABS(G327-NOW()-TRUNC(G327-NOW()))*24),"00") &amp; " H", NA()))</f>
        <v>#N/A</v>
      </c>
      <c r="I327" s="405" t="e">
        <f ca="1">IF(ISBLANK(A327),NA(),IFERROR(SLOPE(INDIRECT("D" &amp; MATCH(A327-$C$1,A:A,1)):D327, INDIRECT("A" &amp; MATCH(A327-$C$1,A:A,1)):A327),NA()))</f>
        <v>#N/A</v>
      </c>
      <c r="J327" s="418" t="e">
        <f>IF(ISBLANK(A327),NA(),IFERROR(A327+(PLAYER_EXP_MAX-D327)/I327,NA()))</f>
        <v>#N/A</v>
      </c>
      <c r="K327" s="466" t="e">
        <f t="shared" ca="1" si="24"/>
        <v>#N/A</v>
      </c>
      <c r="L327" s="405" t="e">
        <f t="shared" si="25"/>
        <v>#N/A</v>
      </c>
      <c r="M327" s="418" t="e">
        <f>IF(ISBLANK(A327),NA(),IFERROR(A327+(PLAYER_EXP_MAX-D327)/L327,NA()))</f>
        <v>#N/A</v>
      </c>
      <c r="N327" s="466" t="e">
        <f t="shared" ca="1" si="22"/>
        <v>#N/A</v>
      </c>
    </row>
    <row r="328" spans="4:14" ht="14.65" customHeight="1" x14ac:dyDescent="0.25">
      <c r="D328" s="466" t="str">
        <f t="shared" si="23"/>
        <v>-</v>
      </c>
      <c r="E328" s="399" t="str">
        <f>IF(ISBLANK(A328),"-",D328/PLAYER_EXP_MAX)</f>
        <v>-</v>
      </c>
      <c r="F328" s="405" t="e">
        <f ca="1">IF(ISBLANK(A328),NA(),IFERROR(SLOPE(INDIRECT("D" &amp; MATCH(A328-$B$1,A:A,1)):D328, INDIRECT("A" &amp; MATCH(A328-$B$1,A:A,1)):A328),NA()))</f>
        <v>#N/A</v>
      </c>
      <c r="G328" s="418" t="e">
        <f>IF(ISBLANK(A328),NA(),IFERROR(A328+(PLAYER_EXP_MAX-D328)/F328,NA()))</f>
        <v>#N/A</v>
      </c>
      <c r="H328" s="466" t="e">
        <f ca="1">IF(ISBLANK(#REF!),NA(),IFERROR(TEXT(TRUNC(G328-NOW()),"000") &amp; " D " &amp; TEXT(TRUNC(ABS(G328-NOW()-TRUNC(G328-NOW()))*24),"00") &amp; " H", NA()))</f>
        <v>#N/A</v>
      </c>
      <c r="I328" s="405" t="e">
        <f ca="1">IF(ISBLANK(A328),NA(),IFERROR(SLOPE(INDIRECT("D" &amp; MATCH(A328-$C$1,A:A,1)):D328, INDIRECT("A" &amp; MATCH(A328-$C$1,A:A,1)):A328),NA()))</f>
        <v>#N/A</v>
      </c>
      <c r="J328" s="418" t="e">
        <f>IF(ISBLANK(A328),NA(),IFERROR(A328+(PLAYER_EXP_MAX-D328)/I328,NA()))</f>
        <v>#N/A</v>
      </c>
      <c r="K328" s="466" t="e">
        <f t="shared" ca="1" si="24"/>
        <v>#N/A</v>
      </c>
      <c r="L328" s="405" t="e">
        <f t="shared" si="25"/>
        <v>#N/A</v>
      </c>
      <c r="M328" s="418" t="e">
        <f>IF(ISBLANK(A328),NA(),IFERROR(A328+(PLAYER_EXP_MAX-D328)/L328,NA()))</f>
        <v>#N/A</v>
      </c>
      <c r="N328" s="466" t="e">
        <f t="shared" ca="1" si="22"/>
        <v>#N/A</v>
      </c>
    </row>
    <row r="329" spans="4:14" ht="14.65" customHeight="1" x14ac:dyDescent="0.25">
      <c r="D329" s="466" t="str">
        <f t="shared" si="23"/>
        <v>-</v>
      </c>
      <c r="E329" s="399" t="str">
        <f>IF(ISBLANK(A329),"-",D329/PLAYER_EXP_MAX)</f>
        <v>-</v>
      </c>
      <c r="F329" s="405" t="e">
        <f ca="1">IF(ISBLANK(A329),NA(),IFERROR(SLOPE(INDIRECT("D" &amp; MATCH(A329-$B$1,A:A,1)):D329, INDIRECT("A" &amp; MATCH(A329-$B$1,A:A,1)):A329),NA()))</f>
        <v>#N/A</v>
      </c>
      <c r="G329" s="418" t="e">
        <f>IF(ISBLANK(A329),NA(),IFERROR(A329+(PLAYER_EXP_MAX-D329)/F329,NA()))</f>
        <v>#N/A</v>
      </c>
      <c r="H329" s="466" t="e">
        <f ca="1">IF(ISBLANK(#REF!),NA(),IFERROR(TEXT(TRUNC(G329-NOW()),"000") &amp; " D " &amp; TEXT(TRUNC(ABS(G329-NOW()-TRUNC(G329-NOW()))*24),"00") &amp; " H", NA()))</f>
        <v>#N/A</v>
      </c>
      <c r="I329" s="405" t="e">
        <f ca="1">IF(ISBLANK(A329),NA(),IFERROR(SLOPE(INDIRECT("D" &amp; MATCH(A329-$C$1,A:A,1)):D329, INDIRECT("A" &amp; MATCH(A329-$C$1,A:A,1)):A329),NA()))</f>
        <v>#N/A</v>
      </c>
      <c r="J329" s="418" t="e">
        <f>IF(ISBLANK(A329),NA(),IFERROR(A329+(PLAYER_EXP_MAX-D329)/I329,NA()))</f>
        <v>#N/A</v>
      </c>
      <c r="K329" s="466" t="e">
        <f t="shared" ca="1" si="24"/>
        <v>#N/A</v>
      </c>
      <c r="L329" s="405" t="e">
        <f t="shared" si="25"/>
        <v>#N/A</v>
      </c>
      <c r="M329" s="418" t="e">
        <f>IF(ISBLANK(A329),NA(),IFERROR(A329+(PLAYER_EXP_MAX-D329)/L329,NA()))</f>
        <v>#N/A</v>
      </c>
      <c r="N329" s="466" t="e">
        <f t="shared" ca="1" si="22"/>
        <v>#N/A</v>
      </c>
    </row>
    <row r="330" spans="4:14" ht="14.65" customHeight="1" x14ac:dyDescent="0.25">
      <c r="D330" s="466" t="str">
        <f t="shared" si="23"/>
        <v>-</v>
      </c>
      <c r="E330" s="399" t="str">
        <f>IF(ISBLANK(A330),"-",D330/PLAYER_EXP_MAX)</f>
        <v>-</v>
      </c>
      <c r="F330" s="405" t="e">
        <f ca="1">IF(ISBLANK(A330),NA(),IFERROR(SLOPE(INDIRECT("D" &amp; MATCH(A330-$B$1,A:A,1)):D330, INDIRECT("A" &amp; MATCH(A330-$B$1,A:A,1)):A330),NA()))</f>
        <v>#N/A</v>
      </c>
      <c r="G330" s="418" t="e">
        <f>IF(ISBLANK(A330),NA(),IFERROR(A330+(PLAYER_EXP_MAX-D330)/F330,NA()))</f>
        <v>#N/A</v>
      </c>
      <c r="H330" s="466" t="e">
        <f ca="1">IF(ISBLANK(#REF!),NA(),IFERROR(TEXT(TRUNC(G330-NOW()),"000") &amp; " D " &amp; TEXT(TRUNC(ABS(G330-NOW()-TRUNC(G330-NOW()))*24),"00") &amp; " H", NA()))</f>
        <v>#N/A</v>
      </c>
      <c r="I330" s="405" t="e">
        <f ca="1">IF(ISBLANK(A330),NA(),IFERROR(SLOPE(INDIRECT("D" &amp; MATCH(A330-$C$1,A:A,1)):D330, INDIRECT("A" &amp; MATCH(A330-$C$1,A:A,1)):A330),NA()))</f>
        <v>#N/A</v>
      </c>
      <c r="J330" s="418" t="e">
        <f>IF(ISBLANK(A330),NA(),IFERROR(A330+(PLAYER_EXP_MAX-D330)/I330,NA()))</f>
        <v>#N/A</v>
      </c>
      <c r="K330" s="466" t="e">
        <f t="shared" ca="1" si="24"/>
        <v>#N/A</v>
      </c>
      <c r="L330" s="405" t="e">
        <f t="shared" si="25"/>
        <v>#N/A</v>
      </c>
      <c r="M330" s="418" t="e">
        <f>IF(ISBLANK(A330),NA(),IFERROR(A330+(PLAYER_EXP_MAX-D330)/L330,NA()))</f>
        <v>#N/A</v>
      </c>
      <c r="N330" s="466" t="e">
        <f t="shared" ca="1" si="22"/>
        <v>#N/A</v>
      </c>
    </row>
    <row r="331" spans="4:14" ht="14.65" customHeight="1" x14ac:dyDescent="0.25">
      <c r="D331" s="466" t="str">
        <f t="shared" si="23"/>
        <v>-</v>
      </c>
      <c r="E331" s="399" t="str">
        <f>IF(ISBLANK(A331),"-",D331/PLAYER_EXP_MAX)</f>
        <v>-</v>
      </c>
      <c r="F331" s="405" t="e">
        <f ca="1">IF(ISBLANK(A331),NA(),IFERROR(SLOPE(INDIRECT("D" &amp; MATCH(A331-$B$1,A:A,1)):D331, INDIRECT("A" &amp; MATCH(A331-$B$1,A:A,1)):A331),NA()))</f>
        <v>#N/A</v>
      </c>
      <c r="G331" s="418" t="e">
        <f>IF(ISBLANK(A331),NA(),IFERROR(A331+(PLAYER_EXP_MAX-D331)/F331,NA()))</f>
        <v>#N/A</v>
      </c>
      <c r="H331" s="466" t="e">
        <f ca="1">IF(ISBLANK(#REF!),NA(),IFERROR(TEXT(TRUNC(G331-NOW()),"000") &amp; " D " &amp; TEXT(TRUNC(ABS(G331-NOW()-TRUNC(G331-NOW()))*24),"00") &amp; " H", NA()))</f>
        <v>#N/A</v>
      </c>
      <c r="I331" s="405" t="e">
        <f ca="1">IF(ISBLANK(A331),NA(),IFERROR(SLOPE(INDIRECT("D" &amp; MATCH(A331-$C$1,A:A,1)):D331, INDIRECT("A" &amp; MATCH(A331-$C$1,A:A,1)):A331),NA()))</f>
        <v>#N/A</v>
      </c>
      <c r="J331" s="418" t="e">
        <f>IF(ISBLANK(A331),NA(),IFERROR(A331+(PLAYER_EXP_MAX-D331)/I331,NA()))</f>
        <v>#N/A</v>
      </c>
      <c r="K331" s="466" t="e">
        <f t="shared" ca="1" si="24"/>
        <v>#N/A</v>
      </c>
      <c r="L331" s="405" t="e">
        <f t="shared" si="25"/>
        <v>#N/A</v>
      </c>
      <c r="M331" s="418" t="e">
        <f>IF(ISBLANK(A331),NA(),IFERROR(A331+(PLAYER_EXP_MAX-D331)/L331,NA()))</f>
        <v>#N/A</v>
      </c>
      <c r="N331" s="466" t="e">
        <f t="shared" ca="1" si="22"/>
        <v>#N/A</v>
      </c>
    </row>
    <row r="332" spans="4:14" ht="14.65" customHeight="1" x14ac:dyDescent="0.25">
      <c r="D332" s="466" t="str">
        <f t="shared" si="23"/>
        <v>-</v>
      </c>
      <c r="E332" s="399" t="str">
        <f>IF(ISBLANK(A332),"-",D332/PLAYER_EXP_MAX)</f>
        <v>-</v>
      </c>
      <c r="F332" s="405" t="e">
        <f ca="1">IF(ISBLANK(A332),NA(),IFERROR(SLOPE(INDIRECT("D" &amp; MATCH(A332-$B$1,A:A,1)):D332, INDIRECT("A" &amp; MATCH(A332-$B$1,A:A,1)):A332),NA()))</f>
        <v>#N/A</v>
      </c>
      <c r="G332" s="418" t="e">
        <f>IF(ISBLANK(A332),NA(),IFERROR(A332+(PLAYER_EXP_MAX-D332)/F332,NA()))</f>
        <v>#N/A</v>
      </c>
      <c r="H332" s="466" t="e">
        <f ca="1">IF(ISBLANK(#REF!),NA(),IFERROR(TEXT(TRUNC(G332-NOW()),"000") &amp; " D " &amp; TEXT(TRUNC(ABS(G332-NOW()-TRUNC(G332-NOW()))*24),"00") &amp; " H", NA()))</f>
        <v>#N/A</v>
      </c>
      <c r="I332" s="405" t="e">
        <f ca="1">IF(ISBLANK(A332),NA(),IFERROR(SLOPE(INDIRECT("D" &amp; MATCH(A332-$C$1,A:A,1)):D332, INDIRECT("A" &amp; MATCH(A332-$C$1,A:A,1)):A332),NA()))</f>
        <v>#N/A</v>
      </c>
      <c r="J332" s="418" t="e">
        <f>IF(ISBLANK(A332),NA(),IFERROR(A332+(PLAYER_EXP_MAX-D332)/I332,NA()))</f>
        <v>#N/A</v>
      </c>
      <c r="K332" s="466" t="e">
        <f t="shared" ca="1" si="24"/>
        <v>#N/A</v>
      </c>
      <c r="L332" s="405" t="e">
        <f t="shared" si="25"/>
        <v>#N/A</v>
      </c>
      <c r="M332" s="418" t="e">
        <f>IF(ISBLANK(A332),NA(),IFERROR(A332+(PLAYER_EXP_MAX-D332)/L332,NA()))</f>
        <v>#N/A</v>
      </c>
      <c r="N332" s="466" t="e">
        <f t="shared" ca="1" si="22"/>
        <v>#N/A</v>
      </c>
    </row>
    <row r="333" spans="4:14" ht="14.65" customHeight="1" x14ac:dyDescent="0.25">
      <c r="D333" s="466" t="str">
        <f t="shared" si="23"/>
        <v>-</v>
      </c>
      <c r="E333" s="399" t="str">
        <f>IF(ISBLANK(A333),"-",D333/PLAYER_EXP_MAX)</f>
        <v>-</v>
      </c>
      <c r="F333" s="405" t="e">
        <f ca="1">IF(ISBLANK(A333),NA(),IFERROR(SLOPE(INDIRECT("D" &amp; MATCH(A333-$B$1,A:A,1)):D333, INDIRECT("A" &amp; MATCH(A333-$B$1,A:A,1)):A333),NA()))</f>
        <v>#N/A</v>
      </c>
      <c r="G333" s="418" t="e">
        <f>IF(ISBLANK(A333),NA(),IFERROR(A333+(PLAYER_EXP_MAX-D333)/F333,NA()))</f>
        <v>#N/A</v>
      </c>
      <c r="H333" s="466" t="e">
        <f ca="1">IF(ISBLANK(#REF!),NA(),IFERROR(TEXT(TRUNC(G333-NOW()),"000") &amp; " D " &amp; TEXT(TRUNC(ABS(G333-NOW()-TRUNC(G333-NOW()))*24),"00") &amp; " H", NA()))</f>
        <v>#N/A</v>
      </c>
      <c r="I333" s="405" t="e">
        <f ca="1">IF(ISBLANK(A333),NA(),IFERROR(SLOPE(INDIRECT("D" &amp; MATCH(A333-$C$1,A:A,1)):D333, INDIRECT("A" &amp; MATCH(A333-$C$1,A:A,1)):A333),NA()))</f>
        <v>#N/A</v>
      </c>
      <c r="J333" s="418" t="e">
        <f>IF(ISBLANK(A333),NA(),IFERROR(A333+(PLAYER_EXP_MAX-D333)/I333,NA()))</f>
        <v>#N/A</v>
      </c>
      <c r="K333" s="466" t="e">
        <f t="shared" ca="1" si="24"/>
        <v>#N/A</v>
      </c>
      <c r="L333" s="405" t="e">
        <f t="shared" si="25"/>
        <v>#N/A</v>
      </c>
      <c r="M333" s="418" t="e">
        <f>IF(ISBLANK(A333),NA(),IFERROR(A333+(PLAYER_EXP_MAX-D333)/L333,NA()))</f>
        <v>#N/A</v>
      </c>
      <c r="N333" s="466" t="e">
        <f t="shared" ca="1" si="22"/>
        <v>#N/A</v>
      </c>
    </row>
    <row r="334" spans="4:14" ht="14.65" customHeight="1" x14ac:dyDescent="0.25">
      <c r="D334" s="466" t="str">
        <f t="shared" si="23"/>
        <v>-</v>
      </c>
      <c r="E334" s="399" t="str">
        <f>IF(ISBLANK(A334),"-",D334/PLAYER_EXP_MAX)</f>
        <v>-</v>
      </c>
      <c r="F334" s="405" t="e">
        <f ca="1">IF(ISBLANK(A334),NA(),IFERROR(SLOPE(INDIRECT("D" &amp; MATCH(A334-$B$1,A:A,1)):D334, INDIRECT("A" &amp; MATCH(A334-$B$1,A:A,1)):A334),NA()))</f>
        <v>#N/A</v>
      </c>
      <c r="G334" s="418" t="e">
        <f>IF(ISBLANK(A334),NA(),IFERROR(A334+(PLAYER_EXP_MAX-D334)/F334,NA()))</f>
        <v>#N/A</v>
      </c>
      <c r="H334" s="466" t="e">
        <f ca="1">IF(ISBLANK(#REF!),NA(),IFERROR(TEXT(TRUNC(G334-NOW()),"000") &amp; " D " &amp; TEXT(TRUNC(ABS(G334-NOW()-TRUNC(G334-NOW()))*24),"00") &amp; " H", NA()))</f>
        <v>#N/A</v>
      </c>
      <c r="I334" s="405" t="e">
        <f ca="1">IF(ISBLANK(A334),NA(),IFERROR(SLOPE(INDIRECT("D" &amp; MATCH(A334-$C$1,A:A,1)):D334, INDIRECT("A" &amp; MATCH(A334-$C$1,A:A,1)):A334),NA()))</f>
        <v>#N/A</v>
      </c>
      <c r="J334" s="418" t="e">
        <f>IF(ISBLANK(A334),NA(),IFERROR(A334+(PLAYER_EXP_MAX-D334)/I334,NA()))</f>
        <v>#N/A</v>
      </c>
      <c r="K334" s="466" t="e">
        <f t="shared" ca="1" si="24"/>
        <v>#N/A</v>
      </c>
      <c r="L334" s="405" t="e">
        <f t="shared" si="25"/>
        <v>#N/A</v>
      </c>
      <c r="M334" s="418" t="e">
        <f>IF(ISBLANK(A334),NA(),IFERROR(A334+(PLAYER_EXP_MAX-D334)/L334,NA()))</f>
        <v>#N/A</v>
      </c>
      <c r="N334" s="466" t="e">
        <f t="shared" ca="1" si="22"/>
        <v>#N/A</v>
      </c>
    </row>
    <row r="335" spans="4:14" ht="14.65" customHeight="1" x14ac:dyDescent="0.25">
      <c r="D335" s="466" t="str">
        <f t="shared" si="23"/>
        <v>-</v>
      </c>
      <c r="E335" s="399" t="str">
        <f>IF(ISBLANK(A335),"-",D335/PLAYER_EXP_MAX)</f>
        <v>-</v>
      </c>
      <c r="F335" s="405" t="e">
        <f ca="1">IF(ISBLANK(A335),NA(),IFERROR(SLOPE(INDIRECT("D" &amp; MATCH(A335-$B$1,A:A,1)):D335, INDIRECT("A" &amp; MATCH(A335-$B$1,A:A,1)):A335),NA()))</f>
        <v>#N/A</v>
      </c>
      <c r="G335" s="418" t="e">
        <f>IF(ISBLANK(A335),NA(),IFERROR(A335+(PLAYER_EXP_MAX-D335)/F335,NA()))</f>
        <v>#N/A</v>
      </c>
      <c r="H335" s="466" t="e">
        <f ca="1">IF(ISBLANK(#REF!),NA(),IFERROR(TEXT(TRUNC(G335-NOW()),"000") &amp; " D " &amp; TEXT(TRUNC(ABS(G335-NOW()-TRUNC(G335-NOW()))*24),"00") &amp; " H", NA()))</f>
        <v>#N/A</v>
      </c>
      <c r="I335" s="405" t="e">
        <f ca="1">IF(ISBLANK(A335),NA(),IFERROR(SLOPE(INDIRECT("D" &amp; MATCH(A335-$C$1,A:A,1)):D335, INDIRECT("A" &amp; MATCH(A335-$C$1,A:A,1)):A335),NA()))</f>
        <v>#N/A</v>
      </c>
      <c r="J335" s="418" t="e">
        <f>IF(ISBLANK(A335),NA(),IFERROR(A335+(PLAYER_EXP_MAX-D335)/I335,NA()))</f>
        <v>#N/A</v>
      </c>
      <c r="K335" s="466" t="e">
        <f t="shared" ca="1" si="24"/>
        <v>#N/A</v>
      </c>
      <c r="L335" s="405" t="e">
        <f t="shared" si="25"/>
        <v>#N/A</v>
      </c>
      <c r="M335" s="418" t="e">
        <f>IF(ISBLANK(A335),NA(),IFERROR(A335+(PLAYER_EXP_MAX-D335)/L335,NA()))</f>
        <v>#N/A</v>
      </c>
      <c r="N335" s="466" t="e">
        <f t="shared" ca="1" si="22"/>
        <v>#N/A</v>
      </c>
    </row>
    <row r="336" spans="4:14" ht="14.65" customHeight="1" x14ac:dyDescent="0.25">
      <c r="D336" s="466" t="str">
        <f t="shared" si="23"/>
        <v>-</v>
      </c>
      <c r="E336" s="399" t="str">
        <f>IF(ISBLANK(A336),"-",D336/PLAYER_EXP_MAX)</f>
        <v>-</v>
      </c>
      <c r="F336" s="405" t="e">
        <f ca="1">IF(ISBLANK(A336),NA(),IFERROR(SLOPE(INDIRECT("D" &amp; MATCH(A336-$B$1,A:A,1)):D336, INDIRECT("A" &amp; MATCH(A336-$B$1,A:A,1)):A336),NA()))</f>
        <v>#N/A</v>
      </c>
      <c r="G336" s="418" t="e">
        <f>IF(ISBLANK(A336),NA(),IFERROR(A336+(PLAYER_EXP_MAX-D336)/F336,NA()))</f>
        <v>#N/A</v>
      </c>
      <c r="H336" s="466" t="e">
        <f ca="1">IF(ISBLANK(#REF!),NA(),IFERROR(TEXT(TRUNC(G336-NOW()),"000") &amp; " D " &amp; TEXT(TRUNC(ABS(G336-NOW()-TRUNC(G336-NOW()))*24),"00") &amp; " H", NA()))</f>
        <v>#N/A</v>
      </c>
      <c r="I336" s="405" t="e">
        <f ca="1">IF(ISBLANK(A336),NA(),IFERROR(SLOPE(INDIRECT("D" &amp; MATCH(A336-$C$1,A:A,1)):D336, INDIRECT("A" &amp; MATCH(A336-$C$1,A:A,1)):A336),NA()))</f>
        <v>#N/A</v>
      </c>
      <c r="J336" s="418" t="e">
        <f>IF(ISBLANK(A336),NA(),IFERROR(A336+(PLAYER_EXP_MAX-D336)/I336,NA()))</f>
        <v>#N/A</v>
      </c>
      <c r="K336" s="466" t="e">
        <f t="shared" ca="1" si="24"/>
        <v>#N/A</v>
      </c>
      <c r="L336" s="405" t="e">
        <f t="shared" si="25"/>
        <v>#N/A</v>
      </c>
      <c r="M336" s="418" t="e">
        <f>IF(ISBLANK(A336),NA(),IFERROR(A336+(PLAYER_EXP_MAX-D336)/L336,NA()))</f>
        <v>#N/A</v>
      </c>
      <c r="N336" s="466" t="e">
        <f t="shared" ca="1" si="22"/>
        <v>#N/A</v>
      </c>
    </row>
    <row r="337" spans="4:14" ht="14.65" customHeight="1" x14ac:dyDescent="0.25">
      <c r="D337" s="466" t="str">
        <f t="shared" si="23"/>
        <v>-</v>
      </c>
      <c r="E337" s="399" t="str">
        <f>IF(ISBLANK(A337),"-",D337/PLAYER_EXP_MAX)</f>
        <v>-</v>
      </c>
      <c r="F337" s="405" t="e">
        <f ca="1">IF(ISBLANK(A337),NA(),IFERROR(SLOPE(INDIRECT("D" &amp; MATCH(A337-$B$1,A:A,1)):D337, INDIRECT("A" &amp; MATCH(A337-$B$1,A:A,1)):A337),NA()))</f>
        <v>#N/A</v>
      </c>
      <c r="G337" s="418" t="e">
        <f>IF(ISBLANK(A337),NA(),IFERROR(A337+(PLAYER_EXP_MAX-D337)/F337,NA()))</f>
        <v>#N/A</v>
      </c>
      <c r="H337" s="466" t="e">
        <f ca="1">IF(ISBLANK(#REF!),NA(),IFERROR(TEXT(TRUNC(G337-NOW()),"000") &amp; " D " &amp; TEXT(TRUNC(ABS(G337-NOW()-TRUNC(G337-NOW()))*24),"00") &amp; " H", NA()))</f>
        <v>#N/A</v>
      </c>
      <c r="I337" s="405" t="e">
        <f ca="1">IF(ISBLANK(A337),NA(),IFERROR(SLOPE(INDIRECT("D" &amp; MATCH(A337-$C$1,A:A,1)):D337, INDIRECT("A" &amp; MATCH(A337-$C$1,A:A,1)):A337),NA()))</f>
        <v>#N/A</v>
      </c>
      <c r="J337" s="418" t="e">
        <f>IF(ISBLANK(A337),NA(),IFERROR(A337+(PLAYER_EXP_MAX-D337)/I337,NA()))</f>
        <v>#N/A</v>
      </c>
      <c r="K337" s="466" t="e">
        <f t="shared" ca="1" si="24"/>
        <v>#N/A</v>
      </c>
      <c r="L337" s="405" t="e">
        <f t="shared" si="25"/>
        <v>#N/A</v>
      </c>
      <c r="M337" s="418" t="e">
        <f>IF(ISBLANK(A337),NA(),IFERROR(A337+(PLAYER_EXP_MAX-D337)/L337,NA()))</f>
        <v>#N/A</v>
      </c>
      <c r="N337" s="466" t="e">
        <f t="shared" ca="1" si="22"/>
        <v>#N/A</v>
      </c>
    </row>
    <row r="338" spans="4:14" ht="14.65" customHeight="1" x14ac:dyDescent="0.25">
      <c r="D338" s="466" t="str">
        <f t="shared" si="23"/>
        <v>-</v>
      </c>
      <c r="E338" s="399" t="str">
        <f>IF(ISBLANK(A338),"-",D338/PLAYER_EXP_MAX)</f>
        <v>-</v>
      </c>
      <c r="F338" s="405" t="e">
        <f ca="1">IF(ISBLANK(A338),NA(),IFERROR(SLOPE(INDIRECT("D" &amp; MATCH(A338-$B$1,A:A,1)):D338, INDIRECT("A" &amp; MATCH(A338-$B$1,A:A,1)):A338),NA()))</f>
        <v>#N/A</v>
      </c>
      <c r="G338" s="418" t="e">
        <f>IF(ISBLANK(A338),NA(),IFERROR(A338+(PLAYER_EXP_MAX-D338)/F338,NA()))</f>
        <v>#N/A</v>
      </c>
      <c r="H338" s="466" t="e">
        <f ca="1">IF(ISBLANK(#REF!),NA(),IFERROR(TEXT(TRUNC(G338-NOW()),"000") &amp; " D " &amp; TEXT(TRUNC(ABS(G338-NOW()-TRUNC(G338-NOW()))*24),"00") &amp; " H", NA()))</f>
        <v>#N/A</v>
      </c>
      <c r="I338" s="405" t="e">
        <f ca="1">IF(ISBLANK(A338),NA(),IFERROR(SLOPE(INDIRECT("D" &amp; MATCH(A338-$C$1,A:A,1)):D338, INDIRECT("A" &amp; MATCH(A338-$C$1,A:A,1)):A338),NA()))</f>
        <v>#N/A</v>
      </c>
      <c r="J338" s="418" t="e">
        <f>IF(ISBLANK(A338),NA(),IFERROR(A338+(PLAYER_EXP_MAX-D338)/I338,NA()))</f>
        <v>#N/A</v>
      </c>
      <c r="K338" s="466" t="e">
        <f t="shared" ca="1" si="24"/>
        <v>#N/A</v>
      </c>
      <c r="L338" s="405" t="e">
        <f t="shared" si="25"/>
        <v>#N/A</v>
      </c>
      <c r="M338" s="418" t="e">
        <f>IF(ISBLANK(A338),NA(),IFERROR(A338+(PLAYER_EXP_MAX-D338)/L338,NA()))</f>
        <v>#N/A</v>
      </c>
      <c r="N338" s="466" t="e">
        <f t="shared" ca="1" si="22"/>
        <v>#N/A</v>
      </c>
    </row>
    <row r="339" spans="4:14" ht="14.65" customHeight="1" x14ac:dyDescent="0.25">
      <c r="D339" s="466" t="str">
        <f t="shared" si="23"/>
        <v>-</v>
      </c>
      <c r="E339" s="399" t="str">
        <f>IF(ISBLANK(A339),"-",D339/PLAYER_EXP_MAX)</f>
        <v>-</v>
      </c>
      <c r="F339" s="405" t="e">
        <f ca="1">IF(ISBLANK(A339),NA(),IFERROR(SLOPE(INDIRECT("D" &amp; MATCH(A339-$B$1,A:A,1)):D339, INDIRECT("A" &amp; MATCH(A339-$B$1,A:A,1)):A339),NA()))</f>
        <v>#N/A</v>
      </c>
      <c r="G339" s="418" t="e">
        <f>IF(ISBLANK(A339),NA(),IFERROR(A339+(PLAYER_EXP_MAX-D339)/F339,NA()))</f>
        <v>#N/A</v>
      </c>
      <c r="H339" s="466" t="e">
        <f ca="1">IF(ISBLANK(#REF!),NA(),IFERROR(TEXT(TRUNC(G339-NOW()),"000") &amp; " D " &amp; TEXT(TRUNC(ABS(G339-NOW()-TRUNC(G339-NOW()))*24),"00") &amp; " H", NA()))</f>
        <v>#N/A</v>
      </c>
      <c r="I339" s="405" t="e">
        <f ca="1">IF(ISBLANK(A339),NA(),IFERROR(SLOPE(INDIRECT("D" &amp; MATCH(A339-$C$1,A:A,1)):D339, INDIRECT("A" &amp; MATCH(A339-$C$1,A:A,1)):A339),NA()))</f>
        <v>#N/A</v>
      </c>
      <c r="J339" s="418" t="e">
        <f>IF(ISBLANK(A339),NA(),IFERROR(A339+(PLAYER_EXP_MAX-D339)/I339,NA()))</f>
        <v>#N/A</v>
      </c>
      <c r="K339" s="466" t="e">
        <f t="shared" ca="1" si="24"/>
        <v>#N/A</v>
      </c>
      <c r="L339" s="405" t="e">
        <f t="shared" si="25"/>
        <v>#N/A</v>
      </c>
      <c r="M339" s="418" t="e">
        <f>IF(ISBLANK(A339),NA(),IFERROR(A339+(PLAYER_EXP_MAX-D339)/L339,NA()))</f>
        <v>#N/A</v>
      </c>
      <c r="N339" s="466" t="e">
        <f t="shared" ca="1" si="22"/>
        <v>#N/A</v>
      </c>
    </row>
    <row r="340" spans="4:14" ht="14.65" customHeight="1" x14ac:dyDescent="0.25">
      <c r="D340" s="466" t="str">
        <f t="shared" si="23"/>
        <v>-</v>
      </c>
      <c r="E340" s="399" t="str">
        <f>IF(ISBLANK(A340),"-",D340/PLAYER_EXP_MAX)</f>
        <v>-</v>
      </c>
      <c r="F340" s="405" t="e">
        <f ca="1">IF(ISBLANK(A340),NA(),IFERROR(SLOPE(INDIRECT("D" &amp; MATCH(A340-$B$1,A:A,1)):D340, INDIRECT("A" &amp; MATCH(A340-$B$1,A:A,1)):A340),NA()))</f>
        <v>#N/A</v>
      </c>
      <c r="G340" s="418" t="e">
        <f>IF(ISBLANK(A340),NA(),IFERROR(A340+(PLAYER_EXP_MAX-D340)/F340,NA()))</f>
        <v>#N/A</v>
      </c>
      <c r="H340" s="466" t="e">
        <f ca="1">IF(ISBLANK(#REF!),NA(),IFERROR(TEXT(TRUNC(G340-NOW()),"000") &amp; " D " &amp; TEXT(TRUNC(ABS(G340-NOW()-TRUNC(G340-NOW()))*24),"00") &amp; " H", NA()))</f>
        <v>#N/A</v>
      </c>
      <c r="I340" s="405" t="e">
        <f ca="1">IF(ISBLANK(A340),NA(),IFERROR(SLOPE(INDIRECT("D" &amp; MATCH(A340-$C$1,A:A,1)):D340, INDIRECT("A" &amp; MATCH(A340-$C$1,A:A,1)):A340),NA()))</f>
        <v>#N/A</v>
      </c>
      <c r="J340" s="418" t="e">
        <f>IF(ISBLANK(A340),NA(),IFERROR(A340+(PLAYER_EXP_MAX-D340)/I340,NA()))</f>
        <v>#N/A</v>
      </c>
      <c r="K340" s="466" t="e">
        <f t="shared" ca="1" si="24"/>
        <v>#N/A</v>
      </c>
      <c r="L340" s="405" t="e">
        <f t="shared" si="25"/>
        <v>#N/A</v>
      </c>
      <c r="M340" s="418" t="e">
        <f>IF(ISBLANK(A340),NA(),IFERROR(A340+(PLAYER_EXP_MAX-D340)/L340,NA()))</f>
        <v>#N/A</v>
      </c>
      <c r="N340" s="466" t="e">
        <f t="shared" ref="N340:N400" ca="1" si="26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466" t="str">
        <f t="shared" si="23"/>
        <v>-</v>
      </c>
      <c r="E341" s="399" t="str">
        <f>IF(ISBLANK(A341),"-",D341/PLAYER_EXP_MAX)</f>
        <v>-</v>
      </c>
      <c r="F341" s="405" t="e">
        <f ca="1">IF(ISBLANK(A341),NA(),IFERROR(SLOPE(INDIRECT("D" &amp; MATCH(A341-$B$1,A:A,1)):D341, INDIRECT("A" &amp; MATCH(A341-$B$1,A:A,1)):A341),NA()))</f>
        <v>#N/A</v>
      </c>
      <c r="G341" s="418" t="e">
        <f>IF(ISBLANK(A341),NA(),IFERROR(A341+(PLAYER_EXP_MAX-D341)/F341,NA()))</f>
        <v>#N/A</v>
      </c>
      <c r="H341" s="466" t="e">
        <f ca="1">IF(ISBLANK(#REF!),NA(),IFERROR(TEXT(TRUNC(G341-NOW()),"000") &amp; " D " &amp; TEXT(TRUNC(ABS(G341-NOW()-TRUNC(G341-NOW()))*24),"00") &amp; " H", NA()))</f>
        <v>#N/A</v>
      </c>
      <c r="I341" s="405" t="e">
        <f ca="1">IF(ISBLANK(A341),NA(),IFERROR(SLOPE(INDIRECT("D" &amp; MATCH(A341-$C$1,A:A,1)):D341, INDIRECT("A" &amp; MATCH(A341-$C$1,A:A,1)):A341),NA()))</f>
        <v>#N/A</v>
      </c>
      <c r="J341" s="418" t="e">
        <f>IF(ISBLANK(A341),NA(),IFERROR(A341+(PLAYER_EXP_MAX-D341)/I341,NA()))</f>
        <v>#N/A</v>
      </c>
      <c r="K341" s="466" t="e">
        <f t="shared" ca="1" si="24"/>
        <v>#N/A</v>
      </c>
      <c r="L341" s="405" t="e">
        <f t="shared" si="25"/>
        <v>#N/A</v>
      </c>
      <c r="M341" s="418" t="e">
        <f>IF(ISBLANK(A341),NA(),IFERROR(A341+(PLAYER_EXP_MAX-D341)/L341,NA()))</f>
        <v>#N/A</v>
      </c>
      <c r="N341" s="466" t="e">
        <f t="shared" ca="1" si="26"/>
        <v>#N/A</v>
      </c>
    </row>
    <row r="342" spans="4:14" ht="14.65" customHeight="1" x14ac:dyDescent="0.25">
      <c r="D342" s="466" t="str">
        <f t="shared" si="23"/>
        <v>-</v>
      </c>
      <c r="E342" s="399" t="str">
        <f>IF(ISBLANK(A342),"-",D342/PLAYER_EXP_MAX)</f>
        <v>-</v>
      </c>
      <c r="F342" s="405" t="e">
        <f ca="1">IF(ISBLANK(A342),NA(),IFERROR(SLOPE(INDIRECT("D" &amp; MATCH(A342-$B$1,A:A,1)):D342, INDIRECT("A" &amp; MATCH(A342-$B$1,A:A,1)):A342),NA()))</f>
        <v>#N/A</v>
      </c>
      <c r="G342" s="418" t="e">
        <f>IF(ISBLANK(A342),NA(),IFERROR(A342+(PLAYER_EXP_MAX-D342)/F342,NA()))</f>
        <v>#N/A</v>
      </c>
      <c r="H342" s="466" t="e">
        <f ca="1">IF(ISBLANK(#REF!),NA(),IFERROR(TEXT(TRUNC(G342-NOW()),"000") &amp; " D " &amp; TEXT(TRUNC(ABS(G342-NOW()-TRUNC(G342-NOW()))*24),"00") &amp; " H", NA()))</f>
        <v>#N/A</v>
      </c>
      <c r="I342" s="405" t="e">
        <f ca="1">IF(ISBLANK(A342),NA(),IFERROR(SLOPE(INDIRECT("D" &amp; MATCH(A342-$C$1,A:A,1)):D342, INDIRECT("A" &amp; MATCH(A342-$C$1,A:A,1)):A342),NA()))</f>
        <v>#N/A</v>
      </c>
      <c r="J342" s="418" t="e">
        <f>IF(ISBLANK(A342),NA(),IFERROR(A342+(PLAYER_EXP_MAX-D342)/I342,NA()))</f>
        <v>#N/A</v>
      </c>
      <c r="K342" s="466" t="e">
        <f t="shared" ca="1" si="24"/>
        <v>#N/A</v>
      </c>
      <c r="L342" s="405" t="e">
        <f t="shared" si="25"/>
        <v>#N/A</v>
      </c>
      <c r="M342" s="418" t="e">
        <f>IF(ISBLANK(A342),NA(),IFERROR(A342+(PLAYER_EXP_MAX-D342)/L342,NA()))</f>
        <v>#N/A</v>
      </c>
      <c r="N342" s="466" t="e">
        <f t="shared" ca="1" si="26"/>
        <v>#N/A</v>
      </c>
    </row>
    <row r="343" spans="4:14" ht="14.65" customHeight="1" x14ac:dyDescent="0.25">
      <c r="D343" s="466" t="str">
        <f t="shared" si="23"/>
        <v>-</v>
      </c>
      <c r="E343" s="399" t="str">
        <f>IF(ISBLANK(A343),"-",D343/PLAYER_EXP_MAX)</f>
        <v>-</v>
      </c>
      <c r="F343" s="405" t="e">
        <f ca="1">IF(ISBLANK(A343),NA(),IFERROR(SLOPE(INDIRECT("D" &amp; MATCH(A343-$B$1,A:A,1)):D343, INDIRECT("A" &amp; MATCH(A343-$B$1,A:A,1)):A343),NA()))</f>
        <v>#N/A</v>
      </c>
      <c r="G343" s="418" t="e">
        <f>IF(ISBLANK(A343),NA(),IFERROR(A343+(PLAYER_EXP_MAX-D343)/F343,NA()))</f>
        <v>#N/A</v>
      </c>
      <c r="H343" s="466" t="e">
        <f ca="1">IF(ISBLANK(#REF!),NA(),IFERROR(TEXT(TRUNC(G343-NOW()),"000") &amp; " D " &amp; TEXT(TRUNC(ABS(G343-NOW()-TRUNC(G343-NOW()))*24),"00") &amp; " H", NA()))</f>
        <v>#N/A</v>
      </c>
      <c r="I343" s="405" t="e">
        <f ca="1">IF(ISBLANK(A343),NA(),IFERROR(SLOPE(INDIRECT("D" &amp; MATCH(A343-$C$1,A:A,1)):D343, INDIRECT("A" &amp; MATCH(A343-$C$1,A:A,1)):A343),NA()))</f>
        <v>#N/A</v>
      </c>
      <c r="J343" s="418" t="e">
        <f>IF(ISBLANK(A343),NA(),IFERROR(A343+(PLAYER_EXP_MAX-D343)/I343,NA()))</f>
        <v>#N/A</v>
      </c>
      <c r="K343" s="466" t="e">
        <f t="shared" ca="1" si="24"/>
        <v>#N/A</v>
      </c>
      <c r="L343" s="405" t="e">
        <f t="shared" si="25"/>
        <v>#N/A</v>
      </c>
      <c r="M343" s="418" t="e">
        <f>IF(ISBLANK(A343),NA(),IFERROR(A343+(PLAYER_EXP_MAX-D343)/L343,NA()))</f>
        <v>#N/A</v>
      </c>
      <c r="N343" s="466" t="e">
        <f t="shared" ca="1" si="26"/>
        <v>#N/A</v>
      </c>
    </row>
    <row r="344" spans="4:14" ht="14.65" customHeight="1" x14ac:dyDescent="0.25">
      <c r="D344" s="466" t="str">
        <f t="shared" si="23"/>
        <v>-</v>
      </c>
      <c r="E344" s="399" t="str">
        <f>IF(ISBLANK(A344),"-",D344/PLAYER_EXP_MAX)</f>
        <v>-</v>
      </c>
      <c r="F344" s="405" t="e">
        <f ca="1">IF(ISBLANK(A344),NA(),IFERROR(SLOPE(INDIRECT("D" &amp; MATCH(A344-$B$1,A:A,1)):D344, INDIRECT("A" &amp; MATCH(A344-$B$1,A:A,1)):A344),NA()))</f>
        <v>#N/A</v>
      </c>
      <c r="G344" s="418" t="e">
        <f>IF(ISBLANK(A344),NA(),IFERROR(A344+(PLAYER_EXP_MAX-D344)/F344,NA()))</f>
        <v>#N/A</v>
      </c>
      <c r="H344" s="466" t="e">
        <f ca="1">IF(ISBLANK(#REF!),NA(),IFERROR(TEXT(TRUNC(G344-NOW()),"000") &amp; " D " &amp; TEXT(TRUNC(ABS(G344-NOW()-TRUNC(G344-NOW()))*24),"00") &amp; " H", NA()))</f>
        <v>#N/A</v>
      </c>
      <c r="I344" s="405" t="e">
        <f ca="1">IF(ISBLANK(A344),NA(),IFERROR(SLOPE(INDIRECT("D" &amp; MATCH(A344-$C$1,A:A,1)):D344, INDIRECT("A" &amp; MATCH(A344-$C$1,A:A,1)):A344),NA()))</f>
        <v>#N/A</v>
      </c>
      <c r="J344" s="418" t="e">
        <f>IF(ISBLANK(A344),NA(),IFERROR(A344+(PLAYER_EXP_MAX-D344)/I344,NA()))</f>
        <v>#N/A</v>
      </c>
      <c r="K344" s="466" t="e">
        <f t="shared" ca="1" si="24"/>
        <v>#N/A</v>
      </c>
      <c r="L344" s="405" t="e">
        <f t="shared" si="25"/>
        <v>#N/A</v>
      </c>
      <c r="M344" s="418" t="e">
        <f>IF(ISBLANK(A344),NA(),IFERROR(A344+(PLAYER_EXP_MAX-D344)/L344,NA()))</f>
        <v>#N/A</v>
      </c>
      <c r="N344" s="466" t="e">
        <f t="shared" ca="1" si="26"/>
        <v>#N/A</v>
      </c>
    </row>
    <row r="345" spans="4:14" ht="14.65" customHeight="1" x14ac:dyDescent="0.25">
      <c r="D345" s="466" t="str">
        <f t="shared" si="23"/>
        <v>-</v>
      </c>
      <c r="E345" s="399" t="str">
        <f>IF(ISBLANK(A345),"-",D345/PLAYER_EXP_MAX)</f>
        <v>-</v>
      </c>
      <c r="F345" s="405" t="e">
        <f ca="1">IF(ISBLANK(A345),NA(),IFERROR(SLOPE(INDIRECT("D" &amp; MATCH(A345-$B$1,A:A,1)):D345, INDIRECT("A" &amp; MATCH(A345-$B$1,A:A,1)):A345),NA()))</f>
        <v>#N/A</v>
      </c>
      <c r="G345" s="418" t="e">
        <f>IF(ISBLANK(A345),NA(),IFERROR(A345+(PLAYER_EXP_MAX-D345)/F345,NA()))</f>
        <v>#N/A</v>
      </c>
      <c r="H345" s="466" t="e">
        <f ca="1">IF(ISBLANK(#REF!),NA(),IFERROR(TEXT(TRUNC(G345-NOW()),"000") &amp; " D " &amp; TEXT(TRUNC(ABS(G345-NOW()-TRUNC(G345-NOW()))*24),"00") &amp; " H", NA()))</f>
        <v>#N/A</v>
      </c>
      <c r="I345" s="405" t="e">
        <f ca="1">IF(ISBLANK(A345),NA(),IFERROR(SLOPE(INDIRECT("D" &amp; MATCH(A345-$C$1,A:A,1)):D345, INDIRECT("A" &amp; MATCH(A345-$C$1,A:A,1)):A345),NA()))</f>
        <v>#N/A</v>
      </c>
      <c r="J345" s="418" t="e">
        <f>IF(ISBLANK(A345),NA(),IFERROR(A345+(PLAYER_EXP_MAX-D345)/I345,NA()))</f>
        <v>#N/A</v>
      </c>
      <c r="K345" s="466" t="e">
        <f t="shared" ca="1" si="24"/>
        <v>#N/A</v>
      </c>
      <c r="L345" s="405" t="e">
        <f t="shared" si="25"/>
        <v>#N/A</v>
      </c>
      <c r="M345" s="418" t="e">
        <f>IF(ISBLANK(A345),NA(),IFERROR(A345+(PLAYER_EXP_MAX-D345)/L345,NA()))</f>
        <v>#N/A</v>
      </c>
      <c r="N345" s="466" t="e">
        <f t="shared" ca="1" si="26"/>
        <v>#N/A</v>
      </c>
    </row>
    <row r="346" spans="4:14" ht="14.65" customHeight="1" x14ac:dyDescent="0.25">
      <c r="D346" s="466" t="str">
        <f t="shared" si="23"/>
        <v>-</v>
      </c>
      <c r="E346" s="399" t="str">
        <f>IF(ISBLANK(A346),"-",D346/PLAYER_EXP_MAX)</f>
        <v>-</v>
      </c>
      <c r="F346" s="405" t="e">
        <f ca="1">IF(ISBLANK(A346),NA(),IFERROR(SLOPE(INDIRECT("D" &amp; MATCH(A346-$B$1,A:A,1)):D346, INDIRECT("A" &amp; MATCH(A346-$B$1,A:A,1)):A346),NA()))</f>
        <v>#N/A</v>
      </c>
      <c r="G346" s="418" t="e">
        <f>IF(ISBLANK(A346),NA(),IFERROR(A346+(PLAYER_EXP_MAX-D346)/F346,NA()))</f>
        <v>#N/A</v>
      </c>
      <c r="H346" s="466" t="e">
        <f ca="1">IF(ISBLANK(#REF!),NA(),IFERROR(TEXT(TRUNC(G346-NOW()),"000") &amp; " D " &amp; TEXT(TRUNC(ABS(G346-NOW()-TRUNC(G346-NOW()))*24),"00") &amp; " H", NA()))</f>
        <v>#N/A</v>
      </c>
      <c r="I346" s="405" t="e">
        <f ca="1">IF(ISBLANK(A346),NA(),IFERROR(SLOPE(INDIRECT("D" &amp; MATCH(A346-$C$1,A:A,1)):D346, INDIRECT("A" &amp; MATCH(A346-$C$1,A:A,1)):A346),NA()))</f>
        <v>#N/A</v>
      </c>
      <c r="J346" s="418" t="e">
        <f>IF(ISBLANK(A346),NA(),IFERROR(A346+(PLAYER_EXP_MAX-D346)/I346,NA()))</f>
        <v>#N/A</v>
      </c>
      <c r="K346" s="466" t="e">
        <f t="shared" ca="1" si="24"/>
        <v>#N/A</v>
      </c>
      <c r="L346" s="405" t="e">
        <f t="shared" si="25"/>
        <v>#N/A</v>
      </c>
      <c r="M346" s="418" t="e">
        <f>IF(ISBLANK(A346),NA(),IFERROR(A346+(PLAYER_EXP_MAX-D346)/L346,NA()))</f>
        <v>#N/A</v>
      </c>
      <c r="N346" s="466" t="e">
        <f t="shared" ca="1" si="26"/>
        <v>#N/A</v>
      </c>
    </row>
    <row r="347" spans="4:14" ht="14.65" customHeight="1" x14ac:dyDescent="0.25">
      <c r="D347" s="466" t="str">
        <f t="shared" si="23"/>
        <v>-</v>
      </c>
      <c r="E347" s="399" t="str">
        <f>IF(ISBLANK(A347),"-",D347/PLAYER_EXP_MAX)</f>
        <v>-</v>
      </c>
      <c r="F347" s="405" t="e">
        <f ca="1">IF(ISBLANK(A347),NA(),IFERROR(SLOPE(INDIRECT("D" &amp; MATCH(A347-$B$1,A:A,1)):D347, INDIRECT("A" &amp; MATCH(A347-$B$1,A:A,1)):A347),NA()))</f>
        <v>#N/A</v>
      </c>
      <c r="G347" s="418" t="e">
        <f>IF(ISBLANK(A347),NA(),IFERROR(A347+(PLAYER_EXP_MAX-D347)/F347,NA()))</f>
        <v>#N/A</v>
      </c>
      <c r="H347" s="466" t="e">
        <f ca="1">IF(ISBLANK(#REF!),NA(),IFERROR(TEXT(TRUNC(G347-NOW()),"000") &amp; " D " &amp; TEXT(TRUNC(ABS(G347-NOW()-TRUNC(G347-NOW()))*24),"00") &amp; " H", NA()))</f>
        <v>#N/A</v>
      </c>
      <c r="I347" s="405" t="e">
        <f ca="1">IF(ISBLANK(A347),NA(),IFERROR(SLOPE(INDIRECT("D" &amp; MATCH(A347-$C$1,A:A,1)):D347, INDIRECT("A" &amp; MATCH(A347-$C$1,A:A,1)):A347),NA()))</f>
        <v>#N/A</v>
      </c>
      <c r="J347" s="418" t="e">
        <f>IF(ISBLANK(A347),NA(),IFERROR(A347+(PLAYER_EXP_MAX-D347)/I347,NA()))</f>
        <v>#N/A</v>
      </c>
      <c r="K347" s="466" t="e">
        <f t="shared" ca="1" si="24"/>
        <v>#N/A</v>
      </c>
      <c r="L347" s="405" t="e">
        <f t="shared" si="25"/>
        <v>#N/A</v>
      </c>
      <c r="M347" s="418" t="e">
        <f>IF(ISBLANK(A347),NA(),IFERROR(A347+(PLAYER_EXP_MAX-D347)/L347,NA()))</f>
        <v>#N/A</v>
      </c>
      <c r="N347" s="466" t="e">
        <f t="shared" ca="1" si="26"/>
        <v>#N/A</v>
      </c>
    </row>
    <row r="348" spans="4:14" ht="14.65" customHeight="1" x14ac:dyDescent="0.25">
      <c r="D348" s="466" t="str">
        <f t="shared" si="23"/>
        <v>-</v>
      </c>
      <c r="E348" s="399" t="str">
        <f>IF(ISBLANK(A348),"-",D348/PLAYER_EXP_MAX)</f>
        <v>-</v>
      </c>
      <c r="F348" s="405" t="e">
        <f ca="1">IF(ISBLANK(A348),NA(),IFERROR(SLOPE(INDIRECT("D" &amp; MATCH(A348-$B$1,A:A,1)):D348, INDIRECT("A" &amp; MATCH(A348-$B$1,A:A,1)):A348),NA()))</f>
        <v>#N/A</v>
      </c>
      <c r="G348" s="418" t="e">
        <f>IF(ISBLANK(A348),NA(),IFERROR(A348+(PLAYER_EXP_MAX-D348)/F348,NA()))</f>
        <v>#N/A</v>
      </c>
      <c r="H348" s="466" t="e">
        <f ca="1">IF(ISBLANK(#REF!),NA(),IFERROR(TEXT(TRUNC(G348-NOW()),"000") &amp; " D " &amp; TEXT(TRUNC(ABS(G348-NOW()-TRUNC(G348-NOW()))*24),"00") &amp; " H", NA()))</f>
        <v>#N/A</v>
      </c>
      <c r="I348" s="405" t="e">
        <f ca="1">IF(ISBLANK(A348),NA(),IFERROR(SLOPE(INDIRECT("D" &amp; MATCH(A348-$C$1,A:A,1)):D348, INDIRECT("A" &amp; MATCH(A348-$C$1,A:A,1)):A348),NA()))</f>
        <v>#N/A</v>
      </c>
      <c r="J348" s="418" t="e">
        <f>IF(ISBLANK(A348),NA(),IFERROR(A348+(PLAYER_EXP_MAX-D348)/I348,NA()))</f>
        <v>#N/A</v>
      </c>
      <c r="K348" s="466" t="e">
        <f t="shared" ca="1" si="24"/>
        <v>#N/A</v>
      </c>
      <c r="L348" s="405" t="e">
        <f t="shared" si="25"/>
        <v>#N/A</v>
      </c>
      <c r="M348" s="418" t="e">
        <f>IF(ISBLANK(A348),NA(),IFERROR(A348+(PLAYER_EXP_MAX-D348)/L348,NA()))</f>
        <v>#N/A</v>
      </c>
      <c r="N348" s="466" t="e">
        <f t="shared" ca="1" si="26"/>
        <v>#N/A</v>
      </c>
    </row>
    <row r="349" spans="4:14" ht="14.65" customHeight="1" x14ac:dyDescent="0.25">
      <c r="D349" s="466" t="str">
        <f t="shared" si="23"/>
        <v>-</v>
      </c>
      <c r="E349" s="399" t="str">
        <f>IF(ISBLANK(A349),"-",D349/PLAYER_EXP_MAX)</f>
        <v>-</v>
      </c>
      <c r="F349" s="405" t="e">
        <f ca="1">IF(ISBLANK(A349),NA(),IFERROR(SLOPE(INDIRECT("D" &amp; MATCH(A349-$B$1,A:A,1)):D349, INDIRECT("A" &amp; MATCH(A349-$B$1,A:A,1)):A349),NA()))</f>
        <v>#N/A</v>
      </c>
      <c r="G349" s="418" t="e">
        <f>IF(ISBLANK(A349),NA(),IFERROR(A349+(PLAYER_EXP_MAX-D349)/F349,NA()))</f>
        <v>#N/A</v>
      </c>
      <c r="H349" s="466" t="e">
        <f ca="1">IF(ISBLANK(#REF!),NA(),IFERROR(TEXT(TRUNC(G349-NOW()),"000") &amp; " D " &amp; TEXT(TRUNC(ABS(G349-NOW()-TRUNC(G349-NOW()))*24),"00") &amp; " H", NA()))</f>
        <v>#N/A</v>
      </c>
      <c r="I349" s="405" t="e">
        <f ca="1">IF(ISBLANK(A349),NA(),IFERROR(SLOPE(INDIRECT("D" &amp; MATCH(A349-$C$1,A:A,1)):D349, INDIRECT("A" &amp; MATCH(A349-$C$1,A:A,1)):A349),NA()))</f>
        <v>#N/A</v>
      </c>
      <c r="J349" s="418" t="e">
        <f>IF(ISBLANK(A349),NA(),IFERROR(A349+(PLAYER_EXP_MAX-D349)/I349,NA()))</f>
        <v>#N/A</v>
      </c>
      <c r="K349" s="466" t="e">
        <f t="shared" ca="1" si="24"/>
        <v>#N/A</v>
      </c>
      <c r="L349" s="405" t="e">
        <f t="shared" si="25"/>
        <v>#N/A</v>
      </c>
      <c r="M349" s="418" t="e">
        <f>IF(ISBLANK(A349),NA(),IFERROR(A349+(PLAYER_EXP_MAX-D349)/L349,NA()))</f>
        <v>#N/A</v>
      </c>
      <c r="N349" s="466" t="e">
        <f t="shared" ca="1" si="26"/>
        <v>#N/A</v>
      </c>
    </row>
    <row r="350" spans="4:14" ht="14.65" customHeight="1" x14ac:dyDescent="0.25">
      <c r="D350" s="466" t="str">
        <f t="shared" si="23"/>
        <v>-</v>
      </c>
      <c r="E350" s="399" t="str">
        <f>IF(ISBLANK(A350),"-",D350/PLAYER_EXP_MAX)</f>
        <v>-</v>
      </c>
      <c r="F350" s="405" t="e">
        <f ca="1">IF(ISBLANK(A350),NA(),IFERROR(SLOPE(INDIRECT("D" &amp; MATCH(A350-$B$1,A:A,1)):D350, INDIRECT("A" &amp; MATCH(A350-$B$1,A:A,1)):A350),NA()))</f>
        <v>#N/A</v>
      </c>
      <c r="G350" s="418" t="e">
        <f>IF(ISBLANK(A350),NA(),IFERROR(A350+(PLAYER_EXP_MAX-D350)/F350,NA()))</f>
        <v>#N/A</v>
      </c>
      <c r="H350" s="466" t="e">
        <f ca="1">IF(ISBLANK(#REF!),NA(),IFERROR(TEXT(TRUNC(G350-NOW()),"000") &amp; " D " &amp; TEXT(TRUNC(ABS(G350-NOW()-TRUNC(G350-NOW()))*24),"00") &amp; " H", NA()))</f>
        <v>#N/A</v>
      </c>
      <c r="I350" s="405" t="e">
        <f ca="1">IF(ISBLANK(A350),NA(),IFERROR(SLOPE(INDIRECT("D" &amp; MATCH(A350-$C$1,A:A,1)):D350, INDIRECT("A" &amp; MATCH(A350-$C$1,A:A,1)):A350),NA()))</f>
        <v>#N/A</v>
      </c>
      <c r="J350" s="418" t="e">
        <f>IF(ISBLANK(A350),NA(),IFERROR(A350+(PLAYER_EXP_MAX-D350)/I350,NA()))</f>
        <v>#N/A</v>
      </c>
      <c r="K350" s="466" t="e">
        <f t="shared" ca="1" si="24"/>
        <v>#N/A</v>
      </c>
      <c r="L350" s="405" t="e">
        <f t="shared" si="25"/>
        <v>#N/A</v>
      </c>
      <c r="M350" s="418" t="e">
        <f>IF(ISBLANK(A350),NA(),IFERROR(A350+(PLAYER_EXP_MAX-D350)/L350,NA()))</f>
        <v>#N/A</v>
      </c>
      <c r="N350" s="466" t="e">
        <f t="shared" ca="1" si="26"/>
        <v>#N/A</v>
      </c>
    </row>
    <row r="351" spans="4:14" ht="14.65" customHeight="1" x14ac:dyDescent="0.25">
      <c r="D351" s="466" t="str">
        <f t="shared" si="23"/>
        <v>-</v>
      </c>
      <c r="E351" s="399" t="str">
        <f>IF(ISBLANK(A351),"-",D351/PLAYER_EXP_MAX)</f>
        <v>-</v>
      </c>
      <c r="F351" s="405" t="e">
        <f ca="1">IF(ISBLANK(A351),NA(),IFERROR(SLOPE(INDIRECT("D" &amp; MATCH(A351-$B$1,A:A,1)):D351, INDIRECT("A" &amp; MATCH(A351-$B$1,A:A,1)):A351),NA()))</f>
        <v>#N/A</v>
      </c>
      <c r="G351" s="418" t="e">
        <f>IF(ISBLANK(A351),NA(),IFERROR(A351+(PLAYER_EXP_MAX-D351)/F351,NA()))</f>
        <v>#N/A</v>
      </c>
      <c r="H351" s="466" t="e">
        <f ca="1">IF(ISBLANK(#REF!),NA(),IFERROR(TEXT(TRUNC(G351-NOW()),"000") &amp; " D " &amp; TEXT(TRUNC(ABS(G351-NOW()-TRUNC(G351-NOW()))*24),"00") &amp; " H", NA()))</f>
        <v>#N/A</v>
      </c>
      <c r="I351" s="405" t="e">
        <f ca="1">IF(ISBLANK(A351),NA(),IFERROR(SLOPE(INDIRECT("D" &amp; MATCH(A351-$C$1,A:A,1)):D351, INDIRECT("A" &amp; MATCH(A351-$C$1,A:A,1)):A351),NA()))</f>
        <v>#N/A</v>
      </c>
      <c r="J351" s="418" t="e">
        <f>IF(ISBLANK(A351),NA(),IFERROR(A351+(PLAYER_EXP_MAX-D351)/I351,NA()))</f>
        <v>#N/A</v>
      </c>
      <c r="K351" s="466" t="e">
        <f t="shared" ca="1" si="24"/>
        <v>#N/A</v>
      </c>
      <c r="L351" s="405" t="e">
        <f t="shared" si="25"/>
        <v>#N/A</v>
      </c>
      <c r="M351" s="418" t="e">
        <f>IF(ISBLANK(A351),NA(),IFERROR(A351+(PLAYER_EXP_MAX-D351)/L351,NA()))</f>
        <v>#N/A</v>
      </c>
      <c r="N351" s="466" t="e">
        <f t="shared" ca="1" si="26"/>
        <v>#N/A</v>
      </c>
    </row>
    <row r="352" spans="4:14" ht="14.65" customHeight="1" x14ac:dyDescent="0.25">
      <c r="D352" s="466" t="str">
        <f t="shared" si="23"/>
        <v>-</v>
      </c>
      <c r="E352" s="399" t="str">
        <f>IF(ISBLANK(A352),"-",D352/PLAYER_EXP_MAX)</f>
        <v>-</v>
      </c>
      <c r="F352" s="405" t="e">
        <f ca="1">IF(ISBLANK(A352),NA(),IFERROR(SLOPE(INDIRECT("D" &amp; MATCH(A352-$B$1,A:A,1)):D352, INDIRECT("A" &amp; MATCH(A352-$B$1,A:A,1)):A352),NA()))</f>
        <v>#N/A</v>
      </c>
      <c r="G352" s="418" t="e">
        <f>IF(ISBLANK(A352),NA(),IFERROR(A352+(PLAYER_EXP_MAX-D352)/F352,NA()))</f>
        <v>#N/A</v>
      </c>
      <c r="H352" s="466" t="e">
        <f ca="1">IF(ISBLANK(#REF!),NA(),IFERROR(TEXT(TRUNC(G352-NOW()),"000") &amp; " D " &amp; TEXT(TRUNC(ABS(G352-NOW()-TRUNC(G352-NOW()))*24),"00") &amp; " H", NA()))</f>
        <v>#N/A</v>
      </c>
      <c r="I352" s="405" t="e">
        <f ca="1">IF(ISBLANK(A352),NA(),IFERROR(SLOPE(INDIRECT("D" &amp; MATCH(A352-$C$1,A:A,1)):D352, INDIRECT("A" &amp; MATCH(A352-$C$1,A:A,1)):A352),NA()))</f>
        <v>#N/A</v>
      </c>
      <c r="J352" s="418" t="e">
        <f>IF(ISBLANK(A352),NA(),IFERROR(A352+(PLAYER_EXP_MAX-D352)/I352,NA()))</f>
        <v>#N/A</v>
      </c>
      <c r="K352" s="466" t="e">
        <f t="shared" ca="1" si="24"/>
        <v>#N/A</v>
      </c>
      <c r="L352" s="405" t="e">
        <f t="shared" si="25"/>
        <v>#N/A</v>
      </c>
      <c r="M352" s="418" t="e">
        <f>IF(ISBLANK(A352),NA(),IFERROR(A352+(PLAYER_EXP_MAX-D352)/L352,NA()))</f>
        <v>#N/A</v>
      </c>
      <c r="N352" s="466" t="e">
        <f t="shared" ca="1" si="26"/>
        <v>#N/A</v>
      </c>
    </row>
    <row r="353" spans="4:14" ht="14.65" customHeight="1" x14ac:dyDescent="0.25">
      <c r="D353" s="466" t="str">
        <f t="shared" si="23"/>
        <v>-</v>
      </c>
      <c r="E353" s="399" t="str">
        <f>IF(ISBLANK(A353),"-",D353/PLAYER_EXP_MAX)</f>
        <v>-</v>
      </c>
      <c r="F353" s="405" t="e">
        <f ca="1">IF(ISBLANK(A353),NA(),IFERROR(SLOPE(INDIRECT("D" &amp; MATCH(A353-$B$1,A:A,1)):D353, INDIRECT("A" &amp; MATCH(A353-$B$1,A:A,1)):A353),NA()))</f>
        <v>#N/A</v>
      </c>
      <c r="G353" s="418" t="e">
        <f>IF(ISBLANK(A353),NA(),IFERROR(A353+(PLAYER_EXP_MAX-D353)/F353,NA()))</f>
        <v>#N/A</v>
      </c>
      <c r="H353" s="466" t="e">
        <f ca="1">IF(ISBLANK(#REF!),NA(),IFERROR(TEXT(TRUNC(G353-NOW()),"000") &amp; " D " &amp; TEXT(TRUNC(ABS(G353-NOW()-TRUNC(G353-NOW()))*24),"00") &amp; " H", NA()))</f>
        <v>#N/A</v>
      </c>
      <c r="I353" s="405" t="e">
        <f ca="1">IF(ISBLANK(A353),NA(),IFERROR(SLOPE(INDIRECT("D" &amp; MATCH(A353-$C$1,A:A,1)):D353, INDIRECT("A" &amp; MATCH(A353-$C$1,A:A,1)):A353),NA()))</f>
        <v>#N/A</v>
      </c>
      <c r="J353" s="418" t="e">
        <f>IF(ISBLANK(A353),NA(),IFERROR(A353+(PLAYER_EXP_MAX-D353)/I353,NA()))</f>
        <v>#N/A</v>
      </c>
      <c r="K353" s="466" t="e">
        <f t="shared" ca="1" si="24"/>
        <v>#N/A</v>
      </c>
      <c r="L353" s="405" t="e">
        <f t="shared" si="25"/>
        <v>#N/A</v>
      </c>
      <c r="M353" s="418" t="e">
        <f>IF(ISBLANK(A353),NA(),IFERROR(A353+(PLAYER_EXP_MAX-D353)/L353,NA()))</f>
        <v>#N/A</v>
      </c>
      <c r="N353" s="466" t="e">
        <f t="shared" ca="1" si="26"/>
        <v>#N/A</v>
      </c>
    </row>
    <row r="354" spans="4:14" ht="14.65" customHeight="1" x14ac:dyDescent="0.25">
      <c r="D354" s="466" t="str">
        <f t="shared" si="23"/>
        <v>-</v>
      </c>
      <c r="E354" s="399" t="str">
        <f>IF(ISBLANK(A354),"-",D354/PLAYER_EXP_MAX)</f>
        <v>-</v>
      </c>
      <c r="F354" s="405" t="e">
        <f ca="1">IF(ISBLANK(A354),NA(),IFERROR(SLOPE(INDIRECT("D" &amp; MATCH(A354-$B$1,A:A,1)):D354, INDIRECT("A" &amp; MATCH(A354-$B$1,A:A,1)):A354),NA()))</f>
        <v>#N/A</v>
      </c>
      <c r="G354" s="418" t="e">
        <f>IF(ISBLANK(A354),NA(),IFERROR(A354+(PLAYER_EXP_MAX-D354)/F354,NA()))</f>
        <v>#N/A</v>
      </c>
      <c r="H354" s="466" t="e">
        <f ca="1">IF(ISBLANK(#REF!),NA(),IFERROR(TEXT(TRUNC(G354-NOW()),"000") &amp; " D " &amp; TEXT(TRUNC(ABS(G354-NOW()-TRUNC(G354-NOW()))*24),"00") &amp; " H", NA()))</f>
        <v>#N/A</v>
      </c>
      <c r="I354" s="405" t="e">
        <f ca="1">IF(ISBLANK(A354),NA(),IFERROR(SLOPE(INDIRECT("D" &amp; MATCH(A354-$C$1,A:A,1)):D354, INDIRECT("A" &amp; MATCH(A354-$C$1,A:A,1)):A354),NA()))</f>
        <v>#N/A</v>
      </c>
      <c r="J354" s="418" t="e">
        <f>IF(ISBLANK(A354),NA(),IFERROR(A354+(PLAYER_EXP_MAX-D354)/I354,NA()))</f>
        <v>#N/A</v>
      </c>
      <c r="K354" s="466" t="e">
        <f t="shared" ca="1" si="24"/>
        <v>#N/A</v>
      </c>
      <c r="L354" s="405" t="e">
        <f t="shared" si="25"/>
        <v>#N/A</v>
      </c>
      <c r="M354" s="418" t="e">
        <f>IF(ISBLANK(A354),NA(),IFERROR(A354+(PLAYER_EXP_MAX-D354)/L354,NA()))</f>
        <v>#N/A</v>
      </c>
      <c r="N354" s="466" t="e">
        <f t="shared" ca="1" si="26"/>
        <v>#N/A</v>
      </c>
    </row>
    <row r="355" spans="4:14" ht="14.65" customHeight="1" x14ac:dyDescent="0.25">
      <c r="D355" s="466" t="str">
        <f t="shared" si="23"/>
        <v>-</v>
      </c>
      <c r="E355" s="399" t="str">
        <f>IF(ISBLANK(A355),"-",D355/PLAYER_EXP_MAX)</f>
        <v>-</v>
      </c>
      <c r="F355" s="405" t="e">
        <f ca="1">IF(ISBLANK(A355),NA(),IFERROR(SLOPE(INDIRECT("D" &amp; MATCH(A355-$B$1,A:A,1)):D355, INDIRECT("A" &amp; MATCH(A355-$B$1,A:A,1)):A355),NA()))</f>
        <v>#N/A</v>
      </c>
      <c r="G355" s="418" t="e">
        <f>IF(ISBLANK(A355),NA(),IFERROR(A355+(PLAYER_EXP_MAX-D355)/F355,NA()))</f>
        <v>#N/A</v>
      </c>
      <c r="H355" s="466" t="e">
        <f ca="1">IF(ISBLANK(#REF!),NA(),IFERROR(TEXT(TRUNC(G355-NOW()),"000") &amp; " D " &amp; TEXT(TRUNC(ABS(G355-NOW()-TRUNC(G355-NOW()))*24),"00") &amp; " H", NA()))</f>
        <v>#N/A</v>
      </c>
      <c r="I355" s="405" t="e">
        <f ca="1">IF(ISBLANK(A355),NA(),IFERROR(SLOPE(INDIRECT("D" &amp; MATCH(A355-$C$1,A:A,1)):D355, INDIRECT("A" &amp; MATCH(A355-$C$1,A:A,1)):A355),NA()))</f>
        <v>#N/A</v>
      </c>
      <c r="J355" s="418" t="e">
        <f>IF(ISBLANK(A355),NA(),IFERROR(A355+(PLAYER_EXP_MAX-D355)/I355,NA()))</f>
        <v>#N/A</v>
      </c>
      <c r="K355" s="466" t="e">
        <f t="shared" ca="1" si="24"/>
        <v>#N/A</v>
      </c>
      <c r="L355" s="405" t="e">
        <f t="shared" si="25"/>
        <v>#N/A</v>
      </c>
      <c r="M355" s="418" t="e">
        <f>IF(ISBLANK(A355),NA(),IFERROR(A355+(PLAYER_EXP_MAX-D355)/L355,NA()))</f>
        <v>#N/A</v>
      </c>
      <c r="N355" s="466" t="e">
        <f t="shared" ca="1" si="26"/>
        <v>#N/A</v>
      </c>
    </row>
    <row r="356" spans="4:14" ht="14.65" customHeight="1" x14ac:dyDescent="0.25">
      <c r="D356" s="466" t="str">
        <f t="shared" si="23"/>
        <v>-</v>
      </c>
      <c r="E356" s="399" t="str">
        <f>IF(ISBLANK(A356),"-",D356/PLAYER_EXP_MAX)</f>
        <v>-</v>
      </c>
      <c r="F356" s="405" t="e">
        <f ca="1">IF(ISBLANK(A356),NA(),IFERROR(SLOPE(INDIRECT("D" &amp; MATCH(A356-$B$1,A:A,1)):D356, INDIRECT("A" &amp; MATCH(A356-$B$1,A:A,1)):A356),NA()))</f>
        <v>#N/A</v>
      </c>
      <c r="G356" s="418" t="e">
        <f>IF(ISBLANK(A356),NA(),IFERROR(A356+(PLAYER_EXP_MAX-D356)/F356,NA()))</f>
        <v>#N/A</v>
      </c>
      <c r="H356" s="466" t="e">
        <f ca="1">IF(ISBLANK(#REF!),NA(),IFERROR(TEXT(TRUNC(G356-NOW()),"000") &amp; " D " &amp; TEXT(TRUNC(ABS(G356-NOW()-TRUNC(G356-NOW()))*24),"00") &amp; " H", NA()))</f>
        <v>#N/A</v>
      </c>
      <c r="I356" s="405" t="e">
        <f ca="1">IF(ISBLANK(A356),NA(),IFERROR(SLOPE(INDIRECT("D" &amp; MATCH(A356-$C$1,A:A,1)):D356, INDIRECT("A" &amp; MATCH(A356-$C$1,A:A,1)):A356),NA()))</f>
        <v>#N/A</v>
      </c>
      <c r="J356" s="418" t="e">
        <f>IF(ISBLANK(A356),NA(),IFERROR(A356+(PLAYER_EXP_MAX-D356)/I356,NA()))</f>
        <v>#N/A</v>
      </c>
      <c r="K356" s="466" t="e">
        <f t="shared" ca="1" si="24"/>
        <v>#N/A</v>
      </c>
      <c r="L356" s="405" t="e">
        <f t="shared" si="25"/>
        <v>#N/A</v>
      </c>
      <c r="M356" s="418" t="e">
        <f>IF(ISBLANK(A356),NA(),IFERROR(A356+(PLAYER_EXP_MAX-D356)/L356,NA()))</f>
        <v>#N/A</v>
      </c>
      <c r="N356" s="466" t="e">
        <f t="shared" ca="1" si="26"/>
        <v>#N/A</v>
      </c>
    </row>
    <row r="357" spans="4:14" ht="14.65" customHeight="1" x14ac:dyDescent="0.25">
      <c r="D357" s="466" t="str">
        <f t="shared" si="23"/>
        <v>-</v>
      </c>
      <c r="E357" s="399" t="str">
        <f>IF(ISBLANK(A357),"-",D357/PLAYER_EXP_MAX)</f>
        <v>-</v>
      </c>
      <c r="F357" s="405" t="e">
        <f ca="1">IF(ISBLANK(A357),NA(),IFERROR(SLOPE(INDIRECT("D" &amp; MATCH(A357-$B$1,A:A,1)):D357, INDIRECT("A" &amp; MATCH(A357-$B$1,A:A,1)):A357),NA()))</f>
        <v>#N/A</v>
      </c>
      <c r="G357" s="418" t="e">
        <f>IF(ISBLANK(A357),NA(),IFERROR(A357+(PLAYER_EXP_MAX-D357)/F357,NA()))</f>
        <v>#N/A</v>
      </c>
      <c r="H357" s="466" t="e">
        <f ca="1">IF(ISBLANK(#REF!),NA(),IFERROR(TEXT(TRUNC(G357-NOW()),"000") &amp; " D " &amp; TEXT(TRUNC(ABS(G357-NOW()-TRUNC(G357-NOW()))*24),"00") &amp; " H", NA()))</f>
        <v>#N/A</v>
      </c>
      <c r="I357" s="405" t="e">
        <f ca="1">IF(ISBLANK(A357),NA(),IFERROR(SLOPE(INDIRECT("D" &amp; MATCH(A357-$C$1,A:A,1)):D357, INDIRECT("A" &amp; MATCH(A357-$C$1,A:A,1)):A357),NA()))</f>
        <v>#N/A</v>
      </c>
      <c r="J357" s="418" t="e">
        <f>IF(ISBLANK(A357),NA(),IFERROR(A357+(PLAYER_EXP_MAX-D357)/I357,NA()))</f>
        <v>#N/A</v>
      </c>
      <c r="K357" s="466" t="e">
        <f t="shared" ca="1" si="24"/>
        <v>#N/A</v>
      </c>
      <c r="L357" s="405" t="e">
        <f t="shared" si="25"/>
        <v>#N/A</v>
      </c>
      <c r="M357" s="418" t="e">
        <f>IF(ISBLANK(A357),NA(),IFERROR(A357+(PLAYER_EXP_MAX-D357)/L357,NA()))</f>
        <v>#N/A</v>
      </c>
      <c r="N357" s="466" t="e">
        <f t="shared" ca="1" si="26"/>
        <v>#N/A</v>
      </c>
    </row>
    <row r="358" spans="4:14" ht="14.65" customHeight="1" x14ac:dyDescent="0.25">
      <c r="D358" s="466" t="str">
        <f t="shared" si="23"/>
        <v>-</v>
      </c>
      <c r="E358" s="399" t="str">
        <f>IF(ISBLANK(A358),"-",D358/PLAYER_EXP_MAX)</f>
        <v>-</v>
      </c>
      <c r="F358" s="405" t="e">
        <f ca="1">IF(ISBLANK(A358),NA(),IFERROR(SLOPE(INDIRECT("D" &amp; MATCH(A358-$B$1,A:A,1)):D358, INDIRECT("A" &amp; MATCH(A358-$B$1,A:A,1)):A358),NA()))</f>
        <v>#N/A</v>
      </c>
      <c r="G358" s="418" t="e">
        <f>IF(ISBLANK(A358),NA(),IFERROR(A358+(PLAYER_EXP_MAX-D358)/F358,NA()))</f>
        <v>#N/A</v>
      </c>
      <c r="H358" s="466" t="e">
        <f ca="1">IF(ISBLANK(#REF!),NA(),IFERROR(TEXT(TRUNC(G358-NOW()),"000") &amp; " D " &amp; TEXT(TRUNC(ABS(G358-NOW()-TRUNC(G358-NOW()))*24),"00") &amp; " H", NA()))</f>
        <v>#N/A</v>
      </c>
      <c r="I358" s="405" t="e">
        <f ca="1">IF(ISBLANK(A358),NA(),IFERROR(SLOPE(INDIRECT("D" &amp; MATCH(A358-$C$1,A:A,1)):D358, INDIRECT("A" &amp; MATCH(A358-$C$1,A:A,1)):A358),NA()))</f>
        <v>#N/A</v>
      </c>
      <c r="J358" s="418" t="e">
        <f>IF(ISBLANK(A358),NA(),IFERROR(A358+(PLAYER_EXP_MAX-D358)/I358,NA()))</f>
        <v>#N/A</v>
      </c>
      <c r="K358" s="466" t="e">
        <f t="shared" ca="1" si="24"/>
        <v>#N/A</v>
      </c>
      <c r="L358" s="405" t="e">
        <f t="shared" si="25"/>
        <v>#N/A</v>
      </c>
      <c r="M358" s="418" t="e">
        <f>IF(ISBLANK(A358),NA(),IFERROR(A358+(PLAYER_EXP_MAX-D358)/L358,NA()))</f>
        <v>#N/A</v>
      </c>
      <c r="N358" s="466" t="e">
        <f t="shared" ca="1" si="26"/>
        <v>#N/A</v>
      </c>
    </row>
    <row r="359" spans="4:14" ht="14.65" customHeight="1" x14ac:dyDescent="0.25">
      <c r="D359" s="466" t="str">
        <f t="shared" si="23"/>
        <v>-</v>
      </c>
      <c r="E359" s="399" t="str">
        <f>IF(ISBLANK(A359),"-",D359/PLAYER_EXP_MAX)</f>
        <v>-</v>
      </c>
      <c r="F359" s="405" t="e">
        <f ca="1">IF(ISBLANK(A359),NA(),IFERROR(SLOPE(INDIRECT("D" &amp; MATCH(A359-$B$1,A:A,1)):D359, INDIRECT("A" &amp; MATCH(A359-$B$1,A:A,1)):A359),NA()))</f>
        <v>#N/A</v>
      </c>
      <c r="G359" s="418" t="e">
        <f>IF(ISBLANK(A359),NA(),IFERROR(A359+(PLAYER_EXP_MAX-D359)/F359,NA()))</f>
        <v>#N/A</v>
      </c>
      <c r="H359" s="466" t="e">
        <f ca="1">IF(ISBLANK(#REF!),NA(),IFERROR(TEXT(TRUNC(G359-NOW()),"000") &amp; " D " &amp; TEXT(TRUNC(ABS(G359-NOW()-TRUNC(G359-NOW()))*24),"00") &amp; " H", NA()))</f>
        <v>#N/A</v>
      </c>
      <c r="I359" s="405" t="e">
        <f ca="1">IF(ISBLANK(A359),NA(),IFERROR(SLOPE(INDIRECT("D" &amp; MATCH(A359-$C$1,A:A,1)):D359, INDIRECT("A" &amp; MATCH(A359-$C$1,A:A,1)):A359),NA()))</f>
        <v>#N/A</v>
      </c>
      <c r="J359" s="418" t="e">
        <f>IF(ISBLANK(A359),NA(),IFERROR(A359+(PLAYER_EXP_MAX-D359)/I359,NA()))</f>
        <v>#N/A</v>
      </c>
      <c r="K359" s="466" t="e">
        <f t="shared" ca="1" si="24"/>
        <v>#N/A</v>
      </c>
      <c r="L359" s="405" t="e">
        <f t="shared" si="25"/>
        <v>#N/A</v>
      </c>
      <c r="M359" s="418" t="e">
        <f>IF(ISBLANK(A359),NA(),IFERROR(A359+(PLAYER_EXP_MAX-D359)/L359,NA()))</f>
        <v>#N/A</v>
      </c>
      <c r="N359" s="466" t="e">
        <f t="shared" ca="1" si="26"/>
        <v>#N/A</v>
      </c>
    </row>
    <row r="360" spans="4:14" ht="14.65" customHeight="1" x14ac:dyDescent="0.25">
      <c r="D360" s="466" t="str">
        <f t="shared" si="23"/>
        <v>-</v>
      </c>
      <c r="E360" s="399" t="str">
        <f>IF(ISBLANK(A360),"-",D360/PLAYER_EXP_MAX)</f>
        <v>-</v>
      </c>
      <c r="F360" s="405" t="e">
        <f ca="1">IF(ISBLANK(A360),NA(),IFERROR(SLOPE(INDIRECT("D" &amp; MATCH(A360-$B$1,A:A,1)):D360, INDIRECT("A" &amp; MATCH(A360-$B$1,A:A,1)):A360),NA()))</f>
        <v>#N/A</v>
      </c>
      <c r="G360" s="418" t="e">
        <f>IF(ISBLANK(A360),NA(),IFERROR(A360+(PLAYER_EXP_MAX-D360)/F360,NA()))</f>
        <v>#N/A</v>
      </c>
      <c r="H360" s="466" t="e">
        <f ca="1">IF(ISBLANK(#REF!),NA(),IFERROR(TEXT(TRUNC(G360-NOW()),"000") &amp; " D " &amp; TEXT(TRUNC(ABS(G360-NOW()-TRUNC(G360-NOW()))*24),"00") &amp; " H", NA()))</f>
        <v>#N/A</v>
      </c>
      <c r="I360" s="405" t="e">
        <f ca="1">IF(ISBLANK(A360),NA(),IFERROR(SLOPE(INDIRECT("D" &amp; MATCH(A360-$C$1,A:A,1)):D360, INDIRECT("A" &amp; MATCH(A360-$C$1,A:A,1)):A360),NA()))</f>
        <v>#N/A</v>
      </c>
      <c r="J360" s="418" t="e">
        <f>IF(ISBLANK(A360),NA(),IFERROR(A360+(PLAYER_EXP_MAX-D360)/I360,NA()))</f>
        <v>#N/A</v>
      </c>
      <c r="K360" s="466" t="e">
        <f t="shared" ca="1" si="24"/>
        <v>#N/A</v>
      </c>
      <c r="L360" s="405" t="e">
        <f t="shared" si="25"/>
        <v>#N/A</v>
      </c>
      <c r="M360" s="418" t="e">
        <f>IF(ISBLANK(A360),NA(),IFERROR(A360+(PLAYER_EXP_MAX-D360)/L360,NA()))</f>
        <v>#N/A</v>
      </c>
      <c r="N360" s="466" t="e">
        <f t="shared" ca="1" si="26"/>
        <v>#N/A</v>
      </c>
    </row>
    <row r="361" spans="4:14" ht="14.65" customHeight="1" x14ac:dyDescent="0.25">
      <c r="D361" s="466" t="str">
        <f t="shared" si="23"/>
        <v>-</v>
      </c>
      <c r="E361" s="399" t="str">
        <f>IF(ISBLANK(A361),"-",D361/PLAYER_EXP_MAX)</f>
        <v>-</v>
      </c>
      <c r="F361" s="405" t="e">
        <f ca="1">IF(ISBLANK(A361),NA(),IFERROR(SLOPE(INDIRECT("D" &amp; MATCH(A361-$B$1,A:A,1)):D361, INDIRECT("A" &amp; MATCH(A361-$B$1,A:A,1)):A361),NA()))</f>
        <v>#N/A</v>
      </c>
      <c r="G361" s="418" t="e">
        <f>IF(ISBLANK(A361),NA(),IFERROR(A361+(PLAYER_EXP_MAX-D361)/F361,NA()))</f>
        <v>#N/A</v>
      </c>
      <c r="H361" s="466" t="e">
        <f ca="1">IF(ISBLANK(#REF!),NA(),IFERROR(TEXT(TRUNC(G361-NOW()),"000") &amp; " D " &amp; TEXT(TRUNC(ABS(G361-NOW()-TRUNC(G361-NOW()))*24),"00") &amp; " H", NA()))</f>
        <v>#N/A</v>
      </c>
      <c r="I361" s="405" t="e">
        <f ca="1">IF(ISBLANK(A361),NA(),IFERROR(SLOPE(INDIRECT("D" &amp; MATCH(A361-$C$1,A:A,1)):D361, INDIRECT("A" &amp; MATCH(A361-$C$1,A:A,1)):A361),NA()))</f>
        <v>#N/A</v>
      </c>
      <c r="J361" s="418" t="e">
        <f>IF(ISBLANK(A361),NA(),IFERROR(A361+(PLAYER_EXP_MAX-D361)/I361,NA()))</f>
        <v>#N/A</v>
      </c>
      <c r="K361" s="466" t="e">
        <f t="shared" ca="1" si="24"/>
        <v>#N/A</v>
      </c>
      <c r="L361" s="405" t="e">
        <f t="shared" si="25"/>
        <v>#N/A</v>
      </c>
      <c r="M361" s="418" t="e">
        <f>IF(ISBLANK(A361),NA(),IFERROR(A361+(PLAYER_EXP_MAX-D361)/L361,NA()))</f>
        <v>#N/A</v>
      </c>
      <c r="N361" s="466" t="e">
        <f t="shared" ca="1" si="26"/>
        <v>#N/A</v>
      </c>
    </row>
    <row r="362" spans="4:14" ht="14.65" customHeight="1" x14ac:dyDescent="0.25">
      <c r="D362" s="466" t="str">
        <f t="shared" si="23"/>
        <v>-</v>
      </c>
      <c r="E362" s="399" t="str">
        <f>IF(ISBLANK(A362),"-",D362/PLAYER_EXP_MAX)</f>
        <v>-</v>
      </c>
      <c r="F362" s="405" t="e">
        <f ca="1">IF(ISBLANK(A362),NA(),IFERROR(SLOPE(INDIRECT("D" &amp; MATCH(A362-$B$1,A:A,1)):D362, INDIRECT("A" &amp; MATCH(A362-$B$1,A:A,1)):A362),NA()))</f>
        <v>#N/A</v>
      </c>
      <c r="G362" s="418" t="e">
        <f>IF(ISBLANK(A362),NA(),IFERROR(A362+(PLAYER_EXP_MAX-D362)/F362,NA()))</f>
        <v>#N/A</v>
      </c>
      <c r="H362" s="466" t="e">
        <f ca="1">IF(ISBLANK(#REF!),NA(),IFERROR(TEXT(TRUNC(G362-NOW()),"000") &amp; " D " &amp; TEXT(TRUNC(ABS(G362-NOW()-TRUNC(G362-NOW()))*24),"00") &amp; " H", NA()))</f>
        <v>#N/A</v>
      </c>
      <c r="I362" s="405" t="e">
        <f ca="1">IF(ISBLANK(A362),NA(),IFERROR(SLOPE(INDIRECT("D" &amp; MATCH(A362-$C$1,A:A,1)):D362, INDIRECT("A" &amp; MATCH(A362-$C$1,A:A,1)):A362),NA()))</f>
        <v>#N/A</v>
      </c>
      <c r="J362" s="418" t="e">
        <f>IF(ISBLANK(A362),NA(),IFERROR(A362+(PLAYER_EXP_MAX-D362)/I362,NA()))</f>
        <v>#N/A</v>
      </c>
      <c r="K362" s="466" t="e">
        <f t="shared" ca="1" si="24"/>
        <v>#N/A</v>
      </c>
      <c r="L362" s="405" t="e">
        <f t="shared" si="25"/>
        <v>#N/A</v>
      </c>
      <c r="M362" s="418" t="e">
        <f>IF(ISBLANK(A362),NA(),IFERROR(A362+(PLAYER_EXP_MAX-D362)/L362,NA()))</f>
        <v>#N/A</v>
      </c>
      <c r="N362" s="466" t="e">
        <f t="shared" ca="1" si="26"/>
        <v>#N/A</v>
      </c>
    </row>
    <row r="363" spans="4:14" ht="14.65" customHeight="1" x14ac:dyDescent="0.25">
      <c r="D363" s="466" t="str">
        <f t="shared" si="23"/>
        <v>-</v>
      </c>
      <c r="E363" s="399" t="str">
        <f>IF(ISBLANK(A363),"-",D363/PLAYER_EXP_MAX)</f>
        <v>-</v>
      </c>
      <c r="F363" s="405" t="e">
        <f ca="1">IF(ISBLANK(A363),NA(),IFERROR(SLOPE(INDIRECT("D" &amp; MATCH(A363-$B$1,A:A,1)):D363, INDIRECT("A" &amp; MATCH(A363-$B$1,A:A,1)):A363),NA()))</f>
        <v>#N/A</v>
      </c>
      <c r="G363" s="418" t="e">
        <f>IF(ISBLANK(A363),NA(),IFERROR(A363+(PLAYER_EXP_MAX-D363)/F363,NA()))</f>
        <v>#N/A</v>
      </c>
      <c r="H363" s="466" t="e">
        <f ca="1">IF(ISBLANK(#REF!),NA(),IFERROR(TEXT(TRUNC(G363-NOW()),"000") &amp; " D " &amp; TEXT(TRUNC(ABS(G363-NOW()-TRUNC(G363-NOW()))*24),"00") &amp; " H", NA()))</f>
        <v>#N/A</v>
      </c>
      <c r="I363" s="405" t="e">
        <f ca="1">IF(ISBLANK(A363),NA(),IFERROR(SLOPE(INDIRECT("D" &amp; MATCH(A363-$C$1,A:A,1)):D363, INDIRECT("A" &amp; MATCH(A363-$C$1,A:A,1)):A363),NA()))</f>
        <v>#N/A</v>
      </c>
      <c r="J363" s="418" t="e">
        <f>IF(ISBLANK(A363),NA(),IFERROR(A363+(PLAYER_EXP_MAX-D363)/I363,NA()))</f>
        <v>#N/A</v>
      </c>
      <c r="K363" s="466" t="e">
        <f t="shared" ca="1" si="24"/>
        <v>#N/A</v>
      </c>
      <c r="L363" s="405" t="e">
        <f t="shared" si="25"/>
        <v>#N/A</v>
      </c>
      <c r="M363" s="418" t="e">
        <f>IF(ISBLANK(A363),NA(),IFERROR(A363+(PLAYER_EXP_MAX-D363)/L363,NA()))</f>
        <v>#N/A</v>
      </c>
      <c r="N363" s="466" t="e">
        <f t="shared" ca="1" si="26"/>
        <v>#N/A</v>
      </c>
    </row>
    <row r="364" spans="4:14" ht="14.65" customHeight="1" x14ac:dyDescent="0.25">
      <c r="D364" s="466" t="str">
        <f t="shared" si="23"/>
        <v>-</v>
      </c>
      <c r="E364" s="399" t="str">
        <f>IF(ISBLANK(A364),"-",D364/PLAYER_EXP_MAX)</f>
        <v>-</v>
      </c>
      <c r="F364" s="405" t="e">
        <f ca="1">IF(ISBLANK(A364),NA(),IFERROR(SLOPE(INDIRECT("D" &amp; MATCH(A364-$B$1,A:A,1)):D364, INDIRECT("A" &amp; MATCH(A364-$B$1,A:A,1)):A364),NA()))</f>
        <v>#N/A</v>
      </c>
      <c r="G364" s="418" t="e">
        <f>IF(ISBLANK(A364),NA(),IFERROR(A364+(PLAYER_EXP_MAX-D364)/F364,NA()))</f>
        <v>#N/A</v>
      </c>
      <c r="H364" s="466" t="e">
        <f ca="1">IF(ISBLANK(#REF!),NA(),IFERROR(TEXT(TRUNC(G364-NOW()),"000") &amp; " D " &amp; TEXT(TRUNC(ABS(G364-NOW()-TRUNC(G364-NOW()))*24),"00") &amp; " H", NA()))</f>
        <v>#N/A</v>
      </c>
      <c r="I364" s="405" t="e">
        <f ca="1">IF(ISBLANK(A364),NA(),IFERROR(SLOPE(INDIRECT("D" &amp; MATCH(A364-$C$1,A:A,1)):D364, INDIRECT("A" &amp; MATCH(A364-$C$1,A:A,1)):A364),NA()))</f>
        <v>#N/A</v>
      </c>
      <c r="J364" s="418" t="e">
        <f>IF(ISBLANK(A364),NA(),IFERROR(A364+(PLAYER_EXP_MAX-D364)/I364,NA()))</f>
        <v>#N/A</v>
      </c>
      <c r="K364" s="466" t="e">
        <f t="shared" ca="1" si="24"/>
        <v>#N/A</v>
      </c>
      <c r="L364" s="405" t="e">
        <f t="shared" si="25"/>
        <v>#N/A</v>
      </c>
      <c r="M364" s="418" t="e">
        <f>IF(ISBLANK(A364),NA(),IFERROR(A364+(PLAYER_EXP_MAX-D364)/L364,NA()))</f>
        <v>#N/A</v>
      </c>
      <c r="N364" s="466" t="e">
        <f t="shared" ca="1" si="26"/>
        <v>#N/A</v>
      </c>
    </row>
    <row r="365" spans="4:14" ht="14.65" customHeight="1" x14ac:dyDescent="0.25">
      <c r="D365" s="466" t="str">
        <f t="shared" si="23"/>
        <v>-</v>
      </c>
      <c r="E365" s="399" t="str">
        <f>IF(ISBLANK(A365),"-",D365/PLAYER_EXP_MAX)</f>
        <v>-</v>
      </c>
      <c r="F365" s="405" t="e">
        <f ca="1">IF(ISBLANK(A365),NA(),IFERROR(SLOPE(INDIRECT("D" &amp; MATCH(A365-$B$1,A:A,1)):D365, INDIRECT("A" &amp; MATCH(A365-$B$1,A:A,1)):A365),NA()))</f>
        <v>#N/A</v>
      </c>
      <c r="G365" s="418" t="e">
        <f>IF(ISBLANK(A365),NA(),IFERROR(A365+(PLAYER_EXP_MAX-D365)/F365,NA()))</f>
        <v>#N/A</v>
      </c>
      <c r="H365" s="466" t="e">
        <f ca="1">IF(ISBLANK(#REF!),NA(),IFERROR(TEXT(TRUNC(G365-NOW()),"000") &amp; " D " &amp; TEXT(TRUNC(ABS(G365-NOW()-TRUNC(G365-NOW()))*24),"00") &amp; " H", NA()))</f>
        <v>#N/A</v>
      </c>
      <c r="I365" s="405" t="e">
        <f ca="1">IF(ISBLANK(A365),NA(),IFERROR(SLOPE(INDIRECT("D" &amp; MATCH(A365-$C$1,A:A,1)):D365, INDIRECT("A" &amp; MATCH(A365-$C$1,A:A,1)):A365),NA()))</f>
        <v>#N/A</v>
      </c>
      <c r="J365" s="418" t="e">
        <f>IF(ISBLANK(A365),NA(),IFERROR(A365+(PLAYER_EXP_MAX-D365)/I365,NA()))</f>
        <v>#N/A</v>
      </c>
      <c r="K365" s="466" t="e">
        <f t="shared" ca="1" si="24"/>
        <v>#N/A</v>
      </c>
      <c r="L365" s="405" t="e">
        <f t="shared" si="25"/>
        <v>#N/A</v>
      </c>
      <c r="M365" s="418" t="e">
        <f>IF(ISBLANK(A365),NA(),IFERROR(A365+(PLAYER_EXP_MAX-D365)/L365,NA()))</f>
        <v>#N/A</v>
      </c>
      <c r="N365" s="466" t="e">
        <f t="shared" ca="1" si="26"/>
        <v>#N/A</v>
      </c>
    </row>
    <row r="366" spans="4:14" ht="14.65" customHeight="1" x14ac:dyDescent="0.25">
      <c r="D366" s="466" t="str">
        <f t="shared" si="23"/>
        <v>-</v>
      </c>
      <c r="E366" s="399" t="str">
        <f>IF(ISBLANK(A366),"-",D366/PLAYER_EXP_MAX)</f>
        <v>-</v>
      </c>
      <c r="F366" s="405" t="e">
        <f ca="1">IF(ISBLANK(A366),NA(),IFERROR(SLOPE(INDIRECT("D" &amp; MATCH(A366-$B$1,A:A,1)):D366, INDIRECT("A" &amp; MATCH(A366-$B$1,A:A,1)):A366),NA()))</f>
        <v>#N/A</v>
      </c>
      <c r="G366" s="418" t="e">
        <f>IF(ISBLANK(A366),NA(),IFERROR(A366+(PLAYER_EXP_MAX-D366)/F366,NA()))</f>
        <v>#N/A</v>
      </c>
      <c r="H366" s="466" t="e">
        <f ca="1">IF(ISBLANK(#REF!),NA(),IFERROR(TEXT(TRUNC(G366-NOW()),"000") &amp; " D " &amp; TEXT(TRUNC(ABS(G366-NOW()-TRUNC(G366-NOW()))*24),"00") &amp; " H", NA()))</f>
        <v>#N/A</v>
      </c>
      <c r="I366" s="405" t="e">
        <f ca="1">IF(ISBLANK(A366),NA(),IFERROR(SLOPE(INDIRECT("D" &amp; MATCH(A366-$C$1,A:A,1)):D366, INDIRECT("A" &amp; MATCH(A366-$C$1,A:A,1)):A366),NA()))</f>
        <v>#N/A</v>
      </c>
      <c r="J366" s="418" t="e">
        <f>IF(ISBLANK(A366),NA(),IFERROR(A366+(PLAYER_EXP_MAX-D366)/I366,NA()))</f>
        <v>#N/A</v>
      </c>
      <c r="K366" s="466" t="e">
        <f t="shared" ca="1" si="24"/>
        <v>#N/A</v>
      </c>
      <c r="L366" s="405" t="e">
        <f t="shared" si="25"/>
        <v>#N/A</v>
      </c>
      <c r="M366" s="418" t="e">
        <f>IF(ISBLANK(A366),NA(),IFERROR(A366+(PLAYER_EXP_MAX-D366)/L366,NA()))</f>
        <v>#N/A</v>
      </c>
      <c r="N366" s="466" t="e">
        <f t="shared" ca="1" si="26"/>
        <v>#N/A</v>
      </c>
    </row>
    <row r="367" spans="4:14" ht="14.65" customHeight="1" x14ac:dyDescent="0.25">
      <c r="D367" s="466" t="str">
        <f t="shared" si="23"/>
        <v>-</v>
      </c>
      <c r="E367" s="399" t="str">
        <f>IF(ISBLANK(A367),"-",D367/PLAYER_EXP_MAX)</f>
        <v>-</v>
      </c>
      <c r="F367" s="405" t="e">
        <f ca="1">IF(ISBLANK(A367),NA(),IFERROR(SLOPE(INDIRECT("D" &amp; MATCH(A367-$B$1,A:A,1)):D367, INDIRECT("A" &amp; MATCH(A367-$B$1,A:A,1)):A367),NA()))</f>
        <v>#N/A</v>
      </c>
      <c r="G367" s="418" t="e">
        <f>IF(ISBLANK(A367),NA(),IFERROR(A367+(PLAYER_EXP_MAX-D367)/F367,NA()))</f>
        <v>#N/A</v>
      </c>
      <c r="H367" s="466" t="e">
        <f ca="1">IF(ISBLANK(#REF!),NA(),IFERROR(TEXT(TRUNC(G367-NOW()),"000") &amp; " D " &amp; TEXT(TRUNC(ABS(G367-NOW()-TRUNC(G367-NOW()))*24),"00") &amp; " H", NA()))</f>
        <v>#N/A</v>
      </c>
      <c r="I367" s="405" t="e">
        <f ca="1">IF(ISBLANK(A367),NA(),IFERROR(SLOPE(INDIRECT("D" &amp; MATCH(A367-$C$1,A:A,1)):D367, INDIRECT("A" &amp; MATCH(A367-$C$1,A:A,1)):A367),NA()))</f>
        <v>#N/A</v>
      </c>
      <c r="J367" s="418" t="e">
        <f>IF(ISBLANK(A367),NA(),IFERROR(A367+(PLAYER_EXP_MAX-D367)/I367,NA()))</f>
        <v>#N/A</v>
      </c>
      <c r="K367" s="466" t="e">
        <f t="shared" ca="1" si="24"/>
        <v>#N/A</v>
      </c>
      <c r="L367" s="405" t="e">
        <f t="shared" si="25"/>
        <v>#N/A</v>
      </c>
      <c r="M367" s="418" t="e">
        <f>IF(ISBLANK(A367),NA(),IFERROR(A367+(PLAYER_EXP_MAX-D367)/L367,NA()))</f>
        <v>#N/A</v>
      </c>
      <c r="N367" s="466" t="e">
        <f t="shared" ca="1" si="26"/>
        <v>#N/A</v>
      </c>
    </row>
    <row r="368" spans="4:14" ht="14.65" customHeight="1" x14ac:dyDescent="0.25">
      <c r="D368" s="466" t="str">
        <f t="shared" si="23"/>
        <v>-</v>
      </c>
      <c r="E368" s="399" t="str">
        <f>IF(ISBLANK(A368),"-",D368/PLAYER_EXP_MAX)</f>
        <v>-</v>
      </c>
      <c r="F368" s="405" t="e">
        <f ca="1">IF(ISBLANK(A368),NA(),IFERROR(SLOPE(INDIRECT("D" &amp; MATCH(A368-$B$1,A:A,1)):D368, INDIRECT("A" &amp; MATCH(A368-$B$1,A:A,1)):A368),NA()))</f>
        <v>#N/A</v>
      </c>
      <c r="G368" s="418" t="e">
        <f>IF(ISBLANK(A368),NA(),IFERROR(A368+(PLAYER_EXP_MAX-D368)/F368,NA()))</f>
        <v>#N/A</v>
      </c>
      <c r="H368" s="466" t="e">
        <f ca="1">IF(ISBLANK(#REF!),NA(),IFERROR(TEXT(TRUNC(G368-NOW()),"000") &amp; " D " &amp; TEXT(TRUNC(ABS(G368-NOW()-TRUNC(G368-NOW()))*24),"00") &amp; " H", NA()))</f>
        <v>#N/A</v>
      </c>
      <c r="I368" s="405" t="e">
        <f ca="1">IF(ISBLANK(A368),NA(),IFERROR(SLOPE(INDIRECT("D" &amp; MATCH(A368-$C$1,A:A,1)):D368, INDIRECT("A" &amp; MATCH(A368-$C$1,A:A,1)):A368),NA()))</f>
        <v>#N/A</v>
      </c>
      <c r="J368" s="418" t="e">
        <f>IF(ISBLANK(A368),NA(),IFERROR(A368+(PLAYER_EXP_MAX-D368)/I368,NA()))</f>
        <v>#N/A</v>
      </c>
      <c r="K368" s="466" t="e">
        <f t="shared" ca="1" si="24"/>
        <v>#N/A</v>
      </c>
      <c r="L368" s="405" t="e">
        <f t="shared" si="25"/>
        <v>#N/A</v>
      </c>
      <c r="M368" s="418" t="e">
        <f>IF(ISBLANK(A368),NA(),IFERROR(A368+(PLAYER_EXP_MAX-D368)/L368,NA()))</f>
        <v>#N/A</v>
      </c>
      <c r="N368" s="466" t="e">
        <f t="shared" ca="1" si="26"/>
        <v>#N/A</v>
      </c>
    </row>
    <row r="369" spans="4:14" ht="14.65" customHeight="1" x14ac:dyDescent="0.25">
      <c r="D369" s="466" t="str">
        <f t="shared" si="23"/>
        <v>-</v>
      </c>
      <c r="E369" s="399" t="str">
        <f>IF(ISBLANK(A369),"-",D369/PLAYER_EXP_MAX)</f>
        <v>-</v>
      </c>
      <c r="F369" s="405" t="e">
        <f ca="1">IF(ISBLANK(A369),NA(),IFERROR(SLOPE(INDIRECT("D" &amp; MATCH(A369-$B$1,A:A,1)):D369, INDIRECT("A" &amp; MATCH(A369-$B$1,A:A,1)):A369),NA()))</f>
        <v>#N/A</v>
      </c>
      <c r="G369" s="418" t="e">
        <f>IF(ISBLANK(A369),NA(),IFERROR(A369+(PLAYER_EXP_MAX-D369)/F369,NA()))</f>
        <v>#N/A</v>
      </c>
      <c r="H369" s="466" t="e">
        <f ca="1">IF(ISBLANK(#REF!),NA(),IFERROR(TEXT(TRUNC(G369-NOW()),"000") &amp; " D " &amp; TEXT(TRUNC(ABS(G369-NOW()-TRUNC(G369-NOW()))*24),"00") &amp; " H", NA()))</f>
        <v>#N/A</v>
      </c>
      <c r="I369" s="405" t="e">
        <f ca="1">IF(ISBLANK(A369),NA(),IFERROR(SLOPE(INDIRECT("D" &amp; MATCH(A369-$C$1,A:A,1)):D369, INDIRECT("A" &amp; MATCH(A369-$C$1,A:A,1)):A369),NA()))</f>
        <v>#N/A</v>
      </c>
      <c r="J369" s="418" t="e">
        <f>IF(ISBLANK(A369),NA(),IFERROR(A369+(PLAYER_EXP_MAX-D369)/I369,NA()))</f>
        <v>#N/A</v>
      </c>
      <c r="K369" s="466" t="e">
        <f t="shared" ca="1" si="24"/>
        <v>#N/A</v>
      </c>
      <c r="L369" s="405" t="e">
        <f t="shared" si="25"/>
        <v>#N/A</v>
      </c>
      <c r="M369" s="418" t="e">
        <f>IF(ISBLANK(A369),NA(),IFERROR(A369+(PLAYER_EXP_MAX-D369)/L369,NA()))</f>
        <v>#N/A</v>
      </c>
      <c r="N369" s="466" t="e">
        <f t="shared" ca="1" si="26"/>
        <v>#N/A</v>
      </c>
    </row>
    <row r="370" spans="4:14" ht="14.65" customHeight="1" x14ac:dyDescent="0.25">
      <c r="D370" s="466" t="str">
        <f t="shared" si="23"/>
        <v>-</v>
      </c>
      <c r="E370" s="399" t="str">
        <f>IF(ISBLANK(A370),"-",D370/PLAYER_EXP_MAX)</f>
        <v>-</v>
      </c>
      <c r="F370" s="405" t="e">
        <f ca="1">IF(ISBLANK(A370),NA(),IFERROR(SLOPE(INDIRECT("D" &amp; MATCH(A370-$B$1,A:A,1)):D370, INDIRECT("A" &amp; MATCH(A370-$B$1,A:A,1)):A370),NA()))</f>
        <v>#N/A</v>
      </c>
      <c r="G370" s="418" t="e">
        <f>IF(ISBLANK(A370),NA(),IFERROR(A370+(PLAYER_EXP_MAX-D370)/F370,NA()))</f>
        <v>#N/A</v>
      </c>
      <c r="H370" s="466" t="e">
        <f ca="1">IF(ISBLANK(#REF!),NA(),IFERROR(TEXT(TRUNC(G370-NOW()),"000") &amp; " D " &amp; TEXT(TRUNC(ABS(G370-NOW()-TRUNC(G370-NOW()))*24),"00") &amp; " H", NA()))</f>
        <v>#N/A</v>
      </c>
      <c r="I370" s="405" t="e">
        <f ca="1">IF(ISBLANK(A370),NA(),IFERROR(SLOPE(INDIRECT("D" &amp; MATCH(A370-$C$1,A:A,1)):D370, INDIRECT("A" &amp; MATCH(A370-$C$1,A:A,1)):A370),NA()))</f>
        <v>#N/A</v>
      </c>
      <c r="J370" s="418" t="e">
        <f>IF(ISBLANK(A370),NA(),IFERROR(A370+(PLAYER_EXP_MAX-D370)/I370,NA()))</f>
        <v>#N/A</v>
      </c>
      <c r="K370" s="466" t="e">
        <f t="shared" ca="1" si="24"/>
        <v>#N/A</v>
      </c>
      <c r="L370" s="405" t="e">
        <f t="shared" si="25"/>
        <v>#N/A</v>
      </c>
      <c r="M370" s="418" t="e">
        <f>IF(ISBLANK(A370),NA(),IFERROR(A370+(PLAYER_EXP_MAX-D370)/L370,NA()))</f>
        <v>#N/A</v>
      </c>
      <c r="N370" s="466" t="e">
        <f t="shared" ca="1" si="26"/>
        <v>#N/A</v>
      </c>
    </row>
    <row r="371" spans="4:14" ht="14.65" customHeight="1" x14ac:dyDescent="0.25">
      <c r="D371" s="466" t="str">
        <f t="shared" si="23"/>
        <v>-</v>
      </c>
      <c r="E371" s="399" t="str">
        <f>IF(ISBLANK(A371),"-",D371/PLAYER_EXP_MAX)</f>
        <v>-</v>
      </c>
      <c r="F371" s="405" t="e">
        <f ca="1">IF(ISBLANK(A371),NA(),IFERROR(SLOPE(INDIRECT("D" &amp; MATCH(A371-$B$1,A:A,1)):D371, INDIRECT("A" &amp; MATCH(A371-$B$1,A:A,1)):A371),NA()))</f>
        <v>#N/A</v>
      </c>
      <c r="G371" s="418" t="e">
        <f>IF(ISBLANK(A371),NA(),IFERROR(A371+(PLAYER_EXP_MAX-D371)/F371,NA()))</f>
        <v>#N/A</v>
      </c>
      <c r="H371" s="466" t="e">
        <f ca="1">IF(ISBLANK(#REF!),NA(),IFERROR(TEXT(TRUNC(G371-NOW()),"000") &amp; " D " &amp; TEXT(TRUNC(ABS(G371-NOW()-TRUNC(G371-NOW()))*24),"00") &amp; " H", NA()))</f>
        <v>#N/A</v>
      </c>
      <c r="I371" s="405" t="e">
        <f ca="1">IF(ISBLANK(A371),NA(),IFERROR(SLOPE(INDIRECT("D" &amp; MATCH(A371-$C$1,A:A,1)):D371, INDIRECT("A" &amp; MATCH(A371-$C$1,A:A,1)):A371),NA()))</f>
        <v>#N/A</v>
      </c>
      <c r="J371" s="418" t="e">
        <f>IF(ISBLANK(A371),NA(),IFERROR(A371+(PLAYER_EXP_MAX-D371)/I371,NA()))</f>
        <v>#N/A</v>
      </c>
      <c r="K371" s="466" t="e">
        <f t="shared" ca="1" si="24"/>
        <v>#N/A</v>
      </c>
      <c r="L371" s="405" t="e">
        <f t="shared" si="25"/>
        <v>#N/A</v>
      </c>
      <c r="M371" s="418" t="e">
        <f>IF(ISBLANK(A371),NA(),IFERROR(A371+(PLAYER_EXP_MAX-D371)/L371,NA()))</f>
        <v>#N/A</v>
      </c>
      <c r="N371" s="466" t="e">
        <f t="shared" ca="1" si="26"/>
        <v>#N/A</v>
      </c>
    </row>
    <row r="372" spans="4:14" ht="14.65" customHeight="1" x14ac:dyDescent="0.25">
      <c r="D372" s="466" t="str">
        <f t="shared" si="23"/>
        <v>-</v>
      </c>
      <c r="E372" s="399" t="str">
        <f>IF(ISBLANK(A372),"-",D372/PLAYER_EXP_MAX)</f>
        <v>-</v>
      </c>
      <c r="F372" s="405" t="e">
        <f ca="1">IF(ISBLANK(A372),NA(),IFERROR(SLOPE(INDIRECT("D" &amp; MATCH(A372-$B$1,A:A,1)):D372, INDIRECT("A" &amp; MATCH(A372-$B$1,A:A,1)):A372),NA()))</f>
        <v>#N/A</v>
      </c>
      <c r="G372" s="418" t="e">
        <f>IF(ISBLANK(A372),NA(),IFERROR(A372+(PLAYER_EXP_MAX-D372)/F372,NA()))</f>
        <v>#N/A</v>
      </c>
      <c r="H372" s="466" t="e">
        <f ca="1">IF(ISBLANK(#REF!),NA(),IFERROR(TEXT(TRUNC(G372-NOW()),"000") &amp; " D " &amp; TEXT(TRUNC(ABS(G372-NOW()-TRUNC(G372-NOW()))*24),"00") &amp; " H", NA()))</f>
        <v>#N/A</v>
      </c>
      <c r="I372" s="405" t="e">
        <f ca="1">IF(ISBLANK(A372),NA(),IFERROR(SLOPE(INDIRECT("D" &amp; MATCH(A372-$C$1,A:A,1)):D372, INDIRECT("A" &amp; MATCH(A372-$C$1,A:A,1)):A372),NA()))</f>
        <v>#N/A</v>
      </c>
      <c r="J372" s="418" t="e">
        <f>IF(ISBLANK(A372),NA(),IFERROR(A372+(PLAYER_EXP_MAX-D372)/I372,NA()))</f>
        <v>#N/A</v>
      </c>
      <c r="K372" s="466" t="e">
        <f t="shared" ca="1" si="24"/>
        <v>#N/A</v>
      </c>
      <c r="L372" s="405" t="e">
        <f t="shared" si="25"/>
        <v>#N/A</v>
      </c>
      <c r="M372" s="418" t="e">
        <f>IF(ISBLANK(A372),NA(),IFERROR(A372+(PLAYER_EXP_MAX-D372)/L372,NA()))</f>
        <v>#N/A</v>
      </c>
      <c r="N372" s="466" t="e">
        <f t="shared" ca="1" si="26"/>
        <v>#N/A</v>
      </c>
    </row>
    <row r="373" spans="4:14" ht="14.65" customHeight="1" x14ac:dyDescent="0.25">
      <c r="D373" s="466" t="str">
        <f t="shared" si="23"/>
        <v>-</v>
      </c>
      <c r="E373" s="399" t="str">
        <f>IF(ISBLANK(A373),"-",D373/PLAYER_EXP_MAX)</f>
        <v>-</v>
      </c>
      <c r="F373" s="405" t="e">
        <f ca="1">IF(ISBLANK(A373),NA(),IFERROR(SLOPE(INDIRECT("D" &amp; MATCH(A373-$B$1,A:A,1)):D373, INDIRECT("A" &amp; MATCH(A373-$B$1,A:A,1)):A373),NA()))</f>
        <v>#N/A</v>
      </c>
      <c r="G373" s="418" t="e">
        <f>IF(ISBLANK(A373),NA(),IFERROR(A373+(PLAYER_EXP_MAX-D373)/F373,NA()))</f>
        <v>#N/A</v>
      </c>
      <c r="H373" s="466" t="e">
        <f ca="1">IF(ISBLANK(#REF!),NA(),IFERROR(TEXT(TRUNC(G373-NOW()),"000") &amp; " D " &amp; TEXT(TRUNC(ABS(G373-NOW()-TRUNC(G373-NOW()))*24),"00") &amp; " H", NA()))</f>
        <v>#N/A</v>
      </c>
      <c r="I373" s="405" t="e">
        <f ca="1">IF(ISBLANK(A373),NA(),IFERROR(SLOPE(INDIRECT("D" &amp; MATCH(A373-$C$1,A:A,1)):D373, INDIRECT("A" &amp; MATCH(A373-$C$1,A:A,1)):A373),NA()))</f>
        <v>#N/A</v>
      </c>
      <c r="J373" s="418" t="e">
        <f>IF(ISBLANK(A373),NA(),IFERROR(A373+(PLAYER_EXP_MAX-D373)/I373,NA()))</f>
        <v>#N/A</v>
      </c>
      <c r="K373" s="466" t="e">
        <f t="shared" ca="1" si="24"/>
        <v>#N/A</v>
      </c>
      <c r="L373" s="405" t="e">
        <f t="shared" si="25"/>
        <v>#N/A</v>
      </c>
      <c r="M373" s="418" t="e">
        <f>IF(ISBLANK(A373),NA(),IFERROR(A373+(PLAYER_EXP_MAX-D373)/L373,NA()))</f>
        <v>#N/A</v>
      </c>
      <c r="N373" s="466" t="e">
        <f t="shared" ca="1" si="26"/>
        <v>#N/A</v>
      </c>
    </row>
    <row r="374" spans="4:14" ht="14.65" customHeight="1" x14ac:dyDescent="0.25">
      <c r="D374" s="466" t="str">
        <f t="shared" si="23"/>
        <v>-</v>
      </c>
      <c r="E374" s="399" t="str">
        <f>IF(ISBLANK(A374),"-",D374/PLAYER_EXP_MAX)</f>
        <v>-</v>
      </c>
      <c r="F374" s="405" t="e">
        <f ca="1">IF(ISBLANK(A374),NA(),IFERROR(SLOPE(INDIRECT("D" &amp; MATCH(A374-$B$1,A:A,1)):D374, INDIRECT("A" &amp; MATCH(A374-$B$1,A:A,1)):A374),NA()))</f>
        <v>#N/A</v>
      </c>
      <c r="G374" s="418" t="e">
        <f>IF(ISBLANK(A374),NA(),IFERROR(A374+(PLAYER_EXP_MAX-D374)/F374,NA()))</f>
        <v>#N/A</v>
      </c>
      <c r="H374" s="466" t="e">
        <f ca="1">IF(ISBLANK(#REF!),NA(),IFERROR(TEXT(TRUNC(G374-NOW()),"000") &amp; " D " &amp; TEXT(TRUNC(ABS(G374-NOW()-TRUNC(G374-NOW()))*24),"00") &amp; " H", NA()))</f>
        <v>#N/A</v>
      </c>
      <c r="I374" s="405" t="e">
        <f ca="1">IF(ISBLANK(A374),NA(),IFERROR(SLOPE(INDIRECT("D" &amp; MATCH(A374-$C$1,A:A,1)):D374, INDIRECT("A" &amp; MATCH(A374-$C$1,A:A,1)):A374),NA()))</f>
        <v>#N/A</v>
      </c>
      <c r="J374" s="418" t="e">
        <f>IF(ISBLANK(A374),NA(),IFERROR(A374+(PLAYER_EXP_MAX-D374)/I374,NA()))</f>
        <v>#N/A</v>
      </c>
      <c r="K374" s="466" t="e">
        <f t="shared" ca="1" si="24"/>
        <v>#N/A</v>
      </c>
      <c r="L374" s="405" t="e">
        <f t="shared" si="25"/>
        <v>#N/A</v>
      </c>
      <c r="M374" s="418" t="e">
        <f>IF(ISBLANK(A374),NA(),IFERROR(A374+(PLAYER_EXP_MAX-D374)/L374,NA()))</f>
        <v>#N/A</v>
      </c>
      <c r="N374" s="466" t="e">
        <f t="shared" ca="1" si="26"/>
        <v>#N/A</v>
      </c>
    </row>
    <row r="375" spans="4:14" ht="14.65" customHeight="1" x14ac:dyDescent="0.25">
      <c r="D375" s="466" t="str">
        <f t="shared" si="23"/>
        <v>-</v>
      </c>
      <c r="E375" s="399" t="str">
        <f>IF(ISBLANK(A375),"-",D375/PLAYER_EXP_MAX)</f>
        <v>-</v>
      </c>
      <c r="F375" s="405" t="e">
        <f ca="1">IF(ISBLANK(A375),NA(),IFERROR(SLOPE(INDIRECT("D" &amp; MATCH(A375-$B$1,A:A,1)):D375, INDIRECT("A" &amp; MATCH(A375-$B$1,A:A,1)):A375),NA()))</f>
        <v>#N/A</v>
      </c>
      <c r="G375" s="418" t="e">
        <f>IF(ISBLANK(A375),NA(),IFERROR(A375+(PLAYER_EXP_MAX-D375)/F375,NA()))</f>
        <v>#N/A</v>
      </c>
      <c r="H375" s="466" t="e">
        <f ca="1">IF(ISBLANK(#REF!),NA(),IFERROR(TEXT(TRUNC(G375-NOW()),"000") &amp; " D " &amp; TEXT(TRUNC(ABS(G375-NOW()-TRUNC(G375-NOW()))*24),"00") &amp; " H", NA()))</f>
        <v>#N/A</v>
      </c>
      <c r="I375" s="405" t="e">
        <f ca="1">IF(ISBLANK(A375),NA(),IFERROR(SLOPE(INDIRECT("D" &amp; MATCH(A375-$C$1,A:A,1)):D375, INDIRECT("A" &amp; MATCH(A375-$C$1,A:A,1)):A375),NA()))</f>
        <v>#N/A</v>
      </c>
      <c r="J375" s="418" t="e">
        <f>IF(ISBLANK(A375),NA(),IFERROR(A375+(PLAYER_EXP_MAX-D375)/I375,NA()))</f>
        <v>#N/A</v>
      </c>
      <c r="K375" s="466" t="e">
        <f t="shared" ca="1" si="24"/>
        <v>#N/A</v>
      </c>
      <c r="L375" s="405" t="e">
        <f t="shared" si="25"/>
        <v>#N/A</v>
      </c>
      <c r="M375" s="418" t="e">
        <f>IF(ISBLANK(A375),NA(),IFERROR(A375+(PLAYER_EXP_MAX-D375)/L375,NA()))</f>
        <v>#N/A</v>
      </c>
      <c r="N375" s="466" t="e">
        <f t="shared" ca="1" si="26"/>
        <v>#N/A</v>
      </c>
    </row>
    <row r="376" spans="4:14" ht="14.65" customHeight="1" x14ac:dyDescent="0.25">
      <c r="D376" s="466" t="str">
        <f t="shared" si="23"/>
        <v>-</v>
      </c>
      <c r="E376" s="399" t="str">
        <f>IF(ISBLANK(A376),"-",D376/PLAYER_EXP_MAX)</f>
        <v>-</v>
      </c>
      <c r="F376" s="405" t="e">
        <f ca="1">IF(ISBLANK(A376),NA(),IFERROR(SLOPE(INDIRECT("D" &amp; MATCH(A376-$B$1,A:A,1)):D376, INDIRECT("A" &amp; MATCH(A376-$B$1,A:A,1)):A376),NA()))</f>
        <v>#N/A</v>
      </c>
      <c r="G376" s="418" t="e">
        <f>IF(ISBLANK(A376),NA(),IFERROR(A376+(PLAYER_EXP_MAX-D376)/F376,NA()))</f>
        <v>#N/A</v>
      </c>
      <c r="H376" s="466" t="e">
        <f ca="1">IF(ISBLANK(#REF!),NA(),IFERROR(TEXT(TRUNC(G376-NOW()),"000") &amp; " D " &amp; TEXT(TRUNC(ABS(G376-NOW()-TRUNC(G376-NOW()))*24),"00") &amp; " H", NA()))</f>
        <v>#N/A</v>
      </c>
      <c r="I376" s="405" t="e">
        <f ca="1">IF(ISBLANK(A376),NA(),IFERROR(SLOPE(INDIRECT("D" &amp; MATCH(A376-$C$1,A:A,1)):D376, INDIRECT("A" &amp; MATCH(A376-$C$1,A:A,1)):A376),NA()))</f>
        <v>#N/A</v>
      </c>
      <c r="J376" s="418" t="e">
        <f>IF(ISBLANK(A376),NA(),IFERROR(A376+(PLAYER_EXP_MAX-D376)/I376,NA()))</f>
        <v>#N/A</v>
      </c>
      <c r="K376" s="466" t="e">
        <f t="shared" ca="1" si="24"/>
        <v>#N/A</v>
      </c>
      <c r="L376" s="405" t="e">
        <f t="shared" si="25"/>
        <v>#N/A</v>
      </c>
      <c r="M376" s="418" t="e">
        <f>IF(ISBLANK(A376),NA(),IFERROR(A376+(PLAYER_EXP_MAX-D376)/L376,NA()))</f>
        <v>#N/A</v>
      </c>
      <c r="N376" s="466" t="e">
        <f t="shared" ca="1" si="26"/>
        <v>#N/A</v>
      </c>
    </row>
    <row r="377" spans="4:14" ht="14.65" customHeight="1" x14ac:dyDescent="0.25">
      <c r="D377" s="466" t="str">
        <f t="shared" si="23"/>
        <v>-</v>
      </c>
      <c r="E377" s="399" t="str">
        <f>IF(ISBLANK(A377),"-",D377/PLAYER_EXP_MAX)</f>
        <v>-</v>
      </c>
      <c r="F377" s="405" t="e">
        <f ca="1">IF(ISBLANK(A377),NA(),IFERROR(SLOPE(INDIRECT("D" &amp; MATCH(A377-$B$1,A:A,1)):D377, INDIRECT("A" &amp; MATCH(A377-$B$1,A:A,1)):A377),NA()))</f>
        <v>#N/A</v>
      </c>
      <c r="G377" s="418" t="e">
        <f>IF(ISBLANK(A377),NA(),IFERROR(A377+(PLAYER_EXP_MAX-D377)/F377,NA()))</f>
        <v>#N/A</v>
      </c>
      <c r="H377" s="466" t="e">
        <f ca="1">IF(ISBLANK(#REF!),NA(),IFERROR(TEXT(TRUNC(G377-NOW()),"000") &amp; " D " &amp; TEXT(TRUNC(ABS(G377-NOW()-TRUNC(G377-NOW()))*24),"00") &amp; " H", NA()))</f>
        <v>#N/A</v>
      </c>
      <c r="I377" s="405" t="e">
        <f ca="1">IF(ISBLANK(A377),NA(),IFERROR(SLOPE(INDIRECT("D" &amp; MATCH(A377-$C$1,A:A,1)):D377, INDIRECT("A" &amp; MATCH(A377-$C$1,A:A,1)):A377),NA()))</f>
        <v>#N/A</v>
      </c>
      <c r="J377" s="418" t="e">
        <f>IF(ISBLANK(A377),NA(),IFERROR(A377+(PLAYER_EXP_MAX-D377)/I377,NA()))</f>
        <v>#N/A</v>
      </c>
      <c r="K377" s="466" t="e">
        <f t="shared" ca="1" si="24"/>
        <v>#N/A</v>
      </c>
      <c r="L377" s="405" t="e">
        <f t="shared" si="25"/>
        <v>#N/A</v>
      </c>
      <c r="M377" s="418" t="e">
        <f>IF(ISBLANK(A377),NA(),IFERROR(A377+(PLAYER_EXP_MAX-D377)/L377,NA()))</f>
        <v>#N/A</v>
      </c>
      <c r="N377" s="466" t="e">
        <f t="shared" ca="1" si="26"/>
        <v>#N/A</v>
      </c>
    </row>
    <row r="378" spans="4:14" ht="14.65" customHeight="1" x14ac:dyDescent="0.25">
      <c r="D378" s="466" t="str">
        <f t="shared" si="23"/>
        <v>-</v>
      </c>
      <c r="E378" s="399" t="str">
        <f>IF(ISBLANK(A378),"-",D378/PLAYER_EXP_MAX)</f>
        <v>-</v>
      </c>
      <c r="F378" s="405" t="e">
        <f ca="1">IF(ISBLANK(A378),NA(),IFERROR(SLOPE(INDIRECT("D" &amp; MATCH(A378-$B$1,A:A,1)):D378, INDIRECT("A" &amp; MATCH(A378-$B$1,A:A,1)):A378),NA()))</f>
        <v>#N/A</v>
      </c>
      <c r="G378" s="418" t="e">
        <f>IF(ISBLANK(A378),NA(),IFERROR(A378+(PLAYER_EXP_MAX-D378)/F378,NA()))</f>
        <v>#N/A</v>
      </c>
      <c r="H378" s="466" t="e">
        <f ca="1">IF(ISBLANK(#REF!),NA(),IFERROR(TEXT(TRUNC(G378-NOW()),"000") &amp; " D " &amp; TEXT(TRUNC(ABS(G378-NOW()-TRUNC(G378-NOW()))*24),"00") &amp; " H", NA()))</f>
        <v>#N/A</v>
      </c>
      <c r="I378" s="405" t="e">
        <f ca="1">IF(ISBLANK(A378),NA(),IFERROR(SLOPE(INDIRECT("D" &amp; MATCH(A378-$C$1,A:A,1)):D378, INDIRECT("A" &amp; MATCH(A378-$C$1,A:A,1)):A378),NA()))</f>
        <v>#N/A</v>
      </c>
      <c r="J378" s="418" t="e">
        <f>IF(ISBLANK(A378),NA(),IFERROR(A378+(PLAYER_EXP_MAX-D378)/I378,NA()))</f>
        <v>#N/A</v>
      </c>
      <c r="K378" s="466" t="e">
        <f t="shared" ca="1" si="24"/>
        <v>#N/A</v>
      </c>
      <c r="L378" s="405" t="e">
        <f t="shared" si="25"/>
        <v>#N/A</v>
      </c>
      <c r="M378" s="418" t="e">
        <f>IF(ISBLANK(A378),NA(),IFERROR(A378+(PLAYER_EXP_MAX-D378)/L378,NA()))</f>
        <v>#N/A</v>
      </c>
      <c r="N378" s="466" t="e">
        <f t="shared" ca="1" si="26"/>
        <v>#N/A</v>
      </c>
    </row>
    <row r="379" spans="4:14" ht="14.65" customHeight="1" x14ac:dyDescent="0.25">
      <c r="D379" s="466" t="str">
        <f t="shared" si="23"/>
        <v>-</v>
      </c>
      <c r="E379" s="399" t="str">
        <f>IF(ISBLANK(A379),"-",D379/PLAYER_EXP_MAX)</f>
        <v>-</v>
      </c>
      <c r="F379" s="405" t="e">
        <f ca="1">IF(ISBLANK(A379),NA(),IFERROR(SLOPE(INDIRECT("D" &amp; MATCH(A379-$B$1,A:A,1)):D379, INDIRECT("A" &amp; MATCH(A379-$B$1,A:A,1)):A379),NA()))</f>
        <v>#N/A</v>
      </c>
      <c r="G379" s="418" t="e">
        <f>IF(ISBLANK(A379),NA(),IFERROR(A379+(PLAYER_EXP_MAX-D379)/F379,NA()))</f>
        <v>#N/A</v>
      </c>
      <c r="H379" s="466" t="e">
        <f ca="1">IF(ISBLANK(#REF!),NA(),IFERROR(TEXT(TRUNC(G379-NOW()),"000") &amp; " D " &amp; TEXT(TRUNC(ABS(G379-NOW()-TRUNC(G379-NOW()))*24),"00") &amp; " H", NA()))</f>
        <v>#N/A</v>
      </c>
      <c r="I379" s="405" t="e">
        <f ca="1">IF(ISBLANK(A379),NA(),IFERROR(SLOPE(INDIRECT("D" &amp; MATCH(A379-$C$1,A:A,1)):D379, INDIRECT("A" &amp; MATCH(A379-$C$1,A:A,1)):A379),NA()))</f>
        <v>#N/A</v>
      </c>
      <c r="J379" s="418" t="e">
        <f>IF(ISBLANK(A379),NA(),IFERROR(A379+(PLAYER_EXP_MAX-D379)/I379,NA()))</f>
        <v>#N/A</v>
      </c>
      <c r="K379" s="466" t="e">
        <f t="shared" ca="1" si="24"/>
        <v>#N/A</v>
      </c>
      <c r="L379" s="405" t="e">
        <f t="shared" si="25"/>
        <v>#N/A</v>
      </c>
      <c r="M379" s="418" t="e">
        <f>IF(ISBLANK(A379),NA(),IFERROR(A379+(PLAYER_EXP_MAX-D379)/L379,NA()))</f>
        <v>#N/A</v>
      </c>
      <c r="N379" s="466" t="e">
        <f t="shared" ca="1" si="26"/>
        <v>#N/A</v>
      </c>
    </row>
    <row r="380" spans="4:14" ht="14.65" customHeight="1" x14ac:dyDescent="0.25">
      <c r="D380" s="466" t="str">
        <f t="shared" si="23"/>
        <v>-</v>
      </c>
      <c r="E380" s="399" t="str">
        <f>IF(ISBLANK(A380),"-",D380/PLAYER_EXP_MAX)</f>
        <v>-</v>
      </c>
      <c r="F380" s="405" t="e">
        <f ca="1">IF(ISBLANK(A380),NA(),IFERROR(SLOPE(INDIRECT("D" &amp; MATCH(A380-$B$1,A:A,1)):D380, INDIRECT("A" &amp; MATCH(A380-$B$1,A:A,1)):A380),NA()))</f>
        <v>#N/A</v>
      </c>
      <c r="G380" s="418" t="e">
        <f>IF(ISBLANK(A380),NA(),IFERROR(A380+(PLAYER_EXP_MAX-D380)/F380,NA()))</f>
        <v>#N/A</v>
      </c>
      <c r="H380" s="466" t="e">
        <f ca="1">IF(ISBLANK(#REF!),NA(),IFERROR(TEXT(TRUNC(G380-NOW()),"000") &amp; " D " &amp; TEXT(TRUNC(ABS(G380-NOW()-TRUNC(G380-NOW()))*24),"00") &amp; " H", NA()))</f>
        <v>#N/A</v>
      </c>
      <c r="I380" s="405" t="e">
        <f ca="1">IF(ISBLANK(A380),NA(),IFERROR(SLOPE(INDIRECT("D" &amp; MATCH(A380-$C$1,A:A,1)):D380, INDIRECT("A" &amp; MATCH(A380-$C$1,A:A,1)):A380),NA()))</f>
        <v>#N/A</v>
      </c>
      <c r="J380" s="418" t="e">
        <f>IF(ISBLANK(A380),NA(),IFERROR(A380+(PLAYER_EXP_MAX-D380)/I380,NA()))</f>
        <v>#N/A</v>
      </c>
      <c r="K380" s="466" t="e">
        <f t="shared" ca="1" si="24"/>
        <v>#N/A</v>
      </c>
      <c r="L380" s="405" t="e">
        <f t="shared" si="25"/>
        <v>#N/A</v>
      </c>
      <c r="M380" s="418" t="e">
        <f>IF(ISBLANK(A380),NA(),IFERROR(A380+(PLAYER_EXP_MAX-D380)/L380,NA()))</f>
        <v>#N/A</v>
      </c>
      <c r="N380" s="466" t="e">
        <f t="shared" ca="1" si="26"/>
        <v>#N/A</v>
      </c>
    </row>
    <row r="381" spans="4:14" ht="14.65" customHeight="1" x14ac:dyDescent="0.25">
      <c r="D381" s="466" t="str">
        <f t="shared" si="23"/>
        <v>-</v>
      </c>
      <c r="E381" s="399" t="str">
        <f>IF(ISBLANK(A381),"-",D381/PLAYER_EXP_MAX)</f>
        <v>-</v>
      </c>
      <c r="F381" s="405" t="e">
        <f ca="1">IF(ISBLANK(A381),NA(),IFERROR(SLOPE(INDIRECT("D" &amp; MATCH(A381-$B$1,A:A,1)):D381, INDIRECT("A" &amp; MATCH(A381-$B$1,A:A,1)):A381),NA()))</f>
        <v>#N/A</v>
      </c>
      <c r="G381" s="418" t="e">
        <f>IF(ISBLANK(A381),NA(),IFERROR(A381+(PLAYER_EXP_MAX-D381)/F381,NA()))</f>
        <v>#N/A</v>
      </c>
      <c r="H381" s="466" t="e">
        <f ca="1">IF(ISBLANK(#REF!),NA(),IFERROR(TEXT(TRUNC(G381-NOW()),"000") &amp; " D " &amp; TEXT(TRUNC(ABS(G381-NOW()-TRUNC(G381-NOW()))*24),"00") &amp; " H", NA()))</f>
        <v>#N/A</v>
      </c>
      <c r="I381" s="405" t="e">
        <f ca="1">IF(ISBLANK(A381),NA(),IFERROR(SLOPE(INDIRECT("D" &amp; MATCH(A381-$C$1,A:A,1)):D381, INDIRECT("A" &amp; MATCH(A381-$C$1,A:A,1)):A381),NA()))</f>
        <v>#N/A</v>
      </c>
      <c r="J381" s="418" t="e">
        <f>IF(ISBLANK(A381),NA(),IFERROR(A381+(PLAYER_EXP_MAX-D381)/I381,NA()))</f>
        <v>#N/A</v>
      </c>
      <c r="K381" s="466" t="e">
        <f t="shared" ca="1" si="24"/>
        <v>#N/A</v>
      </c>
      <c r="L381" s="405" t="e">
        <f t="shared" si="25"/>
        <v>#N/A</v>
      </c>
      <c r="M381" s="418" t="e">
        <f>IF(ISBLANK(A381),NA(),IFERROR(A381+(PLAYER_EXP_MAX-D381)/L381,NA()))</f>
        <v>#N/A</v>
      </c>
      <c r="N381" s="466" t="e">
        <f t="shared" ca="1" si="26"/>
        <v>#N/A</v>
      </c>
    </row>
    <row r="382" spans="4:14" ht="14.65" customHeight="1" x14ac:dyDescent="0.25">
      <c r="D382" s="466" t="str">
        <f t="shared" si="23"/>
        <v>-</v>
      </c>
      <c r="E382" s="399" t="str">
        <f>IF(ISBLANK(A382),"-",D382/PLAYER_EXP_MAX)</f>
        <v>-</v>
      </c>
      <c r="F382" s="405" t="e">
        <f ca="1">IF(ISBLANK(A382),NA(),IFERROR(SLOPE(INDIRECT("D" &amp; MATCH(A382-$B$1,A:A,1)):D382, INDIRECT("A" &amp; MATCH(A382-$B$1,A:A,1)):A382),NA()))</f>
        <v>#N/A</v>
      </c>
      <c r="G382" s="418" t="e">
        <f>IF(ISBLANK(A382),NA(),IFERROR(A382+(PLAYER_EXP_MAX-D382)/F382,NA()))</f>
        <v>#N/A</v>
      </c>
      <c r="H382" s="466" t="e">
        <f ca="1">IF(ISBLANK(#REF!),NA(),IFERROR(TEXT(TRUNC(G382-NOW()),"000") &amp; " D " &amp; TEXT(TRUNC(ABS(G382-NOW()-TRUNC(G382-NOW()))*24),"00") &amp; " H", NA()))</f>
        <v>#N/A</v>
      </c>
      <c r="I382" s="405" t="e">
        <f ca="1">IF(ISBLANK(A382),NA(),IFERROR(SLOPE(INDIRECT("D" &amp; MATCH(A382-$C$1,A:A,1)):D382, INDIRECT("A" &amp; MATCH(A382-$C$1,A:A,1)):A382),NA()))</f>
        <v>#N/A</v>
      </c>
      <c r="J382" s="418" t="e">
        <f>IF(ISBLANK(A382),NA(),IFERROR(A382+(PLAYER_EXP_MAX-D382)/I382,NA()))</f>
        <v>#N/A</v>
      </c>
      <c r="K382" s="466" t="e">
        <f t="shared" ca="1" si="24"/>
        <v>#N/A</v>
      </c>
      <c r="L382" s="405" t="e">
        <f t="shared" si="25"/>
        <v>#N/A</v>
      </c>
      <c r="M382" s="418" t="e">
        <f>IF(ISBLANK(A382),NA(),IFERROR(A382+(PLAYER_EXP_MAX-D382)/L382,NA()))</f>
        <v>#N/A</v>
      </c>
      <c r="N382" s="466" t="e">
        <f t="shared" ca="1" si="26"/>
        <v>#N/A</v>
      </c>
    </row>
    <row r="383" spans="4:14" ht="14.65" customHeight="1" x14ac:dyDescent="0.25">
      <c r="D383" s="466" t="str">
        <f t="shared" si="23"/>
        <v>-</v>
      </c>
      <c r="E383" s="399" t="str">
        <f>IF(ISBLANK(A383),"-",D383/PLAYER_EXP_MAX)</f>
        <v>-</v>
      </c>
      <c r="F383" s="405" t="e">
        <f ca="1">IF(ISBLANK(A383),NA(),IFERROR(SLOPE(INDIRECT("D" &amp; MATCH(A383-$B$1,A:A,1)):D383, INDIRECT("A" &amp; MATCH(A383-$B$1,A:A,1)):A383),NA()))</f>
        <v>#N/A</v>
      </c>
      <c r="G383" s="418" t="e">
        <f>IF(ISBLANK(A383),NA(),IFERROR(A383+(PLAYER_EXP_MAX-D383)/F383,NA()))</f>
        <v>#N/A</v>
      </c>
      <c r="H383" s="466" t="e">
        <f ca="1">IF(ISBLANK(#REF!),NA(),IFERROR(TEXT(TRUNC(G383-NOW()),"000") &amp; " D " &amp; TEXT(TRUNC(ABS(G383-NOW()-TRUNC(G383-NOW()))*24),"00") &amp; " H", NA()))</f>
        <v>#N/A</v>
      </c>
      <c r="I383" s="405" t="e">
        <f ca="1">IF(ISBLANK(A383),NA(),IFERROR(SLOPE(INDIRECT("D" &amp; MATCH(A383-$C$1,A:A,1)):D383, INDIRECT("A" &amp; MATCH(A383-$C$1,A:A,1)):A383),NA()))</f>
        <v>#N/A</v>
      </c>
      <c r="J383" s="418" t="e">
        <f>IF(ISBLANK(A383),NA(),IFERROR(A383+(PLAYER_EXP_MAX-D383)/I383,NA()))</f>
        <v>#N/A</v>
      </c>
      <c r="K383" s="466" t="e">
        <f t="shared" ca="1" si="24"/>
        <v>#N/A</v>
      </c>
      <c r="L383" s="405" t="e">
        <f t="shared" si="25"/>
        <v>#N/A</v>
      </c>
      <c r="M383" s="418" t="e">
        <f>IF(ISBLANK(A383),NA(),IFERROR(A383+(PLAYER_EXP_MAX-D383)/L383,NA()))</f>
        <v>#N/A</v>
      </c>
      <c r="N383" s="466" t="e">
        <f t="shared" ca="1" si="26"/>
        <v>#N/A</v>
      </c>
    </row>
    <row r="384" spans="4:14" ht="14.65" customHeight="1" x14ac:dyDescent="0.25">
      <c r="D384" s="466" t="str">
        <f t="shared" si="23"/>
        <v>-</v>
      </c>
      <c r="E384" s="399" t="str">
        <f>IF(ISBLANK(A384),"-",D384/PLAYER_EXP_MAX)</f>
        <v>-</v>
      </c>
      <c r="F384" s="405" t="e">
        <f ca="1">IF(ISBLANK(A384),NA(),IFERROR(SLOPE(INDIRECT("D" &amp; MATCH(A384-$B$1,A:A,1)):D384, INDIRECT("A" &amp; MATCH(A384-$B$1,A:A,1)):A384),NA()))</f>
        <v>#N/A</v>
      </c>
      <c r="G384" s="418" t="e">
        <f>IF(ISBLANK(A384),NA(),IFERROR(A384+(PLAYER_EXP_MAX-D384)/F384,NA()))</f>
        <v>#N/A</v>
      </c>
      <c r="H384" s="466" t="e">
        <f ca="1">IF(ISBLANK(#REF!),NA(),IFERROR(TEXT(TRUNC(G384-NOW()),"000") &amp; " D " &amp; TEXT(TRUNC(ABS(G384-NOW()-TRUNC(G384-NOW()))*24),"00") &amp; " H", NA()))</f>
        <v>#N/A</v>
      </c>
      <c r="I384" s="405" t="e">
        <f ca="1">IF(ISBLANK(A384),NA(),IFERROR(SLOPE(INDIRECT("D" &amp; MATCH(A384-$C$1,A:A,1)):D384, INDIRECT("A" &amp; MATCH(A384-$C$1,A:A,1)):A384),NA()))</f>
        <v>#N/A</v>
      </c>
      <c r="J384" s="418" t="e">
        <f>IF(ISBLANK(A384),NA(),IFERROR(A384+(PLAYER_EXP_MAX-D384)/I384,NA()))</f>
        <v>#N/A</v>
      </c>
      <c r="K384" s="466" t="e">
        <f t="shared" ca="1" si="24"/>
        <v>#N/A</v>
      </c>
      <c r="L384" s="405" t="e">
        <f t="shared" si="25"/>
        <v>#N/A</v>
      </c>
      <c r="M384" s="418" t="e">
        <f>IF(ISBLANK(A384),NA(),IFERROR(A384+(PLAYER_EXP_MAX-D384)/L384,NA()))</f>
        <v>#N/A</v>
      </c>
      <c r="N384" s="466" t="e">
        <f t="shared" ca="1" si="26"/>
        <v>#N/A</v>
      </c>
    </row>
    <row r="385" spans="4:14" ht="14.65" customHeight="1" x14ac:dyDescent="0.25">
      <c r="D385" s="466" t="str">
        <f t="shared" si="23"/>
        <v>-</v>
      </c>
      <c r="E385" s="399" t="str">
        <f>IF(ISBLANK(A385),"-",D385/PLAYER_EXP_MAX)</f>
        <v>-</v>
      </c>
      <c r="F385" s="405" t="e">
        <f ca="1">IF(ISBLANK(A385),NA(),IFERROR(SLOPE(INDIRECT("D" &amp; MATCH(A385-$B$1,A:A,1)):D385, INDIRECT("A" &amp; MATCH(A385-$B$1,A:A,1)):A385),NA()))</f>
        <v>#N/A</v>
      </c>
      <c r="G385" s="418" t="e">
        <f>IF(ISBLANK(A385),NA(),IFERROR(A385+(PLAYER_EXP_MAX-D385)/F385,NA()))</f>
        <v>#N/A</v>
      </c>
      <c r="H385" s="466" t="e">
        <f ca="1">IF(ISBLANK(#REF!),NA(),IFERROR(TEXT(TRUNC(G385-NOW()),"000") &amp; " D " &amp; TEXT(TRUNC(ABS(G385-NOW()-TRUNC(G385-NOW()))*24),"00") &amp; " H", NA()))</f>
        <v>#N/A</v>
      </c>
      <c r="I385" s="405" t="e">
        <f ca="1">IF(ISBLANK(A385),NA(),IFERROR(SLOPE(INDIRECT("D" &amp; MATCH(A385-$C$1,A:A,1)):D385, INDIRECT("A" &amp; MATCH(A385-$C$1,A:A,1)):A385),NA()))</f>
        <v>#N/A</v>
      </c>
      <c r="J385" s="418" t="e">
        <f>IF(ISBLANK(A385),NA(),IFERROR(A385+(PLAYER_EXP_MAX-D385)/I385,NA()))</f>
        <v>#N/A</v>
      </c>
      <c r="K385" s="466" t="e">
        <f t="shared" ca="1" si="24"/>
        <v>#N/A</v>
      </c>
      <c r="L385" s="405" t="e">
        <f t="shared" si="25"/>
        <v>#N/A</v>
      </c>
      <c r="M385" s="418" t="e">
        <f>IF(ISBLANK(A385),NA(),IFERROR(A385+(PLAYER_EXP_MAX-D385)/L385,NA()))</f>
        <v>#N/A</v>
      </c>
      <c r="N385" s="466" t="e">
        <f t="shared" ca="1" si="26"/>
        <v>#N/A</v>
      </c>
    </row>
    <row r="386" spans="4:14" ht="14.65" customHeight="1" x14ac:dyDescent="0.25">
      <c r="D386" s="466" t="str">
        <f t="shared" si="23"/>
        <v>-</v>
      </c>
      <c r="E386" s="399" t="str">
        <f>IF(ISBLANK(A386),"-",D386/PLAYER_EXP_MAX)</f>
        <v>-</v>
      </c>
      <c r="F386" s="405" t="e">
        <f ca="1">IF(ISBLANK(A386),NA(),IFERROR(SLOPE(INDIRECT("D" &amp; MATCH(A386-$B$1,A:A,1)):D386, INDIRECT("A" &amp; MATCH(A386-$B$1,A:A,1)):A386),NA()))</f>
        <v>#N/A</v>
      </c>
      <c r="G386" s="418" t="e">
        <f>IF(ISBLANK(A386),NA(),IFERROR(A386+(PLAYER_EXP_MAX-D386)/F386,NA()))</f>
        <v>#N/A</v>
      </c>
      <c r="H386" s="466" t="e">
        <f ca="1">IF(ISBLANK(#REF!),NA(),IFERROR(TEXT(TRUNC(G386-NOW()),"000") &amp; " D " &amp; TEXT(TRUNC(ABS(G386-NOW()-TRUNC(G386-NOW()))*24),"00") &amp; " H", NA()))</f>
        <v>#N/A</v>
      </c>
      <c r="I386" s="405" t="e">
        <f ca="1">IF(ISBLANK(A386),NA(),IFERROR(SLOPE(INDIRECT("D" &amp; MATCH(A386-$C$1,A:A,1)):D386, INDIRECT("A" &amp; MATCH(A386-$C$1,A:A,1)):A386),NA()))</f>
        <v>#N/A</v>
      </c>
      <c r="J386" s="418" t="e">
        <f>IF(ISBLANK(A386),NA(),IFERROR(A386+(PLAYER_EXP_MAX-D386)/I386,NA()))</f>
        <v>#N/A</v>
      </c>
      <c r="K386" s="466" t="e">
        <f t="shared" ca="1" si="24"/>
        <v>#N/A</v>
      </c>
      <c r="L386" s="405" t="e">
        <f t="shared" si="25"/>
        <v>#N/A</v>
      </c>
      <c r="M386" s="418" t="e">
        <f>IF(ISBLANK(A386),NA(),IFERROR(A386+(PLAYER_EXP_MAX-D386)/L386,NA()))</f>
        <v>#N/A</v>
      </c>
      <c r="N386" s="466" t="e">
        <f t="shared" ca="1" si="26"/>
        <v>#N/A</v>
      </c>
    </row>
    <row r="387" spans="4:14" ht="14.65" customHeight="1" x14ac:dyDescent="0.25">
      <c r="D387" s="466" t="str">
        <f t="shared" ref="D387:D400" si="27">IF(ISBLANK(A387),"-",INDEX(DATA_PLAYER_EXP, B387, 3) + INDEX(DATA_PLAYER_EXP, B387, 2) - C387)</f>
        <v>-</v>
      </c>
      <c r="E387" s="399" t="str">
        <f>IF(ISBLANK(A387),"-",D387/PLAYER_EXP_MAX)</f>
        <v>-</v>
      </c>
      <c r="F387" s="405" t="e">
        <f ca="1">IF(ISBLANK(A387),NA(),IFERROR(SLOPE(INDIRECT("D" &amp; MATCH(A387-$B$1,A:A,1)):D387, INDIRECT("A" &amp; MATCH(A387-$B$1,A:A,1)):A387),NA()))</f>
        <v>#N/A</v>
      </c>
      <c r="G387" s="418" t="e">
        <f>IF(ISBLANK(A387),NA(),IFERROR(A387+(PLAYER_EXP_MAX-D387)/F387,NA()))</f>
        <v>#N/A</v>
      </c>
      <c r="H387" s="466" t="e">
        <f ca="1">IF(ISBLANK(#REF!),NA(),IFERROR(TEXT(TRUNC(G387-NOW()),"000") &amp; " D " &amp; TEXT(TRUNC(ABS(G387-NOW()-TRUNC(G387-NOW()))*24),"00") &amp; " H", NA()))</f>
        <v>#N/A</v>
      </c>
      <c r="I387" s="405" t="e">
        <f ca="1">IF(ISBLANK(A387),NA(),IFERROR(SLOPE(INDIRECT("D" &amp; MATCH(A387-$C$1,A:A,1)):D387, INDIRECT("A" &amp; MATCH(A387-$C$1,A:A,1)):A387),NA()))</f>
        <v>#N/A</v>
      </c>
      <c r="J387" s="418" t="e">
        <f>IF(ISBLANK(A387),NA(),IFERROR(A387+(PLAYER_EXP_MAX-D387)/I387,NA()))</f>
        <v>#N/A</v>
      </c>
      <c r="K387" s="466" t="e">
        <f t="shared" ref="K387:K400" ca="1" si="28">IF(ISBLANK(A387),NA(),IFERROR(TEXT(TRUNC(J387-NOW()),"000") &amp; " D " &amp; TEXT(TRUNC(ABS(J387-NOW()-TRUNC(J387-NOW()))*24),"00") &amp; " H", NA()))</f>
        <v>#N/A</v>
      </c>
      <c r="L387" s="405" t="e">
        <f t="shared" ref="L387:L400" si="29">IFERROR(IF(OR(ISBLANK($A387),$A387-$A$3 &lt; $B$1),NA(),($D387-$D$3)/($A387-$A$3)),NA())</f>
        <v>#N/A</v>
      </c>
      <c r="M387" s="418" t="e">
        <f>IF(ISBLANK(A387),NA(),IFERROR(A387+(PLAYER_EXP_MAX-D387)/L387,NA()))</f>
        <v>#N/A</v>
      </c>
      <c r="N387" s="466" t="e">
        <f t="shared" ca="1" si="26"/>
        <v>#N/A</v>
      </c>
    </row>
    <row r="388" spans="4:14" ht="14.65" customHeight="1" x14ac:dyDescent="0.25">
      <c r="D388" s="466" t="str">
        <f t="shared" si="27"/>
        <v>-</v>
      </c>
      <c r="E388" s="399" t="str">
        <f>IF(ISBLANK(A388),"-",D388/PLAYER_EXP_MAX)</f>
        <v>-</v>
      </c>
      <c r="F388" s="405" t="e">
        <f ca="1">IF(ISBLANK(A388),NA(),IFERROR(SLOPE(INDIRECT("D" &amp; MATCH(A388-$B$1,A:A,1)):D388, INDIRECT("A" &amp; MATCH(A388-$B$1,A:A,1)):A388),NA()))</f>
        <v>#N/A</v>
      </c>
      <c r="G388" s="418" t="e">
        <f>IF(ISBLANK(A388),NA(),IFERROR(A388+(PLAYER_EXP_MAX-D388)/F388,NA()))</f>
        <v>#N/A</v>
      </c>
      <c r="H388" s="466" t="e">
        <f ca="1">IF(ISBLANK(#REF!),NA(),IFERROR(TEXT(TRUNC(G388-NOW()),"000") &amp; " D " &amp; TEXT(TRUNC(ABS(G388-NOW()-TRUNC(G388-NOW()))*24),"00") &amp; " H", NA()))</f>
        <v>#N/A</v>
      </c>
      <c r="I388" s="405" t="e">
        <f ca="1">IF(ISBLANK(A388),NA(),IFERROR(SLOPE(INDIRECT("D" &amp; MATCH(A388-$C$1,A:A,1)):D388, INDIRECT("A" &amp; MATCH(A388-$C$1,A:A,1)):A388),NA()))</f>
        <v>#N/A</v>
      </c>
      <c r="J388" s="418" t="e">
        <f>IF(ISBLANK(A388),NA(),IFERROR(A388+(PLAYER_EXP_MAX-D388)/I388,NA()))</f>
        <v>#N/A</v>
      </c>
      <c r="K388" s="466" t="e">
        <f t="shared" ca="1" si="28"/>
        <v>#N/A</v>
      </c>
      <c r="L388" s="405" t="e">
        <f t="shared" si="29"/>
        <v>#N/A</v>
      </c>
      <c r="M388" s="418" t="e">
        <f>IF(ISBLANK(A388),NA(),IFERROR(A388+(PLAYER_EXP_MAX-D388)/L388,NA()))</f>
        <v>#N/A</v>
      </c>
      <c r="N388" s="466" t="e">
        <f t="shared" ca="1" si="26"/>
        <v>#N/A</v>
      </c>
    </row>
    <row r="389" spans="4:14" ht="14.65" customHeight="1" x14ac:dyDescent="0.25">
      <c r="D389" s="466" t="str">
        <f t="shared" si="27"/>
        <v>-</v>
      </c>
      <c r="E389" s="399" t="str">
        <f>IF(ISBLANK(A389),"-",D389/PLAYER_EXP_MAX)</f>
        <v>-</v>
      </c>
      <c r="F389" s="405" t="e">
        <f ca="1">IF(ISBLANK(A389),NA(),IFERROR(SLOPE(INDIRECT("D" &amp; MATCH(A389-$B$1,A:A,1)):D389, INDIRECT("A" &amp; MATCH(A389-$B$1,A:A,1)):A389),NA()))</f>
        <v>#N/A</v>
      </c>
      <c r="G389" s="418" t="e">
        <f>IF(ISBLANK(A389),NA(),IFERROR(A389+(PLAYER_EXP_MAX-D389)/F389,NA()))</f>
        <v>#N/A</v>
      </c>
      <c r="H389" s="466" t="e">
        <f ca="1">IF(ISBLANK(#REF!),NA(),IFERROR(TEXT(TRUNC(G389-NOW()),"000") &amp; " D " &amp; TEXT(TRUNC(ABS(G389-NOW()-TRUNC(G389-NOW()))*24),"00") &amp; " H", NA()))</f>
        <v>#N/A</v>
      </c>
      <c r="I389" s="405" t="e">
        <f ca="1">IF(ISBLANK(A389),NA(),IFERROR(SLOPE(INDIRECT("D" &amp; MATCH(A389-$C$1,A:A,1)):D389, INDIRECT("A" &amp; MATCH(A389-$C$1,A:A,1)):A389),NA()))</f>
        <v>#N/A</v>
      </c>
      <c r="J389" s="418" t="e">
        <f>IF(ISBLANK(A389),NA(),IFERROR(A389+(PLAYER_EXP_MAX-D389)/I389,NA()))</f>
        <v>#N/A</v>
      </c>
      <c r="K389" s="466" t="e">
        <f t="shared" ca="1" si="28"/>
        <v>#N/A</v>
      </c>
      <c r="L389" s="405" t="e">
        <f t="shared" si="29"/>
        <v>#N/A</v>
      </c>
      <c r="M389" s="418" t="e">
        <f>IF(ISBLANK(A389),NA(),IFERROR(A389+(PLAYER_EXP_MAX-D389)/L389,NA()))</f>
        <v>#N/A</v>
      </c>
      <c r="N389" s="466" t="e">
        <f t="shared" ca="1" si="26"/>
        <v>#N/A</v>
      </c>
    </row>
    <row r="390" spans="4:14" ht="14.65" customHeight="1" x14ac:dyDescent="0.25">
      <c r="D390" s="466" t="str">
        <f t="shared" si="27"/>
        <v>-</v>
      </c>
      <c r="E390" s="399" t="str">
        <f>IF(ISBLANK(A390),"-",D390/PLAYER_EXP_MAX)</f>
        <v>-</v>
      </c>
      <c r="F390" s="405" t="e">
        <f ca="1">IF(ISBLANK(A390),NA(),IFERROR(SLOPE(INDIRECT("D" &amp; MATCH(A390-$B$1,A:A,1)):D390, INDIRECT("A" &amp; MATCH(A390-$B$1,A:A,1)):A390),NA()))</f>
        <v>#N/A</v>
      </c>
      <c r="G390" s="418" t="e">
        <f>IF(ISBLANK(A390),NA(),IFERROR(A390+(PLAYER_EXP_MAX-D390)/F390,NA()))</f>
        <v>#N/A</v>
      </c>
      <c r="H390" s="466" t="e">
        <f ca="1">IF(ISBLANK(#REF!),NA(),IFERROR(TEXT(TRUNC(G390-NOW()),"000") &amp; " D " &amp; TEXT(TRUNC(ABS(G390-NOW()-TRUNC(G390-NOW()))*24),"00") &amp; " H", NA()))</f>
        <v>#N/A</v>
      </c>
      <c r="I390" s="405" t="e">
        <f ca="1">IF(ISBLANK(A390),NA(),IFERROR(SLOPE(INDIRECT("D" &amp; MATCH(A390-$C$1,A:A,1)):D390, INDIRECT("A" &amp; MATCH(A390-$C$1,A:A,1)):A390),NA()))</f>
        <v>#N/A</v>
      </c>
      <c r="J390" s="418" t="e">
        <f>IF(ISBLANK(A390),NA(),IFERROR(A390+(PLAYER_EXP_MAX-D390)/I390,NA()))</f>
        <v>#N/A</v>
      </c>
      <c r="K390" s="466" t="e">
        <f t="shared" ca="1" si="28"/>
        <v>#N/A</v>
      </c>
      <c r="L390" s="405" t="e">
        <f t="shared" si="29"/>
        <v>#N/A</v>
      </c>
      <c r="M390" s="418" t="e">
        <f>IF(ISBLANK(A390),NA(),IFERROR(A390+(PLAYER_EXP_MAX-D390)/L390,NA()))</f>
        <v>#N/A</v>
      </c>
      <c r="N390" s="466" t="e">
        <f t="shared" ca="1" si="26"/>
        <v>#N/A</v>
      </c>
    </row>
    <row r="391" spans="4:14" ht="14.65" customHeight="1" x14ac:dyDescent="0.25">
      <c r="D391" s="466" t="str">
        <f t="shared" si="27"/>
        <v>-</v>
      </c>
      <c r="E391" s="399" t="str">
        <f>IF(ISBLANK(A391),"-",D391/PLAYER_EXP_MAX)</f>
        <v>-</v>
      </c>
      <c r="F391" s="405" t="e">
        <f ca="1">IF(ISBLANK(A391),NA(),IFERROR(SLOPE(INDIRECT("D" &amp; MATCH(A391-$B$1,A:A,1)):D391, INDIRECT("A" &amp; MATCH(A391-$B$1,A:A,1)):A391),NA()))</f>
        <v>#N/A</v>
      </c>
      <c r="G391" s="418" t="e">
        <f>IF(ISBLANK(A391),NA(),IFERROR(A391+(PLAYER_EXP_MAX-D391)/F391,NA()))</f>
        <v>#N/A</v>
      </c>
      <c r="H391" s="466" t="e">
        <f ca="1">IF(ISBLANK(#REF!),NA(),IFERROR(TEXT(TRUNC(G391-NOW()),"000") &amp; " D " &amp; TEXT(TRUNC(ABS(G391-NOW()-TRUNC(G391-NOW()))*24),"00") &amp; " H", NA()))</f>
        <v>#N/A</v>
      </c>
      <c r="I391" s="405" t="e">
        <f ca="1">IF(ISBLANK(A391),NA(),IFERROR(SLOPE(INDIRECT("D" &amp; MATCH(A391-$C$1,A:A,1)):D391, INDIRECT("A" &amp; MATCH(A391-$C$1,A:A,1)):A391),NA()))</f>
        <v>#N/A</v>
      </c>
      <c r="J391" s="418" t="e">
        <f>IF(ISBLANK(A391),NA(),IFERROR(A391+(PLAYER_EXP_MAX-D391)/I391,NA()))</f>
        <v>#N/A</v>
      </c>
      <c r="K391" s="466" t="e">
        <f t="shared" ca="1" si="28"/>
        <v>#N/A</v>
      </c>
      <c r="L391" s="405" t="e">
        <f t="shared" si="29"/>
        <v>#N/A</v>
      </c>
      <c r="M391" s="418" t="e">
        <f>IF(ISBLANK(A391),NA(),IFERROR(A391+(PLAYER_EXP_MAX-D391)/L391,NA()))</f>
        <v>#N/A</v>
      </c>
      <c r="N391" s="466" t="e">
        <f t="shared" ca="1" si="26"/>
        <v>#N/A</v>
      </c>
    </row>
    <row r="392" spans="4:14" ht="14.65" customHeight="1" x14ac:dyDescent="0.25">
      <c r="D392" s="466" t="str">
        <f t="shared" si="27"/>
        <v>-</v>
      </c>
      <c r="E392" s="399" t="str">
        <f>IF(ISBLANK(A392),"-",D392/PLAYER_EXP_MAX)</f>
        <v>-</v>
      </c>
      <c r="F392" s="405" t="e">
        <f ca="1">IF(ISBLANK(A392),NA(),IFERROR(SLOPE(INDIRECT("D" &amp; MATCH(A392-$B$1,A:A,1)):D392, INDIRECT("A" &amp; MATCH(A392-$B$1,A:A,1)):A392),NA()))</f>
        <v>#N/A</v>
      </c>
      <c r="G392" s="418" t="e">
        <f>IF(ISBLANK(A392),NA(),IFERROR(A392+(PLAYER_EXP_MAX-D392)/F392,NA()))</f>
        <v>#N/A</v>
      </c>
      <c r="H392" s="466" t="e">
        <f ca="1">IF(ISBLANK(#REF!),NA(),IFERROR(TEXT(TRUNC(G392-NOW()),"000") &amp; " D " &amp; TEXT(TRUNC(ABS(G392-NOW()-TRUNC(G392-NOW()))*24),"00") &amp; " H", NA()))</f>
        <v>#N/A</v>
      </c>
      <c r="I392" s="405" t="e">
        <f ca="1">IF(ISBLANK(A392),NA(),IFERROR(SLOPE(INDIRECT("D" &amp; MATCH(A392-$C$1,A:A,1)):D392, INDIRECT("A" &amp; MATCH(A392-$C$1,A:A,1)):A392),NA()))</f>
        <v>#N/A</v>
      </c>
      <c r="J392" s="418" t="e">
        <f>IF(ISBLANK(A392),NA(),IFERROR(A392+(PLAYER_EXP_MAX-D392)/I392,NA()))</f>
        <v>#N/A</v>
      </c>
      <c r="K392" s="466" t="e">
        <f t="shared" ca="1" si="28"/>
        <v>#N/A</v>
      </c>
      <c r="L392" s="405" t="e">
        <f t="shared" si="29"/>
        <v>#N/A</v>
      </c>
      <c r="M392" s="418" t="e">
        <f>IF(ISBLANK(A392),NA(),IFERROR(A392+(PLAYER_EXP_MAX-D392)/L392,NA()))</f>
        <v>#N/A</v>
      </c>
      <c r="N392" s="466" t="e">
        <f t="shared" ca="1" si="26"/>
        <v>#N/A</v>
      </c>
    </row>
    <row r="393" spans="4:14" ht="14.65" customHeight="1" x14ac:dyDescent="0.25">
      <c r="D393" s="466" t="str">
        <f t="shared" si="27"/>
        <v>-</v>
      </c>
      <c r="E393" s="399" t="str">
        <f>IF(ISBLANK(A393),"-",D393/PLAYER_EXP_MAX)</f>
        <v>-</v>
      </c>
      <c r="F393" s="405" t="e">
        <f ca="1">IF(ISBLANK(A393),NA(),IFERROR(SLOPE(INDIRECT("D" &amp; MATCH(A393-$B$1,A:A,1)):D393, INDIRECT("A" &amp; MATCH(A393-$B$1,A:A,1)):A393),NA()))</f>
        <v>#N/A</v>
      </c>
      <c r="G393" s="418" t="e">
        <f>IF(ISBLANK(A393),NA(),IFERROR(A393+(PLAYER_EXP_MAX-D393)/F393,NA()))</f>
        <v>#N/A</v>
      </c>
      <c r="H393" s="466" t="e">
        <f ca="1">IF(ISBLANK(#REF!),NA(),IFERROR(TEXT(TRUNC(G393-NOW()),"000") &amp; " D " &amp; TEXT(TRUNC(ABS(G393-NOW()-TRUNC(G393-NOW()))*24),"00") &amp; " H", NA()))</f>
        <v>#N/A</v>
      </c>
      <c r="I393" s="405" t="e">
        <f ca="1">IF(ISBLANK(A393),NA(),IFERROR(SLOPE(INDIRECT("D" &amp; MATCH(A393-$C$1,A:A,1)):D393, INDIRECT("A" &amp; MATCH(A393-$C$1,A:A,1)):A393),NA()))</f>
        <v>#N/A</v>
      </c>
      <c r="J393" s="418" t="e">
        <f>IF(ISBLANK(A393),NA(),IFERROR(A393+(PLAYER_EXP_MAX-D393)/I393,NA()))</f>
        <v>#N/A</v>
      </c>
      <c r="K393" s="466" t="e">
        <f t="shared" ca="1" si="28"/>
        <v>#N/A</v>
      </c>
      <c r="L393" s="405" t="e">
        <f t="shared" si="29"/>
        <v>#N/A</v>
      </c>
      <c r="M393" s="418" t="e">
        <f>IF(ISBLANK(A393),NA(),IFERROR(A393+(PLAYER_EXP_MAX-D393)/L393,NA()))</f>
        <v>#N/A</v>
      </c>
      <c r="N393" s="466" t="e">
        <f t="shared" ca="1" si="26"/>
        <v>#N/A</v>
      </c>
    </row>
    <row r="394" spans="4:14" ht="14.65" customHeight="1" x14ac:dyDescent="0.25">
      <c r="D394" s="466" t="str">
        <f t="shared" si="27"/>
        <v>-</v>
      </c>
      <c r="E394" s="399" t="str">
        <f>IF(ISBLANK(A394),"-",D394/PLAYER_EXP_MAX)</f>
        <v>-</v>
      </c>
      <c r="F394" s="405" t="e">
        <f ca="1">IF(ISBLANK(A394),NA(),IFERROR(SLOPE(INDIRECT("D" &amp; MATCH(A394-$B$1,A:A,1)):D394, INDIRECT("A" &amp; MATCH(A394-$B$1,A:A,1)):A394),NA()))</f>
        <v>#N/A</v>
      </c>
      <c r="G394" s="418" t="e">
        <f>IF(ISBLANK(A394),NA(),IFERROR(A394+(PLAYER_EXP_MAX-D394)/F394,NA()))</f>
        <v>#N/A</v>
      </c>
      <c r="H394" s="466" t="e">
        <f ca="1">IF(ISBLANK(#REF!),NA(),IFERROR(TEXT(TRUNC(G394-NOW()),"000") &amp; " D " &amp; TEXT(TRUNC(ABS(G394-NOW()-TRUNC(G394-NOW()))*24),"00") &amp; " H", NA()))</f>
        <v>#N/A</v>
      </c>
      <c r="I394" s="405" t="e">
        <f ca="1">IF(ISBLANK(A394),NA(),IFERROR(SLOPE(INDIRECT("D" &amp; MATCH(A394-$C$1,A:A,1)):D394, INDIRECT("A" &amp; MATCH(A394-$C$1,A:A,1)):A394),NA()))</f>
        <v>#N/A</v>
      </c>
      <c r="J394" s="418" t="e">
        <f>IF(ISBLANK(A394),NA(),IFERROR(A394+(PLAYER_EXP_MAX-D394)/I394,NA()))</f>
        <v>#N/A</v>
      </c>
      <c r="K394" s="466" t="e">
        <f t="shared" ca="1" si="28"/>
        <v>#N/A</v>
      </c>
      <c r="L394" s="405" t="e">
        <f t="shared" si="29"/>
        <v>#N/A</v>
      </c>
      <c r="M394" s="418" t="e">
        <f>IF(ISBLANK(A394),NA(),IFERROR(A394+(PLAYER_EXP_MAX-D394)/L394,NA()))</f>
        <v>#N/A</v>
      </c>
      <c r="N394" s="466" t="e">
        <f t="shared" ca="1" si="26"/>
        <v>#N/A</v>
      </c>
    </row>
    <row r="395" spans="4:14" ht="14.65" customHeight="1" x14ac:dyDescent="0.25">
      <c r="D395" s="466" t="str">
        <f t="shared" si="27"/>
        <v>-</v>
      </c>
      <c r="E395" s="399" t="str">
        <f>IF(ISBLANK(A395),"-",D395/PLAYER_EXP_MAX)</f>
        <v>-</v>
      </c>
      <c r="F395" s="405" t="e">
        <f ca="1">IF(ISBLANK(A395),NA(),IFERROR(SLOPE(INDIRECT("D" &amp; MATCH(A395-$B$1,A:A,1)):D395, INDIRECT("A" &amp; MATCH(A395-$B$1,A:A,1)):A395),NA()))</f>
        <v>#N/A</v>
      </c>
      <c r="G395" s="418" t="e">
        <f>IF(ISBLANK(A395),NA(),IFERROR(A395+(PLAYER_EXP_MAX-D395)/F395,NA()))</f>
        <v>#N/A</v>
      </c>
      <c r="H395" s="466" t="e">
        <f ca="1">IF(ISBLANK(#REF!),NA(),IFERROR(TEXT(TRUNC(G395-NOW()),"000") &amp; " D " &amp; TEXT(TRUNC(ABS(G395-NOW()-TRUNC(G395-NOW()))*24),"00") &amp; " H", NA()))</f>
        <v>#N/A</v>
      </c>
      <c r="I395" s="405" t="e">
        <f ca="1">IF(ISBLANK(A395),NA(),IFERROR(SLOPE(INDIRECT("D" &amp; MATCH(A395-$C$1,A:A,1)):D395, INDIRECT("A" &amp; MATCH(A395-$C$1,A:A,1)):A395),NA()))</f>
        <v>#N/A</v>
      </c>
      <c r="J395" s="418" t="e">
        <f>IF(ISBLANK(A395),NA(),IFERROR(A395+(PLAYER_EXP_MAX-D395)/I395,NA()))</f>
        <v>#N/A</v>
      </c>
      <c r="K395" s="466" t="e">
        <f t="shared" ca="1" si="28"/>
        <v>#N/A</v>
      </c>
      <c r="L395" s="405" t="e">
        <f t="shared" si="29"/>
        <v>#N/A</v>
      </c>
      <c r="M395" s="418" t="e">
        <f>IF(ISBLANK(A395),NA(),IFERROR(A395+(PLAYER_EXP_MAX-D395)/L395,NA()))</f>
        <v>#N/A</v>
      </c>
      <c r="N395" s="466" t="e">
        <f t="shared" ca="1" si="26"/>
        <v>#N/A</v>
      </c>
    </row>
    <row r="396" spans="4:14" ht="14.65" customHeight="1" x14ac:dyDescent="0.25">
      <c r="D396" s="466" t="str">
        <f t="shared" si="27"/>
        <v>-</v>
      </c>
      <c r="E396" s="399" t="str">
        <f>IF(ISBLANK(A396),"-",D396/PLAYER_EXP_MAX)</f>
        <v>-</v>
      </c>
      <c r="F396" s="405" t="e">
        <f ca="1">IF(ISBLANK(A396),NA(),IFERROR(SLOPE(INDIRECT("D" &amp; MATCH(A396-$B$1,A:A,1)):D396, INDIRECT("A" &amp; MATCH(A396-$B$1,A:A,1)):A396),NA()))</f>
        <v>#N/A</v>
      </c>
      <c r="G396" s="418" t="e">
        <f>IF(ISBLANK(A396),NA(),IFERROR(A396+(PLAYER_EXP_MAX-D396)/F396,NA()))</f>
        <v>#N/A</v>
      </c>
      <c r="H396" s="466" t="e">
        <f ca="1">IF(ISBLANK(#REF!),NA(),IFERROR(TEXT(TRUNC(G396-NOW()),"000") &amp; " D " &amp; TEXT(TRUNC(ABS(G396-NOW()-TRUNC(G396-NOW()))*24),"00") &amp; " H", NA()))</f>
        <v>#N/A</v>
      </c>
      <c r="I396" s="405" t="e">
        <f ca="1">IF(ISBLANK(A396),NA(),IFERROR(SLOPE(INDIRECT("D" &amp; MATCH(A396-$C$1,A:A,1)):D396, INDIRECT("A" &amp; MATCH(A396-$C$1,A:A,1)):A396),NA()))</f>
        <v>#N/A</v>
      </c>
      <c r="J396" s="418" t="e">
        <f>IF(ISBLANK(A396),NA(),IFERROR(A396+(PLAYER_EXP_MAX-D396)/I396,NA()))</f>
        <v>#N/A</v>
      </c>
      <c r="K396" s="466" t="e">
        <f t="shared" ca="1" si="28"/>
        <v>#N/A</v>
      </c>
      <c r="L396" s="405" t="e">
        <f t="shared" si="29"/>
        <v>#N/A</v>
      </c>
      <c r="M396" s="418" t="e">
        <f>IF(ISBLANK(A396),NA(),IFERROR(A396+(PLAYER_EXP_MAX-D396)/L396,NA()))</f>
        <v>#N/A</v>
      </c>
      <c r="N396" s="466" t="e">
        <f t="shared" ca="1" si="26"/>
        <v>#N/A</v>
      </c>
    </row>
    <row r="397" spans="4:14" ht="14.65" customHeight="1" x14ac:dyDescent="0.25">
      <c r="D397" s="466" t="str">
        <f t="shared" si="27"/>
        <v>-</v>
      </c>
      <c r="E397" s="399" t="str">
        <f>IF(ISBLANK(A397),"-",D397/PLAYER_EXP_MAX)</f>
        <v>-</v>
      </c>
      <c r="F397" s="405" t="e">
        <f ca="1">IF(ISBLANK(A397),NA(),IFERROR(SLOPE(INDIRECT("D" &amp; MATCH(A397-$B$1,A:A,1)):D397, INDIRECT("A" &amp; MATCH(A397-$B$1,A:A,1)):A397),NA()))</f>
        <v>#N/A</v>
      </c>
      <c r="G397" s="418" t="e">
        <f>IF(ISBLANK(A397),NA(),IFERROR(A397+(PLAYER_EXP_MAX-D397)/F397,NA()))</f>
        <v>#N/A</v>
      </c>
      <c r="H397" s="466" t="e">
        <f ca="1">IF(ISBLANK(#REF!),NA(),IFERROR(TEXT(TRUNC(G397-NOW()),"000") &amp; " D " &amp; TEXT(TRUNC(ABS(G397-NOW()-TRUNC(G397-NOW()))*24),"00") &amp; " H", NA()))</f>
        <v>#N/A</v>
      </c>
      <c r="I397" s="405" t="e">
        <f ca="1">IF(ISBLANK(A397),NA(),IFERROR(SLOPE(INDIRECT("D" &amp; MATCH(A397-$C$1,A:A,1)):D397, INDIRECT("A" &amp; MATCH(A397-$C$1,A:A,1)):A397),NA()))</f>
        <v>#N/A</v>
      </c>
      <c r="J397" s="418" t="e">
        <f>IF(ISBLANK(A397),NA(),IFERROR(A397+(PLAYER_EXP_MAX-D397)/I397,NA()))</f>
        <v>#N/A</v>
      </c>
      <c r="K397" s="466" t="e">
        <f t="shared" ca="1" si="28"/>
        <v>#N/A</v>
      </c>
      <c r="L397" s="405" t="e">
        <f t="shared" si="29"/>
        <v>#N/A</v>
      </c>
      <c r="M397" s="418" t="e">
        <f>IF(ISBLANK(A397),NA(),IFERROR(A397+(PLAYER_EXP_MAX-D397)/L397,NA()))</f>
        <v>#N/A</v>
      </c>
      <c r="N397" s="466" t="e">
        <f t="shared" ca="1" si="26"/>
        <v>#N/A</v>
      </c>
    </row>
    <row r="398" spans="4:14" ht="14.65" customHeight="1" x14ac:dyDescent="0.25">
      <c r="D398" s="466" t="str">
        <f t="shared" si="27"/>
        <v>-</v>
      </c>
      <c r="E398" s="399" t="str">
        <f>IF(ISBLANK(A398),"-",D398/PLAYER_EXP_MAX)</f>
        <v>-</v>
      </c>
      <c r="F398" s="405" t="e">
        <f ca="1">IF(ISBLANK(A398),NA(),IFERROR(SLOPE(INDIRECT("D" &amp; MATCH(A398-$B$1,A:A,1)):D398, INDIRECT("A" &amp; MATCH(A398-$B$1,A:A,1)):A398),NA()))</f>
        <v>#N/A</v>
      </c>
      <c r="G398" s="418" t="e">
        <f>IF(ISBLANK(A398),NA(),IFERROR(A398+(PLAYER_EXP_MAX-D398)/F398,NA()))</f>
        <v>#N/A</v>
      </c>
      <c r="H398" s="466" t="e">
        <f ca="1">IF(ISBLANK(#REF!),NA(),IFERROR(TEXT(TRUNC(G398-NOW()),"000") &amp; " D " &amp; TEXT(TRUNC(ABS(G398-NOW()-TRUNC(G398-NOW()))*24),"00") &amp; " H", NA()))</f>
        <v>#N/A</v>
      </c>
      <c r="I398" s="405" t="e">
        <f ca="1">IF(ISBLANK(A398),NA(),IFERROR(SLOPE(INDIRECT("D" &amp; MATCH(A398-$C$1,A:A,1)):D398, INDIRECT("A" &amp; MATCH(A398-$C$1,A:A,1)):A398),NA()))</f>
        <v>#N/A</v>
      </c>
      <c r="J398" s="418" t="e">
        <f>IF(ISBLANK(A398),NA(),IFERROR(A398+(PLAYER_EXP_MAX-D398)/I398,NA()))</f>
        <v>#N/A</v>
      </c>
      <c r="K398" s="466" t="e">
        <f t="shared" ca="1" si="28"/>
        <v>#N/A</v>
      </c>
      <c r="L398" s="405" t="e">
        <f t="shared" si="29"/>
        <v>#N/A</v>
      </c>
      <c r="M398" s="418" t="e">
        <f>IF(ISBLANK(A398),NA(),IFERROR(A398+(PLAYER_EXP_MAX-D398)/L398,NA()))</f>
        <v>#N/A</v>
      </c>
      <c r="N398" s="466" t="e">
        <f t="shared" ca="1" si="26"/>
        <v>#N/A</v>
      </c>
    </row>
    <row r="399" spans="4:14" ht="14.65" customHeight="1" x14ac:dyDescent="0.25">
      <c r="D399" s="466" t="str">
        <f t="shared" si="27"/>
        <v>-</v>
      </c>
      <c r="E399" s="399" t="str">
        <f>IF(ISBLANK(A399),"-",D399/PLAYER_EXP_MAX)</f>
        <v>-</v>
      </c>
      <c r="F399" s="405" t="e">
        <f ca="1">IF(ISBLANK(A399),NA(),IFERROR(SLOPE(INDIRECT("D" &amp; MATCH(A399-$B$1,A:A,1)):D399, INDIRECT("A" &amp; MATCH(A399-$B$1,A:A,1)):A399),NA()))</f>
        <v>#N/A</v>
      </c>
      <c r="G399" s="418" t="e">
        <f>IF(ISBLANK(A399),NA(),IFERROR(A399+(PLAYER_EXP_MAX-D399)/F399,NA()))</f>
        <v>#N/A</v>
      </c>
      <c r="H399" s="466" t="e">
        <f ca="1">IF(ISBLANK(#REF!),NA(),IFERROR(TEXT(TRUNC(G399-NOW()),"000") &amp; " D " &amp; TEXT(TRUNC(ABS(G399-NOW()-TRUNC(G399-NOW()))*24),"00") &amp; " H", NA()))</f>
        <v>#N/A</v>
      </c>
      <c r="I399" s="405" t="e">
        <f ca="1">IF(ISBLANK(A399),NA(),IFERROR(SLOPE(INDIRECT("D" &amp; MATCH(A399-$C$1,A:A,1)):D399, INDIRECT("A" &amp; MATCH(A399-$C$1,A:A,1)):A399),NA()))</f>
        <v>#N/A</v>
      </c>
      <c r="J399" s="418" t="e">
        <f>IF(ISBLANK(A399),NA(),IFERROR(A399+(PLAYER_EXP_MAX-D399)/I399,NA()))</f>
        <v>#N/A</v>
      </c>
      <c r="K399" s="466" t="e">
        <f t="shared" ca="1" si="28"/>
        <v>#N/A</v>
      </c>
      <c r="L399" s="405" t="e">
        <f t="shared" si="29"/>
        <v>#N/A</v>
      </c>
      <c r="M399" s="418" t="e">
        <f>IF(ISBLANK(A399),NA(),IFERROR(A399+(PLAYER_EXP_MAX-D399)/L399,NA()))</f>
        <v>#N/A</v>
      </c>
      <c r="N399" s="466" t="e">
        <f t="shared" ca="1" si="26"/>
        <v>#N/A</v>
      </c>
    </row>
    <row r="400" spans="4:14" ht="14.65" customHeight="1" x14ac:dyDescent="0.25">
      <c r="D400" s="466" t="str">
        <f t="shared" si="27"/>
        <v>-</v>
      </c>
      <c r="E400" s="399" t="str">
        <f>IF(ISBLANK(A400),"-",D400/PLAYER_EXP_MAX)</f>
        <v>-</v>
      </c>
      <c r="F400" s="405" t="e">
        <f ca="1">IF(ISBLANK(A400),NA(),IFERROR(SLOPE(INDIRECT("D" &amp; MATCH(A400-$B$1,A:A,1)):D400, INDIRECT("A" &amp; MATCH(A400-$B$1,A:A,1)):A400),NA()))</f>
        <v>#N/A</v>
      </c>
      <c r="G400" s="418" t="e">
        <f>IF(ISBLANK(A400),NA(),IFERROR(A400+(PLAYER_EXP_MAX-D400)/F400,NA()))</f>
        <v>#N/A</v>
      </c>
      <c r="H400" s="466" t="e">
        <f ca="1">IF(ISBLANK(#REF!),NA(),IFERROR(TEXT(TRUNC(G400-NOW()),"000") &amp; " D " &amp; TEXT(TRUNC(ABS(G400-NOW()-TRUNC(G400-NOW()))*24),"00") &amp; " H", NA()))</f>
        <v>#N/A</v>
      </c>
      <c r="I400" s="405" t="e">
        <f ca="1">IF(ISBLANK(A400),NA(),IFERROR(SLOPE(INDIRECT("D" &amp; MATCH(A400-$C$1,A:A,1)):D400, INDIRECT("A" &amp; MATCH(A400-$C$1,A:A,1)):A400),NA()))</f>
        <v>#N/A</v>
      </c>
      <c r="J400" s="418" t="e">
        <f>IF(ISBLANK(A400),NA(),IFERROR(A400+(PLAYER_EXP_MAX-D400)/I400,NA()))</f>
        <v>#N/A</v>
      </c>
      <c r="K400" s="466" t="e">
        <f t="shared" ca="1" si="28"/>
        <v>#N/A</v>
      </c>
      <c r="L400" s="405" t="e">
        <f t="shared" si="29"/>
        <v>#N/A</v>
      </c>
      <c r="M400" s="418" t="e">
        <f>IF(ISBLANK(A400),NA(),IFERROR(A400+(PLAYER_EXP_MAX-D400)/L400,NA()))</f>
        <v>#N/A</v>
      </c>
      <c r="N400" s="466" t="e">
        <f t="shared" ca="1" si="26"/>
        <v>#N/A</v>
      </c>
    </row>
  </sheetData>
  <mergeCells count="3">
    <mergeCell ref="L1:N1"/>
    <mergeCell ref="I1:K1"/>
    <mergeCell ref="F1:H1"/>
  </mergeCells>
  <conditionalFormatting sqref="E1:E3 E14:E15 E401:E1048576">
    <cfRule type="dataBar" priority="57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{958B8E40-7B23-4B3E-B0D6-1E211C3BA133}</x14:id>
        </ext>
      </extLst>
    </cfRule>
  </conditionalFormatting>
  <conditionalFormatting sqref="E3:E15">
    <cfRule type="dataBar" priority="5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{5479C6CA-B4AA-4F00-A9E2-73CDD40EB6B7}</x14:id>
        </ext>
      </extLst>
    </cfRule>
  </conditionalFormatting>
  <conditionalFormatting sqref="E23:E24">
    <cfRule type="dataBar" priority="53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{E1FC4E8B-B678-441B-AF6D-A88C10EBA180}</x14:id>
        </ext>
      </extLst>
    </cfRule>
  </conditionalFormatting>
  <conditionalFormatting sqref="E16:E24">
    <cfRule type="dataBar" priority="52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{21ABCA7B-7EFB-46BC-903C-CAD24596529F}</x14:id>
        </ext>
      </extLst>
    </cfRule>
  </conditionalFormatting>
  <conditionalFormatting sqref="E25:E35">
    <cfRule type="dataBar" priority="51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{C155854F-204D-4B86-B0C8-F9DD62023AB2}</x14:id>
        </ext>
      </extLst>
    </cfRule>
  </conditionalFormatting>
  <conditionalFormatting sqref="E25:E35">
    <cfRule type="dataBar" priority="50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{5D6F81B3-5FE7-4ACA-B32C-D0BA6F1AD968}</x14:id>
        </ext>
      </extLst>
    </cfRule>
  </conditionalFormatting>
  <conditionalFormatting sqref="E36:E43">
    <cfRule type="dataBar" priority="4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{1B2867F7-D493-224A-A974-E6ACC7EAC89E}</x14:id>
        </ext>
      </extLst>
    </cfRule>
  </conditionalFormatting>
  <conditionalFormatting sqref="E36:E43">
    <cfRule type="dataBar" priority="48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{F584FAB5-C41F-0646-89AD-CEBDE88D4027}</x14:id>
        </ext>
      </extLst>
    </cfRule>
  </conditionalFormatting>
  <conditionalFormatting sqref="E44:E60">
    <cfRule type="dataBar" priority="47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{D050DA13-3BF1-4428-B3E4-F7873418004A}</x14:id>
        </ext>
      </extLst>
    </cfRule>
  </conditionalFormatting>
  <conditionalFormatting sqref="E44:E60">
    <cfRule type="dataBar" priority="46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{2E0342F3-CBB2-4262-BE2F-8C0635B78F1C}</x14:id>
        </ext>
      </extLst>
    </cfRule>
  </conditionalFormatting>
  <conditionalFormatting sqref="E61:E69">
    <cfRule type="dataBar" priority="45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{B9A9095B-B7A6-453B-A8D3-DC0291F02076}</x14:id>
        </ext>
      </extLst>
    </cfRule>
  </conditionalFormatting>
  <conditionalFormatting sqref="E61:E69">
    <cfRule type="dataBar" priority="4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{45B9F3D0-44A0-4A64-B249-06050553AFB0}</x14:id>
        </ext>
      </extLst>
    </cfRule>
  </conditionalFormatting>
  <conditionalFormatting sqref="E70:E78">
    <cfRule type="dataBar" priority="43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{051C3B84-E2FA-4256-A305-626BAB51A052}</x14:id>
        </ext>
      </extLst>
    </cfRule>
  </conditionalFormatting>
  <conditionalFormatting sqref="E70:E78">
    <cfRule type="dataBar" priority="42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{51A84A2E-247E-4849-9937-890A173B68D0}</x14:id>
        </ext>
      </extLst>
    </cfRule>
  </conditionalFormatting>
  <conditionalFormatting sqref="E79:E115">
    <cfRule type="dataBar" priority="41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{0DD2B7A9-63D2-AA45-B00B-92C3864EB45B}</x14:id>
        </ext>
      </extLst>
    </cfRule>
  </conditionalFormatting>
  <conditionalFormatting sqref="E79:E115">
    <cfRule type="dataBar" priority="40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{AA61704B-5CE2-D94B-BC8D-5838E15A7AB7}</x14:id>
        </ext>
      </extLst>
    </cfRule>
  </conditionalFormatting>
  <conditionalFormatting sqref="F1:F115 F401:F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15 I401:I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15 L401:L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:E117">
    <cfRule type="dataBar" priority="36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{599BEC7A-682E-45D7-83B3-7F64D798B471}</x14:id>
        </ext>
      </extLst>
    </cfRule>
  </conditionalFormatting>
  <conditionalFormatting sqref="E116:E117">
    <cfRule type="dataBar" priority="35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{59CCC785-C338-45FB-92AB-0780C801E61B}</x14:id>
        </ext>
      </extLst>
    </cfRule>
  </conditionalFormatting>
  <conditionalFormatting sqref="F116:F1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:I1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:L1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38">
    <cfRule type="dataBar" priority="31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{083CFE31-A2F6-4773-A6F1-D9A177591B5D}</x14:id>
        </ext>
      </extLst>
    </cfRule>
  </conditionalFormatting>
  <conditionalFormatting sqref="E118:E138">
    <cfRule type="dataBar" priority="30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{9C5BCD59-1D4D-44C0-B6FB-8B636EBBBBE3}</x14:id>
        </ext>
      </extLst>
    </cfRule>
  </conditionalFormatting>
  <conditionalFormatting sqref="F118:F1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:I1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:L1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:E147">
    <cfRule type="dataBar" priority="26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{3C10843B-1178-4651-9FE4-62CAE1EE834D}</x14:id>
        </ext>
      </extLst>
    </cfRule>
  </conditionalFormatting>
  <conditionalFormatting sqref="E139:E147">
    <cfRule type="dataBar" priority="25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{E6BD22FF-050D-48EC-A3F3-E259A9B1F56A}</x14:id>
        </ext>
      </extLst>
    </cfRule>
  </conditionalFormatting>
  <conditionalFormatting sqref="F139:F1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9:I1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:L1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47 I401:I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47 I1:I147 L1:L147 L401:L1048576 I401:I1048576 F401:F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:E400">
    <cfRule type="dataBar" priority="10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{46B24BF8-E0AB-404F-A2DE-09DEBB46F875}</x14:id>
        </ext>
      </extLst>
    </cfRule>
  </conditionalFormatting>
  <conditionalFormatting sqref="E148:E400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48:F4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8:I4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:L4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8:I4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F400 I148:I400 L148:L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8B8E40-7B23-4B3E-B0D6-1E211C3BA13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E1:E3 E14:E15 E401:E1048576</xm:sqref>
        </x14:conditionalFormatting>
        <x14:conditionalFormatting xmlns:xm="http://schemas.microsoft.com/office/excel/2006/main">
          <x14:cfRule type="dataBar" id="{5479C6CA-B4AA-4F00-A9E2-73CDD40EB6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E3:E15</xm:sqref>
        </x14:conditionalFormatting>
        <x14:conditionalFormatting xmlns:xm="http://schemas.microsoft.com/office/excel/2006/main">
          <x14:cfRule type="dataBar" id="{E1FC4E8B-B678-441B-AF6D-A88C10EBA18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E23:E24</xm:sqref>
        </x14:conditionalFormatting>
        <x14:conditionalFormatting xmlns:xm="http://schemas.microsoft.com/office/excel/2006/main">
          <x14:cfRule type="dataBar" id="{21ABCA7B-7EFB-46BC-903C-CAD24596529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E16:E24</xm:sqref>
        </x14:conditionalFormatting>
        <x14:conditionalFormatting xmlns:xm="http://schemas.microsoft.com/office/excel/2006/main">
          <x14:cfRule type="dataBar" id="{C155854F-204D-4B86-B0C8-F9DD62023AB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E25:E35</xm:sqref>
        </x14:conditionalFormatting>
        <x14:conditionalFormatting xmlns:xm="http://schemas.microsoft.com/office/excel/2006/main">
          <x14:cfRule type="dataBar" id="{5D6F81B3-5FE7-4ACA-B32C-D0BA6F1AD96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E25:E35</xm:sqref>
        </x14:conditionalFormatting>
        <x14:conditionalFormatting xmlns:xm="http://schemas.microsoft.com/office/excel/2006/main">
          <x14:cfRule type="dataBar" id="{1B2867F7-D493-224A-A974-E6ACC7EAC89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E36:E43</xm:sqref>
        </x14:conditionalFormatting>
        <x14:conditionalFormatting xmlns:xm="http://schemas.microsoft.com/office/excel/2006/main">
          <x14:cfRule type="dataBar" id="{F584FAB5-C41F-0646-89AD-CEBDE88D402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E36:E43</xm:sqref>
        </x14:conditionalFormatting>
        <x14:conditionalFormatting xmlns:xm="http://schemas.microsoft.com/office/excel/2006/main">
          <x14:cfRule type="dataBar" id="{D050DA13-3BF1-4428-B3E4-F7873418004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2E0342F3-CBB2-4262-BE2F-8C0635B78F1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B9A9095B-B7A6-453B-A8D3-DC0291F020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E61:E69</xm:sqref>
        </x14:conditionalFormatting>
        <x14:conditionalFormatting xmlns:xm="http://schemas.microsoft.com/office/excel/2006/main">
          <x14:cfRule type="dataBar" id="{45B9F3D0-44A0-4A64-B249-06050553AFB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E61:E69</xm:sqref>
        </x14:conditionalFormatting>
        <x14:conditionalFormatting xmlns:xm="http://schemas.microsoft.com/office/excel/2006/main">
          <x14:cfRule type="dataBar" id="{051C3B84-E2FA-4256-A305-626BAB51A05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E70:E78</xm:sqref>
        </x14:conditionalFormatting>
        <x14:conditionalFormatting xmlns:xm="http://schemas.microsoft.com/office/excel/2006/main">
          <x14:cfRule type="dataBar" id="{51A84A2E-247E-4849-9937-890A173B68D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E70:E78</xm:sqref>
        </x14:conditionalFormatting>
        <x14:conditionalFormatting xmlns:xm="http://schemas.microsoft.com/office/excel/2006/main">
          <x14:cfRule type="dataBar" id="{0DD2B7A9-63D2-AA45-B00B-92C3864EB45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E79:E115</xm:sqref>
        </x14:conditionalFormatting>
        <x14:conditionalFormatting xmlns:xm="http://schemas.microsoft.com/office/excel/2006/main">
          <x14:cfRule type="dataBar" id="{AA61704B-5CE2-D94B-BC8D-5838E15A7A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E79:E115</xm:sqref>
        </x14:conditionalFormatting>
        <x14:conditionalFormatting xmlns:xm="http://schemas.microsoft.com/office/excel/2006/main">
          <x14:cfRule type="dataBar" id="{599BEC7A-682E-45D7-83B3-7F64D798B4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59CCC785-C338-45FB-92AB-0780C801E61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083CFE31-A2F6-4773-A6F1-D9A177591B5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E118:E138</xm:sqref>
        </x14:conditionalFormatting>
        <x14:conditionalFormatting xmlns:xm="http://schemas.microsoft.com/office/excel/2006/main">
          <x14:cfRule type="dataBar" id="{9C5BCD59-1D4D-44C0-B6FB-8B636EBBBB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E118:E138</xm:sqref>
        </x14:conditionalFormatting>
        <x14:conditionalFormatting xmlns:xm="http://schemas.microsoft.com/office/excel/2006/main">
          <x14:cfRule type="dataBar" id="{3C10843B-1178-4651-9FE4-62CAE1EE834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E139:E147</xm:sqref>
        </x14:conditionalFormatting>
        <x14:conditionalFormatting xmlns:xm="http://schemas.microsoft.com/office/excel/2006/main">
          <x14:cfRule type="dataBar" id="{E6BD22FF-050D-48EC-A3F3-E259A9B1F56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E139:E147</xm:sqref>
        </x14:conditionalFormatting>
        <x14:conditionalFormatting xmlns:xm="http://schemas.microsoft.com/office/excel/2006/main">
          <x14:cfRule type="dataBar" id="{46B24BF8-E0AB-404F-A2DE-09DEBB46F87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E148:E400</xm:sqref>
        </x14:conditionalFormatting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E148:E400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J12" sqref="J12"/>
    </sheetView>
  </sheetViews>
  <sheetFormatPr defaultColWidth="9.28515625" defaultRowHeight="15" x14ac:dyDescent="0.25"/>
  <cols>
    <col min="1" max="2" width="9.28515625" style="256"/>
    <col min="3" max="3" width="6.5703125" style="287" customWidth="1"/>
    <col min="4" max="4" width="2.140625" style="272" customWidth="1"/>
    <col min="5" max="6" width="9.28515625" style="256"/>
    <col min="7" max="7" width="5.85546875" style="287" customWidth="1"/>
    <col min="8" max="8" width="2.28515625" style="256" customWidth="1"/>
    <col min="9" max="9" width="8.28515625" style="256" customWidth="1"/>
    <col min="10" max="10" width="6.7109375" style="256" customWidth="1"/>
    <col min="11" max="11" width="8.28515625" style="256" customWidth="1"/>
    <col min="12" max="12" width="32.85546875" style="256" customWidth="1"/>
    <col min="13" max="16384" width="9.28515625" style="256"/>
  </cols>
  <sheetData>
    <row r="1" spans="1:12" s="252" customFormat="1" x14ac:dyDescent="0.25">
      <c r="A1" s="522" t="s">
        <v>121</v>
      </c>
      <c r="B1" s="522"/>
      <c r="C1" s="522"/>
      <c r="D1" s="270"/>
      <c r="E1" s="548" t="s">
        <v>122</v>
      </c>
      <c r="F1" s="548"/>
      <c r="G1" s="548"/>
      <c r="I1" s="256"/>
      <c r="K1" s="122"/>
      <c r="L1" s="256"/>
    </row>
    <row r="2" spans="1:12" x14ac:dyDescent="0.25">
      <c r="A2" s="252"/>
      <c r="B2" s="252" t="s">
        <v>183</v>
      </c>
      <c r="C2" s="283" t="s">
        <v>29</v>
      </c>
      <c r="D2" s="270"/>
      <c r="E2" s="252" t="s">
        <v>143</v>
      </c>
      <c r="F2" s="252" t="s">
        <v>123</v>
      </c>
      <c r="G2" s="283" t="s">
        <v>141</v>
      </c>
      <c r="J2" s="280" t="s">
        <v>147</v>
      </c>
      <c r="K2" s="280" t="s">
        <v>148</v>
      </c>
      <c r="L2" s="252" t="s">
        <v>146</v>
      </c>
    </row>
    <row r="3" spans="1:12" x14ac:dyDescent="0.25">
      <c r="A3" s="255" t="s">
        <v>127</v>
      </c>
      <c r="B3" s="267">
        <f>IFERROR(CLOVER_EXP_GAMES/CLOVER_EXP_SUM,"")</f>
        <v>14.944444444444445</v>
      </c>
      <c r="C3" s="284">
        <f>CLOVER_EXP_GAMES</f>
        <v>538</v>
      </c>
      <c r="D3" s="271"/>
      <c r="E3" s="263" t="s">
        <v>124</v>
      </c>
      <c r="F3" s="102">
        <f>IFERROR(TALON_R3_TALON/TALON_R3_CLOVER,"")</f>
        <v>0.85172413793103452</v>
      </c>
      <c r="G3" s="410">
        <f>TALON_R3_CLOVER</f>
        <v>290</v>
      </c>
      <c r="I3" s="263" t="s">
        <v>124</v>
      </c>
      <c r="J3" s="263">
        <f>IFERROR(_xlfn.FLOOR.MATH($F$7+$F3*$B$7),"")</f>
        <v>963</v>
      </c>
      <c r="K3" s="407">
        <f>IFERROR(IF($K$23-J3&lt;0,0,$K$23-J3),"")</f>
        <v>0</v>
      </c>
      <c r="L3" s="257">
        <f>IFERROR(IF(J3/$K$23&gt;1,1,J3/$K$23),"")</f>
        <v>1</v>
      </c>
    </row>
    <row r="4" spans="1:12" x14ac:dyDescent="0.25">
      <c r="A4" s="23" t="s">
        <v>120</v>
      </c>
      <c r="B4" s="268">
        <f>IFERROR(CLOVER_RUBY_GAMES/CLOVER_RUBY_SUM,"")</f>
        <v>15.3359375</v>
      </c>
      <c r="C4" s="285">
        <f>CLOVER_RUBY_GAMES</f>
        <v>1963</v>
      </c>
      <c r="D4" s="271"/>
      <c r="E4" s="264" t="s">
        <v>125</v>
      </c>
      <c r="F4" s="265">
        <f>IFERROR(TALON_R4_TALON/TALON_R4_CLOVER,"")</f>
        <v>1.3333333333333333</v>
      </c>
      <c r="G4" s="411">
        <f>TALON_R4_CLOVER</f>
        <v>6</v>
      </c>
      <c r="I4" s="264" t="s">
        <v>125</v>
      </c>
      <c r="J4" s="264">
        <f>IFERROR(_xlfn.FLOOR.MATH($F$7+$F4*$B$7),"")</f>
        <v>1211</v>
      </c>
      <c r="K4" s="408">
        <f>IFERROR(IF($K$23-J4&lt;0,0,$K$23-J4),"")</f>
        <v>0</v>
      </c>
      <c r="L4" s="257">
        <f>IFERROR(IF(J4/$K$23&gt;1,1,J4/$K$23),"")</f>
        <v>1</v>
      </c>
    </row>
    <row r="5" spans="1:12" x14ac:dyDescent="0.25">
      <c r="A5" s="20" t="s">
        <v>128</v>
      </c>
      <c r="B5" s="269">
        <f>IFERROR(CLOVER_RUIN_GAMES/CLOVER_RUIN_SUM,"")</f>
        <v>25</v>
      </c>
      <c r="C5" s="286">
        <f>CLOVER_RUIN_GAMES</f>
        <v>175</v>
      </c>
      <c r="D5" s="271"/>
      <c r="E5" s="23" t="s">
        <v>126</v>
      </c>
      <c r="F5" s="266">
        <f>IFERROR(TALON_R5_TALON/TALON_R5_CLOVER,"")</f>
        <v>0.72563176895306858</v>
      </c>
      <c r="G5" s="285">
        <f>TALON_R5_CLOVER</f>
        <v>277</v>
      </c>
      <c r="I5" s="23" t="s">
        <v>126</v>
      </c>
      <c r="J5" s="23">
        <f>IFERROR(_xlfn.FLOOR.MATH($F$7+$F5*$B$7),"")</f>
        <v>898</v>
      </c>
      <c r="K5" s="409">
        <f>IFERROR(IF($K$23-J5&lt;0,0,$K$23-J5),"")</f>
        <v>0</v>
      </c>
      <c r="L5" s="257">
        <f>IFERROR(IF(J5/$K$23&gt;1,1,J5/$K$23),"")</f>
        <v>1</v>
      </c>
    </row>
    <row r="7" spans="1:12" x14ac:dyDescent="0.25">
      <c r="A7" s="256" t="s">
        <v>145</v>
      </c>
      <c r="B7" s="547">
        <v>514</v>
      </c>
      <c r="C7" s="547"/>
      <c r="E7" s="256" t="s">
        <v>145</v>
      </c>
      <c r="F7" s="122">
        <v>526</v>
      </c>
      <c r="G7" s="412"/>
      <c r="I7" s="252"/>
      <c r="J7" s="252" t="s">
        <v>39</v>
      </c>
      <c r="K7" s="281" t="s">
        <v>130</v>
      </c>
      <c r="L7" s="252" t="s">
        <v>24</v>
      </c>
    </row>
    <row r="8" spans="1:12" x14ac:dyDescent="0.25">
      <c r="I8" s="254" t="s">
        <v>136</v>
      </c>
      <c r="J8" s="275">
        <v>20</v>
      </c>
      <c r="K8" s="253">
        <f>IF(ISNUMBER(J8),INDEX(DRACOLITH_TALON,J8),"")</f>
        <v>0</v>
      </c>
      <c r="L8" s="257">
        <f>IFERROR((DRACOLITH_TALON_MAX-K8)/DRACOLITH_TALON_MAX,"")</f>
        <v>1</v>
      </c>
    </row>
    <row r="9" spans="1:12" x14ac:dyDescent="0.25">
      <c r="I9" s="89" t="s">
        <v>138</v>
      </c>
      <c r="J9" s="276">
        <v>20</v>
      </c>
      <c r="K9" s="274">
        <f>IF(ISNUMBER(J9),INDEX(DRACOLITH_TALON,J9),"")</f>
        <v>0</v>
      </c>
      <c r="L9" s="257">
        <f>IFERROR((DRACOLITH_TALON_MAX-K9)/DRACOLITH_TALON_MAX,"")</f>
        <v>1</v>
      </c>
    </row>
    <row r="10" spans="1:12" x14ac:dyDescent="0.25">
      <c r="I10" s="90" t="s">
        <v>137</v>
      </c>
      <c r="J10" s="277">
        <v>20</v>
      </c>
      <c r="K10" s="273">
        <f>IF(ISNUMBER(J10),INDEX(DRACOLITH_TALON,J10),"")</f>
        <v>0</v>
      </c>
      <c r="L10" s="257">
        <f>IFERROR((DRACOLITH_TALON_MAX-K10)/DRACOLITH_TALON_MAX,"")</f>
        <v>1</v>
      </c>
    </row>
    <row r="11" spans="1:12" x14ac:dyDescent="0.25">
      <c r="I11" s="91" t="s">
        <v>139</v>
      </c>
      <c r="J11" s="278">
        <v>20</v>
      </c>
      <c r="K11" s="258">
        <f>IF(ISNUMBER(J11),INDEX(DRACOLITH_TALON,J11),"")</f>
        <v>0</v>
      </c>
      <c r="L11" s="257">
        <f>IFERROR((DRACOLITH_TALON_MAX-K11)/DRACOLITH_TALON_MAX,"")</f>
        <v>1</v>
      </c>
    </row>
    <row r="12" spans="1:12" x14ac:dyDescent="0.25">
      <c r="I12" s="255" t="s">
        <v>140</v>
      </c>
      <c r="J12" s="279"/>
      <c r="K12" s="129" t="str">
        <f>IF(ISNUMBER(J12),INDEX(DRACOLITH_TALON,J12),"")</f>
        <v/>
      </c>
      <c r="L12" s="257" t="str">
        <f>IFERROR((DRACOLITH_TALON_MAX-K12)/DRACOLITH_TALON_MAX,"")</f>
        <v/>
      </c>
    </row>
    <row r="13" spans="1:12" x14ac:dyDescent="0.25">
      <c r="J13" s="252" t="s">
        <v>23</v>
      </c>
      <c r="K13" s="256">
        <f>SUM(K8:K12)</f>
        <v>0</v>
      </c>
    </row>
    <row r="15" spans="1:12" x14ac:dyDescent="0.25">
      <c r="I15" s="252"/>
      <c r="J15" s="252" t="s">
        <v>39</v>
      </c>
      <c r="K15" s="281" t="s">
        <v>130</v>
      </c>
      <c r="L15" s="252" t="s">
        <v>24</v>
      </c>
    </row>
    <row r="16" spans="1:12" x14ac:dyDescent="0.25">
      <c r="I16" s="254" t="s">
        <v>131</v>
      </c>
      <c r="J16" s="253">
        <f>IF(真龍!C2&lt;&gt;0,真龍!C2,"")</f>
        <v>30</v>
      </c>
      <c r="K16" s="253">
        <f>IF(HDRAG_HAS_REC_HBRUN,INDEX(DATA_HDRAGS_TALON,J16),"")</f>
        <v>0</v>
      </c>
      <c r="L16" s="257">
        <f>IFERROR((HDRAG_MAX_TALON-K16)/HDRAG_MAX_TALON,"")</f>
        <v>1</v>
      </c>
    </row>
    <row r="17" spans="9:12" x14ac:dyDescent="0.25">
      <c r="I17" s="89" t="s">
        <v>133</v>
      </c>
      <c r="J17" s="274">
        <f>IF(真龍!C3&lt;&gt;0,真龍!C3,"")</f>
        <v>30</v>
      </c>
      <c r="K17" s="274">
        <f>IF(HDRAG_HAS_REC_HMERC,INDEX(DATA_HDRAGS_TALON,J17),"")</f>
        <v>0</v>
      </c>
      <c r="L17" s="257">
        <f>IFERROR((HDRAG_MAX_TALON-K17)/HDRAG_MAX_TALON,"")</f>
        <v>1</v>
      </c>
    </row>
    <row r="18" spans="9:12" x14ac:dyDescent="0.25">
      <c r="I18" s="90" t="s">
        <v>132</v>
      </c>
      <c r="J18" s="273">
        <f>IF(真龍!C4&lt;&gt;0,真龍!C4,"")</f>
        <v>30</v>
      </c>
      <c r="K18" s="273">
        <f>IF(HDRAG_HAS_REC_HMID,INDEX(DATA_HDRAGS_TALON,J18),"")</f>
        <v>0</v>
      </c>
      <c r="L18" s="257">
        <f>IFERROR((HDRAG_MAX_TALON-K18)/HDRAG_MAX_TALON,"")</f>
        <v>1</v>
      </c>
    </row>
    <row r="19" spans="9:12" x14ac:dyDescent="0.25">
      <c r="I19" s="91" t="s">
        <v>134</v>
      </c>
      <c r="J19" s="258">
        <f>IF(真龍!C5&lt;&gt;0,真龍!C5,"")</f>
        <v>25</v>
      </c>
      <c r="K19" s="258">
        <f>IF(HDRAG_HAS_REC_HJUP,INDEX(DATA_HDRAGS_TALON,J19),"")</f>
        <v>300</v>
      </c>
      <c r="L19" s="257">
        <f>IFERROR((HDRAG_MAX_TALON-K19)/HDRAG_MAX_TALON,"")</f>
        <v>0.625</v>
      </c>
    </row>
    <row r="20" spans="9:12" x14ac:dyDescent="0.25">
      <c r="I20" s="255" t="s">
        <v>135</v>
      </c>
      <c r="J20" s="129" t="str">
        <f>IF(真龍!C6&lt;&gt;0,真龍!C6,"")</f>
        <v/>
      </c>
      <c r="K20" s="129" t="str">
        <f>IF(HDRAG_HAS_REC_HZOD,INDEX(DATA_HDRAGS_TALON,J20),"")</f>
        <v/>
      </c>
      <c r="L20" s="257" t="str">
        <f>IFERROR((HDRAG_MAX_TALON-K20)/HDRAG_MAX_TALON,"")</f>
        <v/>
      </c>
    </row>
    <row r="21" spans="9:12" x14ac:dyDescent="0.25">
      <c r="J21" s="252" t="s">
        <v>23</v>
      </c>
      <c r="K21" s="256">
        <f>SUM(K16:K20)</f>
        <v>300</v>
      </c>
    </row>
    <row r="23" spans="9:12" x14ac:dyDescent="0.25">
      <c r="J23" s="252" t="s">
        <v>41</v>
      </c>
      <c r="K23" s="256">
        <f>K13+K21</f>
        <v>300</v>
      </c>
    </row>
    <row r="24" spans="9:12" x14ac:dyDescent="0.25">
      <c r="J24" s="252"/>
    </row>
  </sheetData>
  <mergeCells count="3">
    <mergeCell ref="B7:C7"/>
    <mergeCell ref="A1:C1"/>
    <mergeCell ref="E1:G1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9" customWidth="1"/>
    <col min="3" max="4" width="5.42578125" style="258" customWidth="1"/>
    <col min="5" max="6" width="5.42578125" style="259" customWidth="1"/>
    <col min="7" max="7" width="5.42578125" style="262" customWidth="1"/>
    <col min="8" max="8" width="5.42578125" style="261" customWidth="1"/>
    <col min="9" max="10" width="5.42578125" style="259" customWidth="1"/>
    <col min="11" max="12" width="5.42578125" style="260" customWidth="1"/>
    <col min="13" max="16384" width="9.28515625" style="256"/>
  </cols>
  <sheetData>
    <row r="1" spans="1:15" x14ac:dyDescent="0.25">
      <c r="A1" s="474" t="s">
        <v>121</v>
      </c>
      <c r="B1" s="474"/>
      <c r="C1" s="474"/>
      <c r="D1" s="474"/>
      <c r="E1" s="474"/>
      <c r="F1" s="474"/>
      <c r="G1" s="474" t="s">
        <v>122</v>
      </c>
      <c r="H1" s="474"/>
      <c r="I1" s="474"/>
      <c r="J1" s="474"/>
      <c r="K1" s="474"/>
      <c r="L1" s="474"/>
      <c r="N1" s="474" t="s">
        <v>129</v>
      </c>
      <c r="O1" s="474"/>
    </row>
    <row r="2" spans="1:15" x14ac:dyDescent="0.25">
      <c r="A2" s="549" t="s">
        <v>127</v>
      </c>
      <c r="B2" s="549"/>
      <c r="C2" s="551" t="s">
        <v>120</v>
      </c>
      <c r="D2" s="551"/>
      <c r="E2" s="550" t="s">
        <v>128</v>
      </c>
      <c r="F2" s="550"/>
      <c r="G2" s="553" t="s">
        <v>124</v>
      </c>
      <c r="H2" s="553"/>
      <c r="I2" s="550" t="s">
        <v>125</v>
      </c>
      <c r="J2" s="550"/>
      <c r="K2" s="552" t="s">
        <v>126</v>
      </c>
      <c r="L2" s="552"/>
      <c r="N2" s="256" t="s">
        <v>39</v>
      </c>
      <c r="O2" s="256" t="s">
        <v>144</v>
      </c>
    </row>
    <row r="3" spans="1:15" x14ac:dyDescent="0.25">
      <c r="A3" s="129" t="s">
        <v>51</v>
      </c>
      <c r="B3" s="129" t="s">
        <v>25</v>
      </c>
      <c r="C3" s="258" t="s">
        <v>51</v>
      </c>
      <c r="D3" s="258" t="s">
        <v>25</v>
      </c>
      <c r="E3" s="259" t="s">
        <v>51</v>
      </c>
      <c r="F3" s="259" t="s">
        <v>25</v>
      </c>
      <c r="G3" s="262" t="s">
        <v>141</v>
      </c>
      <c r="H3" s="261" t="s">
        <v>142</v>
      </c>
      <c r="I3" s="259" t="s">
        <v>141</v>
      </c>
      <c r="J3" s="259" t="s">
        <v>142</v>
      </c>
      <c r="K3" s="260" t="s">
        <v>141</v>
      </c>
      <c r="L3" s="260" t="s">
        <v>142</v>
      </c>
      <c r="N3" s="256">
        <v>1</v>
      </c>
      <c r="O3" s="256">
        <v>94</v>
      </c>
    </row>
    <row r="4" spans="1:15" x14ac:dyDescent="0.25">
      <c r="A4" s="129">
        <v>4</v>
      </c>
      <c r="B4" s="129">
        <v>57</v>
      </c>
      <c r="C4" s="258">
        <v>100</v>
      </c>
      <c r="D4" s="258">
        <v>1513</v>
      </c>
      <c r="E4" s="259">
        <v>2</v>
      </c>
      <c r="F4" s="259">
        <v>57</v>
      </c>
      <c r="G4" s="262">
        <v>149</v>
      </c>
      <c r="H4" s="261">
        <v>147</v>
      </c>
      <c r="I4" s="259">
        <v>6</v>
      </c>
      <c r="J4" s="259">
        <v>8</v>
      </c>
      <c r="K4" s="260">
        <v>37</v>
      </c>
      <c r="L4" s="260">
        <v>41</v>
      </c>
      <c r="N4" s="256">
        <v>2</v>
      </c>
      <c r="O4" s="256">
        <v>94</v>
      </c>
    </row>
    <row r="5" spans="1:15" x14ac:dyDescent="0.25">
      <c r="A5" s="129">
        <v>4</v>
      </c>
      <c r="B5" s="129">
        <v>48</v>
      </c>
      <c r="C5" s="258">
        <v>3</v>
      </c>
      <c r="D5" s="258">
        <v>52</v>
      </c>
      <c r="E5" s="259">
        <v>1</v>
      </c>
      <c r="F5" s="259">
        <v>61</v>
      </c>
      <c r="G5" s="262">
        <v>111</v>
      </c>
      <c r="H5" s="261">
        <v>70</v>
      </c>
      <c r="K5" s="260">
        <v>9</v>
      </c>
      <c r="L5" s="260">
        <v>9</v>
      </c>
      <c r="N5" s="256">
        <v>3</v>
      </c>
      <c r="O5" s="256">
        <v>94</v>
      </c>
    </row>
    <row r="6" spans="1:15" x14ac:dyDescent="0.25">
      <c r="A6" s="129">
        <v>4</v>
      </c>
      <c r="B6" s="129">
        <v>58</v>
      </c>
      <c r="C6" s="258">
        <v>1</v>
      </c>
      <c r="D6" s="258">
        <v>50</v>
      </c>
      <c r="E6" s="259">
        <v>4</v>
      </c>
      <c r="F6" s="259">
        <v>57</v>
      </c>
      <c r="G6" s="262">
        <v>30</v>
      </c>
      <c r="H6" s="261">
        <v>30</v>
      </c>
      <c r="K6" s="260">
        <v>37</v>
      </c>
      <c r="L6" s="260">
        <v>22</v>
      </c>
      <c r="N6" s="256">
        <v>4</v>
      </c>
      <c r="O6" s="256">
        <v>93</v>
      </c>
    </row>
    <row r="7" spans="1:15" x14ac:dyDescent="0.25">
      <c r="A7" s="129">
        <v>0</v>
      </c>
      <c r="B7" s="129">
        <v>56</v>
      </c>
      <c r="C7" s="258">
        <v>2</v>
      </c>
      <c r="D7" s="258">
        <v>7</v>
      </c>
      <c r="K7" s="260">
        <v>37</v>
      </c>
      <c r="L7" s="260">
        <v>35</v>
      </c>
      <c r="N7" s="256">
        <v>5</v>
      </c>
      <c r="O7" s="256">
        <v>92</v>
      </c>
    </row>
    <row r="8" spans="1:15" x14ac:dyDescent="0.25">
      <c r="A8" s="129">
        <v>7</v>
      </c>
      <c r="B8" s="129">
        <v>54</v>
      </c>
      <c r="C8" s="258">
        <v>2</v>
      </c>
      <c r="D8" s="258">
        <v>57</v>
      </c>
      <c r="K8" s="260">
        <v>60</v>
      </c>
      <c r="L8" s="260">
        <v>28</v>
      </c>
      <c r="N8" s="256">
        <v>6</v>
      </c>
      <c r="O8" s="256">
        <v>91</v>
      </c>
    </row>
    <row r="9" spans="1:15" x14ac:dyDescent="0.25">
      <c r="A9" s="129">
        <v>4</v>
      </c>
      <c r="B9" s="129">
        <v>53</v>
      </c>
      <c r="C9" s="258">
        <v>4</v>
      </c>
      <c r="D9" s="258">
        <v>61</v>
      </c>
      <c r="K9" s="260">
        <v>37</v>
      </c>
      <c r="L9" s="260">
        <v>35</v>
      </c>
      <c r="N9" s="256">
        <v>7</v>
      </c>
      <c r="O9" s="256">
        <v>88</v>
      </c>
    </row>
    <row r="10" spans="1:15" x14ac:dyDescent="0.25">
      <c r="A10" s="129">
        <v>3</v>
      </c>
      <c r="B10" s="129">
        <v>50</v>
      </c>
      <c r="C10" s="258">
        <v>3</v>
      </c>
      <c r="D10" s="258">
        <v>55</v>
      </c>
      <c r="K10" s="260">
        <v>30</v>
      </c>
      <c r="L10" s="260">
        <v>16</v>
      </c>
      <c r="N10" s="256">
        <v>8</v>
      </c>
      <c r="O10" s="256">
        <v>85</v>
      </c>
    </row>
    <row r="11" spans="1:15" x14ac:dyDescent="0.25">
      <c r="A11" s="129">
        <v>4</v>
      </c>
      <c r="B11" s="129">
        <v>55</v>
      </c>
      <c r="C11" s="258">
        <v>3</v>
      </c>
      <c r="D11" s="258">
        <v>53</v>
      </c>
      <c r="K11" s="260">
        <v>30</v>
      </c>
      <c r="L11" s="260">
        <v>15</v>
      </c>
      <c r="N11" s="256">
        <v>9</v>
      </c>
      <c r="O11" s="256">
        <v>82</v>
      </c>
    </row>
    <row r="12" spans="1:15" x14ac:dyDescent="0.25">
      <c r="A12" s="129">
        <v>3</v>
      </c>
      <c r="B12" s="129">
        <v>55</v>
      </c>
      <c r="C12" s="258">
        <v>7</v>
      </c>
      <c r="D12" s="258">
        <v>59</v>
      </c>
      <c r="N12" s="256">
        <v>10</v>
      </c>
      <c r="O12" s="256">
        <v>79</v>
      </c>
    </row>
    <row r="13" spans="1:15" x14ac:dyDescent="0.25">
      <c r="A13" s="129">
        <v>3</v>
      </c>
      <c r="B13" s="129">
        <v>52</v>
      </c>
      <c r="C13" s="258">
        <v>3</v>
      </c>
      <c r="D13" s="258">
        <v>56</v>
      </c>
      <c r="N13" s="256">
        <v>11</v>
      </c>
      <c r="O13" s="256">
        <v>74</v>
      </c>
    </row>
    <row r="14" spans="1:15" x14ac:dyDescent="0.25">
      <c r="N14" s="256">
        <v>12</v>
      </c>
      <c r="O14" s="256">
        <v>69</v>
      </c>
    </row>
    <row r="15" spans="1:15" x14ac:dyDescent="0.25">
      <c r="N15" s="256">
        <v>13</v>
      </c>
      <c r="O15" s="256">
        <v>64</v>
      </c>
    </row>
    <row r="16" spans="1:15" x14ac:dyDescent="0.25">
      <c r="N16" s="256">
        <v>14</v>
      </c>
      <c r="O16" s="256">
        <v>56</v>
      </c>
    </row>
    <row r="17" spans="14:15" x14ac:dyDescent="0.25">
      <c r="N17" s="256">
        <v>15</v>
      </c>
      <c r="O17" s="256">
        <v>48</v>
      </c>
    </row>
    <row r="18" spans="14:15" x14ac:dyDescent="0.25">
      <c r="N18" s="256">
        <v>16</v>
      </c>
      <c r="O18" s="256">
        <v>40</v>
      </c>
    </row>
    <row r="19" spans="14:15" x14ac:dyDescent="0.25">
      <c r="N19" s="256">
        <v>17</v>
      </c>
      <c r="O19" s="256">
        <v>30</v>
      </c>
    </row>
    <row r="20" spans="14:15" x14ac:dyDescent="0.25">
      <c r="N20" s="256">
        <v>18</v>
      </c>
      <c r="O20" s="256">
        <v>20</v>
      </c>
    </row>
    <row r="21" spans="14:15" x14ac:dyDescent="0.25">
      <c r="N21" s="256">
        <v>19</v>
      </c>
      <c r="O21" s="256">
        <v>10</v>
      </c>
    </row>
    <row r="22" spans="14:15" x14ac:dyDescent="0.25">
      <c r="N22" s="256">
        <v>20</v>
      </c>
      <c r="O22" s="256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2"/>
  <sheetViews>
    <sheetView tabSelected="1" workbookViewId="0">
      <selection activeCell="B6" sqref="B6"/>
    </sheetView>
  </sheetViews>
  <sheetFormatPr defaultColWidth="8.28515625" defaultRowHeight="15" x14ac:dyDescent="0.25"/>
  <cols>
    <col min="1" max="1" width="8.28515625" style="308"/>
    <col min="2" max="5" width="7.85546875" style="308" customWidth="1"/>
    <col min="6" max="6" width="11.85546875" style="308" customWidth="1"/>
    <col min="7" max="7" width="7.42578125" style="308" customWidth="1"/>
    <col min="8" max="8" width="2.85546875" style="308" customWidth="1"/>
    <col min="9" max="9" width="8.28515625" style="308"/>
    <col min="10" max="10" width="14.85546875" style="308" customWidth="1"/>
    <col min="11" max="11" width="9.5703125" style="308" hidden="1" customWidth="1"/>
    <col min="12" max="12" width="8.28515625" style="308"/>
    <col min="13" max="13" width="8.28515625" style="440"/>
    <col min="14" max="14" width="8.28515625" style="441"/>
    <col min="15" max="15" width="25.28515625" style="442" customWidth="1"/>
    <col min="16" max="16384" width="8.28515625" style="308"/>
  </cols>
  <sheetData>
    <row r="1" spans="1:15" x14ac:dyDescent="0.25">
      <c r="A1" s="423"/>
      <c r="B1" s="419" t="s">
        <v>40</v>
      </c>
      <c r="C1" s="425" t="s">
        <v>38</v>
      </c>
      <c r="D1" s="425" t="s">
        <v>184</v>
      </c>
      <c r="I1" s="423"/>
      <c r="J1" s="423" t="s">
        <v>77</v>
      </c>
      <c r="K1" s="423" t="s">
        <v>190</v>
      </c>
      <c r="L1" s="423" t="s">
        <v>186</v>
      </c>
      <c r="M1" s="426" t="s">
        <v>187</v>
      </c>
      <c r="N1" s="427" t="s">
        <v>191</v>
      </c>
      <c r="O1" s="428" t="s">
        <v>24</v>
      </c>
    </row>
    <row r="2" spans="1:15" x14ac:dyDescent="0.25">
      <c r="A2" s="421" t="s">
        <v>30</v>
      </c>
      <c r="B2" s="424">
        <v>39</v>
      </c>
      <c r="C2" s="424">
        <v>30</v>
      </c>
      <c r="D2" s="424">
        <v>4</v>
      </c>
      <c r="I2" s="512" t="s">
        <v>30</v>
      </c>
      <c r="J2" s="448" t="s">
        <v>32</v>
      </c>
      <c r="K2" s="247">
        <f>IF(HDRAG_HAS_REC_HBRUN,INDEX(DATA_HDRAGS_DRAGON,IF(ISBLANK(HDRAG_HBRUN_DRG),1,HDRAG_HBRUN_DRG + 2)) - HDRAG_HBRUN_ITEMS,"")</f>
        <v>-39</v>
      </c>
      <c r="L2" s="247">
        <f>IF(HDRAG_HAS_REC_HBRUN,MAX(K2,0),"")</f>
        <v>0</v>
      </c>
      <c r="M2" s="429">
        <f>IF(HDRAG_HAS_REC_HBRUN,_xlfn.CEILING.MATH(L2/HDRAG_HBRUN_AVG), "")</f>
        <v>0</v>
      </c>
      <c r="N2" s="430">
        <f>IF(HDRAG_HAS_REC_HBRUN,M2*WINGS_CONSUME_HDRAGS/WINGS_RECOVER_NUM*WINGS_RECOVER_DIAMS,"")</f>
        <v>0</v>
      </c>
      <c r="O2" s="431">
        <f t="shared" ref="O2:O26" si="0">IFERROR(IF(L2=0,100%,(HDRAG_MAX_ALL - L2)/HDRAG_MAX_ALL),"")</f>
        <v>1</v>
      </c>
    </row>
    <row r="3" spans="1:15" x14ac:dyDescent="0.25">
      <c r="A3" s="89" t="s">
        <v>35</v>
      </c>
      <c r="B3" s="424">
        <v>64</v>
      </c>
      <c r="C3" s="424">
        <v>30</v>
      </c>
      <c r="D3" s="424">
        <v>3</v>
      </c>
      <c r="I3" s="512"/>
      <c r="J3" s="448" t="s">
        <v>188</v>
      </c>
      <c r="K3" s="247">
        <f>IF(HDRAG_HAS_REC_HBRUN,INDEX(DATA_HDRAGS_BUILDING,HDRAG_HBRUN_BLDLV+1)-INDEX(DATA_HDRAGS_BUILDING,17),"")</f>
        <v>-640</v>
      </c>
      <c r="L3" s="247">
        <f>IF(HDRAG_HAS_REC_HBRUN,MAX(K3,0),"")</f>
        <v>0</v>
      </c>
      <c r="M3" s="429">
        <f>IF(HDRAG_HAS_REC_HBRUN,_xlfn.CEILING.MATH(L3/HDRAG_HBRUN_AVG), "")</f>
        <v>0</v>
      </c>
      <c r="N3" s="430">
        <f>IF(HDRAG_HAS_REC_HBRUN,M3*WINGS_CONSUME_HDRAGS/WINGS_RECOVER_NUM*WINGS_RECOVER_DIAMS,"")</f>
        <v>0</v>
      </c>
      <c r="O3" s="431">
        <f t="shared" si="0"/>
        <v>1</v>
      </c>
    </row>
    <row r="4" spans="1:15" x14ac:dyDescent="0.25">
      <c r="A4" s="90" t="s">
        <v>31</v>
      </c>
      <c r="B4" s="424">
        <v>164</v>
      </c>
      <c r="C4" s="424">
        <v>30</v>
      </c>
      <c r="D4" s="424">
        <v>4</v>
      </c>
      <c r="I4" s="512"/>
      <c r="J4" s="448" t="s">
        <v>33</v>
      </c>
      <c r="K4" s="247">
        <f>IF(HDRAG_HAS_REC_HBRUN,INDEX(DATA_HDRAGS_BUILDING,HDRAG_HBRUN_BLDLV + 1) - HDRAG_HBRUN_ITEMS,"")</f>
        <v>-39</v>
      </c>
      <c r="L4" s="247">
        <f>IF(HDRAG_HAS_REC_HBRUN,MAX(K4,0),"")</f>
        <v>0</v>
      </c>
      <c r="M4" s="429">
        <f>IF(HDRAG_HAS_REC_HBRUN,_xlfn.CEILING.MATH(L4/HDRAG_HBRUN_AVG), "")</f>
        <v>0</v>
      </c>
      <c r="N4" s="430">
        <f>IF(HDRAG_HAS_REC_HBRUN,M4*WINGS_CONSUME_HDRAGS/WINGS_RECOVER_NUM*WINGS_RECOVER_DIAMS,"")</f>
        <v>0</v>
      </c>
      <c r="O4" s="431">
        <f t="shared" si="0"/>
        <v>1</v>
      </c>
    </row>
    <row r="5" spans="1:15" x14ac:dyDescent="0.25">
      <c r="A5" s="91" t="s">
        <v>36</v>
      </c>
      <c r="B5" s="424">
        <v>613</v>
      </c>
      <c r="C5" s="424">
        <v>25</v>
      </c>
      <c r="D5" s="424"/>
      <c r="I5" s="512"/>
      <c r="J5" s="448" t="s">
        <v>189</v>
      </c>
      <c r="K5" s="247">
        <f>IF(HDRAG_HAS_REC_HBRUN,K2+K3,"")</f>
        <v>-679</v>
      </c>
      <c r="L5" s="247">
        <f>IF(HDRAG_HAS_REC_HBRUN,MAX(K5,0),"")</f>
        <v>0</v>
      </c>
      <c r="M5" s="429">
        <f>IF(HDRAG_HAS_REC_HBRUN,_xlfn.CEILING.MATH(L5/HDRAG_HBRUN_AVG), "")</f>
        <v>0</v>
      </c>
      <c r="N5" s="430">
        <f>IF(HDRAG_HAS_REC_HBRUN,M5*WINGS_CONSUME_HDRAGS/WINGS_RECOVER_NUM*WINGS_RECOVER_DIAMS,"")</f>
        <v>0</v>
      </c>
      <c r="O5" s="431">
        <f t="shared" si="0"/>
        <v>1</v>
      </c>
    </row>
    <row r="6" spans="1:15" x14ac:dyDescent="0.25">
      <c r="A6" s="422" t="s">
        <v>37</v>
      </c>
      <c r="B6" s="424"/>
      <c r="C6" s="424"/>
      <c r="D6" s="424"/>
      <c r="I6" s="512"/>
      <c r="J6" s="448" t="s">
        <v>42</v>
      </c>
      <c r="K6" s="247">
        <f>IF(HDRAG_HAS_REC_HBRUN,K4+K2+HDRAG_HBRUN_ITEMS,"")</f>
        <v>-39</v>
      </c>
      <c r="L6" s="247">
        <f>IF(HDRAG_HAS_REC_HBRUN,MAX(K6,0),"")</f>
        <v>0</v>
      </c>
      <c r="M6" s="429">
        <f>IF(HDRAG_HAS_REC_HBRUN,_xlfn.CEILING.MATH(L6/HDRAG_HBRUN_AVG), "")</f>
        <v>0</v>
      </c>
      <c r="N6" s="430">
        <f>IF(HDRAG_HAS_REC_HBRUN,M6*WINGS_CONSUME_HDRAGS/WINGS_RECOVER_NUM*WINGS_RECOVER_DIAMS,"")</f>
        <v>0</v>
      </c>
      <c r="O6" s="431">
        <f t="shared" si="0"/>
        <v>1</v>
      </c>
    </row>
    <row r="7" spans="1:15" x14ac:dyDescent="0.25">
      <c r="I7" s="558" t="s">
        <v>35</v>
      </c>
      <c r="J7" s="452" t="s">
        <v>32</v>
      </c>
      <c r="K7" s="248">
        <f>IF(HDRAG_HAS_REC_HMERC,INDEX(DATA_HDRAGS_DRAGON,IF(ISBLANK(HDRAG_HMERC_DRG),1,HDRAG_HMERC_DRG + 2)) - HDRAG_HMERC_ITEMS,"")</f>
        <v>56</v>
      </c>
      <c r="L7" s="248">
        <f>IF(HDRAG_HAS_REC_HMERC,MAX(K7,0),"")</f>
        <v>56</v>
      </c>
      <c r="M7" s="432">
        <f>IF(HDRAG_HAS_REC_HMERC,_xlfn.CEILING.MATH(L7/HDRAG_HMERC_AVG), "")</f>
        <v>24</v>
      </c>
      <c r="N7" s="433">
        <f>IF(HDRAG_HAS_REC_HMERC,M7*WINGS_CONSUME_HDRAGS/WINGS_RECOVER_NUM*WINGS_RECOVER_DIAMS,"")</f>
        <v>500</v>
      </c>
      <c r="O7" s="431">
        <f t="shared" si="0"/>
        <v>0.95695618754804002</v>
      </c>
    </row>
    <row r="8" spans="1:15" x14ac:dyDescent="0.25">
      <c r="B8" s="563" t="s">
        <v>181</v>
      </c>
      <c r="C8" s="563"/>
      <c r="D8" s="563"/>
      <c r="E8" s="563"/>
      <c r="F8" s="531" t="s">
        <v>28</v>
      </c>
      <c r="G8" s="563" t="s">
        <v>185</v>
      </c>
      <c r="I8" s="558"/>
      <c r="J8" s="452" t="s">
        <v>188</v>
      </c>
      <c r="K8" s="248">
        <f>IF(HDRAG_HAS_REC_HMERC,INDEX(DATA_HDRAGS_BUILDING,HDRAG_HMERC_BLDLV+1)-INDEX(DATA_HDRAGS_BUILDING,17),"")</f>
        <v>-640</v>
      </c>
      <c r="L8" s="248">
        <f>IF(HDRAG_HAS_REC_HMERC,MAX(K8,0),"")</f>
        <v>0</v>
      </c>
      <c r="M8" s="432">
        <f>IF(HDRAG_HAS_REC_HMERC,_xlfn.CEILING.MATH(L8/HDRAG_HMERC_AVG), "")</f>
        <v>0</v>
      </c>
      <c r="N8" s="433">
        <f>IF(HDRAG_HAS_REC_HMERC,M8*WINGS_CONSUME_HDRAGS/WINGS_RECOVER_NUM*WINGS_RECOVER_DIAMS,"")</f>
        <v>0</v>
      </c>
      <c r="O8" s="431">
        <f t="shared" si="0"/>
        <v>1</v>
      </c>
    </row>
    <row r="9" spans="1:15" ht="15" customHeight="1" x14ac:dyDescent="0.25">
      <c r="A9" s="423"/>
      <c r="B9" s="428">
        <v>2</v>
      </c>
      <c r="C9" s="428">
        <v>3</v>
      </c>
      <c r="D9" s="428">
        <v>4</v>
      </c>
      <c r="E9" s="428">
        <v>5</v>
      </c>
      <c r="F9" s="531"/>
      <c r="G9" s="563"/>
      <c r="I9" s="558"/>
      <c r="J9" s="452" t="s">
        <v>33</v>
      </c>
      <c r="K9" s="248">
        <f>IF(HDRAG_HAS_REC_HMERC,INDEX(DATA_HDRAGS_BUILDING,HDRAG_HMERC_BLDLV + 1) - HDRAG_HMERC_ITEMS,"")</f>
        <v>-64</v>
      </c>
      <c r="L9" s="248">
        <f>IF(HDRAG_HAS_REC_HMERC,MAX(K9,0),"")</f>
        <v>0</v>
      </c>
      <c r="M9" s="432">
        <f>IF(HDRAG_HAS_REC_HMERC,_xlfn.CEILING.MATH(L9/HDRAG_HMERC_AVG), "")</f>
        <v>0</v>
      </c>
      <c r="N9" s="433">
        <f>IF(HDRAG_HAS_REC_HMERC,M9*WINGS_CONSUME_HDRAGS/WINGS_RECOVER_NUM*WINGS_RECOVER_DIAMS,"")</f>
        <v>0</v>
      </c>
      <c r="O9" s="431">
        <f t="shared" si="0"/>
        <v>1</v>
      </c>
    </row>
    <row r="10" spans="1:15" ht="15" customHeight="1" x14ac:dyDescent="0.25">
      <c r="A10" s="554" t="s">
        <v>30</v>
      </c>
      <c r="B10" s="443">
        <f>IF(HDRAG_HAS_REC_HBRUN,COUNTIF(DATA_HDRAG_HBRUN,"=2"),"")</f>
        <v>203</v>
      </c>
      <c r="C10" s="443">
        <f>IF(HDRAG_HAS_REC_HBRUN,COUNTIF(DATA_HDRAG_HBRUN,"=3"),"")</f>
        <v>69</v>
      </c>
      <c r="D10" s="443">
        <f>IF(HDRAG_HAS_REC_HBRUN,COUNTIF(DATA_HDRAG_HBRUN,"=4"),"")</f>
        <v>13</v>
      </c>
      <c r="E10" s="443">
        <f>IF(HDRAG_HAS_REC_HBRUN,COUNTIF(DATA_HDRAG_HBRUN,"=5"),"")</f>
        <v>11</v>
      </c>
      <c r="F10" s="568">
        <f>IF(HDRAG_HAS_REC_HBRUN,AVERAGE(DATA_HDRAG_HBRUN),"")</f>
        <v>2.4324324324324325</v>
      </c>
      <c r="G10" s="555">
        <f>IF(HDRAG_HAS_REC_HBRUN,COUNTA(DATA_HDRAG_HBRUN),"")</f>
        <v>296</v>
      </c>
      <c r="I10" s="558"/>
      <c r="J10" s="452" t="s">
        <v>189</v>
      </c>
      <c r="K10" s="248">
        <f>IF(HDRAG_HAS_REC_HMERC,K7+K8,"")</f>
        <v>-584</v>
      </c>
      <c r="L10" s="248">
        <f>IF(HDRAG_HAS_REC_HMERC,MAX(K10,0),"")</f>
        <v>0</v>
      </c>
      <c r="M10" s="432">
        <f>IF(HDRAG_HAS_REC_HMERC,_xlfn.CEILING.MATH(L10/HDRAG_HMERC_AVG), "")</f>
        <v>0</v>
      </c>
      <c r="N10" s="433">
        <f>IF(HDRAG_HAS_REC_HMERC,M10*WINGS_CONSUME_HDRAGS/WINGS_RECOVER_NUM*WINGS_RECOVER_DIAMS,"")</f>
        <v>0</v>
      </c>
      <c r="O10" s="431">
        <f t="shared" si="0"/>
        <v>1</v>
      </c>
    </row>
    <row r="11" spans="1:15" ht="15" customHeight="1" x14ac:dyDescent="0.25">
      <c r="A11" s="554"/>
      <c r="B11" s="453">
        <f>IF(HDRAG_HAS_REC_HBRUN,B10/$G10,"")</f>
        <v>0.68581081081081086</v>
      </c>
      <c r="C11" s="453">
        <f>IF(HDRAG_HAS_REC_HBRUN,C10/$G10,"")</f>
        <v>0.23310810810810811</v>
      </c>
      <c r="D11" s="453">
        <f>IF(HDRAG_HAS_REC_HBRUN,D10/$G10,"")</f>
        <v>4.3918918918918921E-2</v>
      </c>
      <c r="E11" s="453">
        <f>IF(HDRAG_HAS_REC_HBRUN,E10/$G10,"")</f>
        <v>3.7162162162162164E-2</v>
      </c>
      <c r="F11" s="568"/>
      <c r="G11" s="555"/>
      <c r="I11" s="558"/>
      <c r="J11" s="452" t="s">
        <v>42</v>
      </c>
      <c r="K11" s="248">
        <f>IF(HDRAG_HAS_REC_HMERC,K9+K7+HDRAG_HMERC_ITEMS,"")</f>
        <v>56</v>
      </c>
      <c r="L11" s="248">
        <f>IF(HDRAG_HAS_REC_HMERC,MAX(K11,0),"")</f>
        <v>56</v>
      </c>
      <c r="M11" s="432">
        <f>IF(HDRAG_HAS_REC_HMERC,_xlfn.CEILING.MATH(L11/HDRAG_HMERC_AVG), "")</f>
        <v>24</v>
      </c>
      <c r="N11" s="433">
        <f>IF(HDRAG_HAS_REC_HMERC,M11*WINGS_CONSUME_HDRAGS/WINGS_RECOVER_NUM*WINGS_RECOVER_DIAMS,"")</f>
        <v>500</v>
      </c>
      <c r="O11" s="431">
        <f t="shared" si="0"/>
        <v>0.95695618754804002</v>
      </c>
    </row>
    <row r="12" spans="1:15" ht="15" customHeight="1" x14ac:dyDescent="0.25">
      <c r="A12" s="571" t="s">
        <v>35</v>
      </c>
      <c r="B12" s="444">
        <f>IF(HDRAG_HAS_REC_HMERC,COUNTIF(DATA_HDRAG_HMERC,"=2"),"")</f>
        <v>168</v>
      </c>
      <c r="C12" s="444">
        <f>IF(HDRAG_HAS_REC_HMERC,COUNTIF(DATA_HDRAG_HMERC,"=3"),"")</f>
        <v>47</v>
      </c>
      <c r="D12" s="444">
        <f>IF(HDRAG_HAS_REC_HMERC,COUNTIF(DATA_HDRAG_HMERC,"=4"),"")</f>
        <v>11</v>
      </c>
      <c r="E12" s="444">
        <f>IF(HDRAG_HAS_REC_HMERC,COUNTIF(DATA_HDRAG_HMERC,"=5"),"")</f>
        <v>8</v>
      </c>
      <c r="F12" s="567">
        <f>IF(HDRAG_HAS_REC_HMERC,AVERAGE(DATA_HDRAG_HMERC),"")</f>
        <v>2.3974358974358974</v>
      </c>
      <c r="G12" s="572">
        <f>IF(HDRAG_HAS_REC_HMERC,COUNTA(DATA_HDRAG_HMERC),"")</f>
        <v>234</v>
      </c>
      <c r="I12" s="557" t="s">
        <v>31</v>
      </c>
      <c r="J12" s="451" t="s">
        <v>32</v>
      </c>
      <c r="K12" s="249">
        <f>IF(HDRAG_HAS_REC_HMID,INDEX(DATA_HDRAGS_DRAGON,IF(ISBLANK(HDRAG_HMID_DRG),1,HDRAG_HMID_DRG + 2)) - HDRAG_HMID_ITEMS,"")</f>
        <v>-164</v>
      </c>
      <c r="L12" s="249">
        <f>IF(HDRAG_HAS_REC_HMID,MAX(K12,0),"")</f>
        <v>0</v>
      </c>
      <c r="M12" s="434">
        <f>IF(HDRAG_HAS_REC_HMID,_xlfn.CEILING.MATH(L12/HDRAG_HMID_AVG), "")</f>
        <v>0</v>
      </c>
      <c r="N12" s="435">
        <f>IF(HDRAG_HAS_REC_HMID,M12*WINGS_CONSUME_HDRAGS/WINGS_RECOVER_NUM*WINGS_RECOVER_DIAMS,"")</f>
        <v>0</v>
      </c>
      <c r="O12" s="431">
        <f t="shared" si="0"/>
        <v>1</v>
      </c>
    </row>
    <row r="13" spans="1:15" ht="15" customHeight="1" x14ac:dyDescent="0.25">
      <c r="A13" s="571"/>
      <c r="B13" s="454">
        <f>IF(HDRAG_HAS_REC_HMERC,B12/$G12,"")</f>
        <v>0.71794871794871795</v>
      </c>
      <c r="C13" s="454">
        <f>IF(HDRAG_HAS_REC_HMERC,C12/$G12,"")</f>
        <v>0.20085470085470086</v>
      </c>
      <c r="D13" s="454">
        <f>IF(HDRAG_HAS_REC_HMERC,D12/$G12,"")</f>
        <v>4.7008547008547008E-2</v>
      </c>
      <c r="E13" s="454">
        <f>IF(HDRAG_HAS_REC_HMERC,E12/$G12,"")</f>
        <v>3.4188034188034191E-2</v>
      </c>
      <c r="F13" s="567"/>
      <c r="G13" s="572"/>
      <c r="I13" s="557"/>
      <c r="J13" s="451" t="s">
        <v>188</v>
      </c>
      <c r="K13" s="249">
        <f>IF(HDRAG_HAS_REC_HMID,INDEX(DATA_HDRAGS_BUILDING,HDRAG_HMID_BLDLV+1)-INDEX(DATA_HDRAGS_BUILDING,17),"")</f>
        <v>-640</v>
      </c>
      <c r="L13" s="249">
        <f>IF(HDRAG_HAS_REC_HMID,MAX(K13,0),"")</f>
        <v>0</v>
      </c>
      <c r="M13" s="434">
        <f>IF(HDRAG_HAS_REC_HMID,_xlfn.CEILING.MATH(L13/HDRAG_HMID_AVG), "")</f>
        <v>0</v>
      </c>
      <c r="N13" s="435">
        <f>IF(HDRAG_HAS_REC_HMID,M13*WINGS_CONSUME_HDRAGS/WINGS_RECOVER_NUM*WINGS_RECOVER_DIAMS,"")</f>
        <v>0</v>
      </c>
      <c r="O13" s="431">
        <f t="shared" si="0"/>
        <v>1</v>
      </c>
    </row>
    <row r="14" spans="1:15" ht="15" customHeight="1" x14ac:dyDescent="0.25">
      <c r="A14" s="569" t="s">
        <v>31</v>
      </c>
      <c r="B14" s="445">
        <f>IF(HDRAG_HAS_REC_HMID,COUNTIF(DATA_HDRAG_HMID,"=2"),"")</f>
        <v>518</v>
      </c>
      <c r="C14" s="445">
        <f>IF(HDRAG_HAS_REC_HMID,COUNTIF(DATA_HDRAG_HMID,"=3"),"")</f>
        <v>171</v>
      </c>
      <c r="D14" s="445">
        <f>IF(HDRAG_HAS_REC_HMID,COUNTIF(DATA_HDRAG_HMID,"=4"),"")</f>
        <v>62</v>
      </c>
      <c r="E14" s="445">
        <f>IF(HDRAG_HAS_REC_HMID,COUNTIF(DATA_HDRAG_HMID,"=5"),"")</f>
        <v>49</v>
      </c>
      <c r="F14" s="566">
        <f>IF(HDRAG_HAS_REC_HMID,AVERAGE(DATA_HDRAG_HMID),"")</f>
        <v>2.5525000000000002</v>
      </c>
      <c r="G14" s="570">
        <f>IF(HDRAG_HAS_REC_HMID,COUNTA(DATA_HDRAG_HMID),"")</f>
        <v>801</v>
      </c>
      <c r="I14" s="557"/>
      <c r="J14" s="451" t="s">
        <v>33</v>
      </c>
      <c r="K14" s="249">
        <f>IF(HDRAG_HAS_REC_HMID,INDEX(DATA_HDRAGS_BUILDING,HDRAG_HMID_BLDLV + 1) - HDRAG_HMID_ITEMS,"")</f>
        <v>-164</v>
      </c>
      <c r="L14" s="249">
        <f>IF(HDRAG_HAS_REC_HMID,MAX(K14,0),"")</f>
        <v>0</v>
      </c>
      <c r="M14" s="434">
        <f>IF(HDRAG_HAS_REC_HMID,_xlfn.CEILING.MATH(L14/HDRAG_HMID_AVG), "")</f>
        <v>0</v>
      </c>
      <c r="N14" s="435">
        <f>IF(HDRAG_HAS_REC_HMID,M14*WINGS_CONSUME_HDRAGS/WINGS_RECOVER_NUM*WINGS_RECOVER_DIAMS,"")</f>
        <v>0</v>
      </c>
      <c r="O14" s="431">
        <f t="shared" si="0"/>
        <v>1</v>
      </c>
    </row>
    <row r="15" spans="1:15" ht="15" customHeight="1" x14ac:dyDescent="0.25">
      <c r="A15" s="569"/>
      <c r="B15" s="455">
        <f>IF(HDRAG_HAS_REC_HMID,B14/$G14,"")</f>
        <v>0.64669163545568042</v>
      </c>
      <c r="C15" s="455">
        <f>IF(HDRAG_HAS_REC_HMID,C14/$G14,"")</f>
        <v>0.21348314606741572</v>
      </c>
      <c r="D15" s="455">
        <f>IF(HDRAG_HAS_REC_HMID,D14/$G14,"")</f>
        <v>7.740324594257178E-2</v>
      </c>
      <c r="E15" s="455">
        <f>IF(HDRAG_HAS_REC_HMID,E14/$G14,"")</f>
        <v>6.117353308364544E-2</v>
      </c>
      <c r="F15" s="566"/>
      <c r="G15" s="570"/>
      <c r="I15" s="557"/>
      <c r="J15" s="451" t="s">
        <v>189</v>
      </c>
      <c r="K15" s="249">
        <f>IF(HDRAG_HAS_REC_HMID,K12+K13,"")</f>
        <v>-804</v>
      </c>
      <c r="L15" s="249">
        <f>IF(HDRAG_HAS_REC_HMID,MAX(K15,0),"")</f>
        <v>0</v>
      </c>
      <c r="M15" s="434">
        <f>IF(HDRAG_HAS_REC_HMID,_xlfn.CEILING.MATH(L15/HDRAG_HMID_AVG), "")</f>
        <v>0</v>
      </c>
      <c r="N15" s="435">
        <f>IF(HDRAG_HAS_REC_HMID,M15*WINGS_CONSUME_HDRAGS/WINGS_RECOVER_NUM*WINGS_RECOVER_DIAMS,"")</f>
        <v>0</v>
      </c>
      <c r="O15" s="431">
        <f t="shared" si="0"/>
        <v>1</v>
      </c>
    </row>
    <row r="16" spans="1:15" ht="15" customHeight="1" x14ac:dyDescent="0.25">
      <c r="A16" s="561" t="s">
        <v>36</v>
      </c>
      <c r="B16" s="446">
        <f>IF(HDRAG_HAS_REC_HJUP,COUNTIF(DATA_HDRAG_HJUP,"=2"),"")</f>
        <v>251</v>
      </c>
      <c r="C16" s="446">
        <f>IF(HDRAG_HAS_REC_HJUP,COUNTIF(DATA_HDRAG_HJUP,"=3"),"")</f>
        <v>73</v>
      </c>
      <c r="D16" s="446">
        <f>IF(HDRAG_HAS_REC_HJUP,COUNTIF(DATA_HDRAG_HJUP,"=4"),"")</f>
        <v>28</v>
      </c>
      <c r="E16" s="446">
        <f>IF(HDRAG_HAS_REC_HJUP,COUNTIF(DATA_HDRAG_HJUP,"=5"),"")</f>
        <v>11</v>
      </c>
      <c r="F16" s="565">
        <f>IF(HDRAG_HAS_REC_HJUP,AVERAGE(DATA_HDRAG_HJUP),"")</f>
        <v>2.446280991735537</v>
      </c>
      <c r="G16" s="562">
        <f>IF(HDRAG_HAS_REC_HJUP,COUNTA(DATA_HDRAG_HJUP),"")</f>
        <v>363</v>
      </c>
      <c r="I16" s="557"/>
      <c r="J16" s="451" t="s">
        <v>42</v>
      </c>
      <c r="K16" s="249">
        <f>IF(HDRAG_HAS_REC_HMID,K14+K12+HDRAG_HMID_ITEMS,"")</f>
        <v>-164</v>
      </c>
      <c r="L16" s="249">
        <f>IF(HDRAG_HAS_REC_HMID,MAX(K16,0),"")</f>
        <v>0</v>
      </c>
      <c r="M16" s="434">
        <f>IF(HDRAG_HAS_REC_HMID,_xlfn.CEILING.MATH(L16/HDRAG_HMID_AVG), "")</f>
        <v>0</v>
      </c>
      <c r="N16" s="435">
        <f>IF(HDRAG_HAS_REC_HMID,M16*WINGS_CONSUME_HDRAGS/WINGS_RECOVER_NUM*WINGS_RECOVER_DIAMS,"")</f>
        <v>0</v>
      </c>
      <c r="O16" s="431">
        <f t="shared" si="0"/>
        <v>1</v>
      </c>
    </row>
    <row r="17" spans="1:15" ht="15" customHeight="1" x14ac:dyDescent="0.25">
      <c r="A17" s="561"/>
      <c r="B17" s="456">
        <f>IF(HDRAG_HAS_REC_HJUP,B16/$G16,"")</f>
        <v>0.69146005509641872</v>
      </c>
      <c r="C17" s="456">
        <f>IF(HDRAG_HAS_REC_HJUP,C16/$G16,"")</f>
        <v>0.20110192837465565</v>
      </c>
      <c r="D17" s="456">
        <f>IF(HDRAG_HAS_REC_HJUP,D16/$G16,"")</f>
        <v>7.7134986225895319E-2</v>
      </c>
      <c r="E17" s="456">
        <f>IF(HDRAG_HAS_REC_HJUP,E16/$G16,"")</f>
        <v>3.0303030303030304E-2</v>
      </c>
      <c r="F17" s="565"/>
      <c r="G17" s="562"/>
      <c r="I17" s="556" t="s">
        <v>36</v>
      </c>
      <c r="J17" s="450" t="s">
        <v>32</v>
      </c>
      <c r="K17" s="250">
        <f>IF(HDRAG_HAS_REC_HJUP,INDEX(DATA_HDRAGS_DRAGON,IF(ISBLANK(HDRAG_HJUP_DRG),1,HDRAG_HJUP_DRG + 2)) - HDRAG_HJUP_ITEMS,"")</f>
        <v>-128</v>
      </c>
      <c r="L17" s="250">
        <f>IF(HDRAG_HAS_REC_HJUP,MAX(K17,0),"")</f>
        <v>0</v>
      </c>
      <c r="M17" s="436">
        <f>IF(HDRAG_HAS_REC_HJUP,_xlfn.CEILING.MATH(L17/HDRAG_HJUP_AVG), "")</f>
        <v>0</v>
      </c>
      <c r="N17" s="437">
        <f>IF(HDRAG_HAS_REC_HJUP,M17*WINGS_CONSUME_HDRAGS/WINGS_RECOVER_NUM*WINGS_RECOVER_DIAMS,"")</f>
        <v>0</v>
      </c>
      <c r="O17" s="431">
        <f t="shared" si="0"/>
        <v>1</v>
      </c>
    </row>
    <row r="18" spans="1:15" ht="15" customHeight="1" x14ac:dyDescent="0.25">
      <c r="A18" s="559" t="s">
        <v>37</v>
      </c>
      <c r="B18" s="447" t="str">
        <f>IF(HDRAG_HAS_REC_HZOD,COUNTIF(DATA_HDRAG_HZOD,"=2"),"")</f>
        <v/>
      </c>
      <c r="C18" s="447" t="str">
        <f>IF(HDRAG_HAS_REC_HZOD,COUNTIF(DATA_HDRAG_HZOD,"=3"),"")</f>
        <v/>
      </c>
      <c r="D18" s="447" t="str">
        <f>IF(HDRAG_HAS_REC_HZOD,COUNTIF(DATA_HDRAG_HZOD,"=4"),"")</f>
        <v/>
      </c>
      <c r="E18" s="447" t="str">
        <f>IF(HDRAG_HAS_REC_HZOD,COUNTIF(DATA_HDRAG_HZOD,"=5"),"")</f>
        <v/>
      </c>
      <c r="F18" s="564" t="str">
        <f>IF(HDRAG_HAS_REC_HZOD,AVERAGE(DATA_HDRAG_HZOD),"")</f>
        <v/>
      </c>
      <c r="G18" s="560" t="str">
        <f>IF(HDRAG_HAS_REC_HZOD,COUNTA(DATA_HDRAG_HZOD),"")</f>
        <v/>
      </c>
      <c r="I18" s="556"/>
      <c r="J18" s="450" t="s">
        <v>188</v>
      </c>
      <c r="K18" s="250">
        <f>IF(HDRAG_HAS_REC_HJUP,INDEX(DATA_HDRAGS_BUILDING,HDRAG_HJUP_BLDLV+1)-INDEX(DATA_HDRAGS_BUILDING,17),"")</f>
        <v>-320</v>
      </c>
      <c r="L18" s="250">
        <f>IF(HDRAG_HAS_REC_HJUP,MAX(K18,0),"")</f>
        <v>0</v>
      </c>
      <c r="M18" s="436">
        <f>IF(HDRAG_HAS_REC_HJUP,_xlfn.CEILING.MATH(L18/HDRAG_HJUP_AVG), "")</f>
        <v>0</v>
      </c>
      <c r="N18" s="437">
        <f>IF(HDRAG_HAS_REC_HJUP,M18*WINGS_CONSUME_HDRAGS/WINGS_RECOVER_NUM*WINGS_RECOVER_DIAMS,"")</f>
        <v>0</v>
      </c>
      <c r="O18" s="431">
        <f t="shared" si="0"/>
        <v>1</v>
      </c>
    </row>
    <row r="19" spans="1:15" x14ac:dyDescent="0.25">
      <c r="A19" s="559"/>
      <c r="B19" s="457" t="str">
        <f>IF(HDRAG_HAS_REC_HZOD,B18/$G18,"")</f>
        <v/>
      </c>
      <c r="C19" s="457" t="str">
        <f>IF(HDRAG_HAS_REC_HZOD,C18/$G18,"")</f>
        <v/>
      </c>
      <c r="D19" s="457" t="str">
        <f>IF(HDRAG_HAS_REC_HZOD,D18/$G18,"")</f>
        <v/>
      </c>
      <c r="E19" s="457" t="str">
        <f>IF(HDRAG_HAS_REC_HZOD,E18/$G18,"")</f>
        <v/>
      </c>
      <c r="F19" s="564"/>
      <c r="G19" s="560"/>
      <c r="I19" s="556"/>
      <c r="J19" s="450" t="s">
        <v>33</v>
      </c>
      <c r="K19" s="250">
        <f>IF(HDRAG_HAS_REC_HJUP,INDEX(DATA_HDRAGS_BUILDING,HDRAG_HJUP_BLDLV + 1) - HDRAG_HJUP_ITEMS,"")</f>
        <v>-293</v>
      </c>
      <c r="L19" s="250">
        <f>IF(HDRAG_HAS_REC_HJUP,MAX(K19,0),"")</f>
        <v>0</v>
      </c>
      <c r="M19" s="436">
        <f>IF(HDRAG_HAS_REC_HJUP,_xlfn.CEILING.MATH(L19/HDRAG_HJUP_AVG), "")</f>
        <v>0</v>
      </c>
      <c r="N19" s="437">
        <f>IF(HDRAG_HAS_REC_HJUP,M19*WINGS_CONSUME_HDRAGS/WINGS_RECOVER_NUM*WINGS_RECOVER_DIAMS,"")</f>
        <v>0</v>
      </c>
      <c r="O19" s="431">
        <f t="shared" si="0"/>
        <v>1</v>
      </c>
    </row>
    <row r="20" spans="1:15" x14ac:dyDescent="0.25">
      <c r="I20" s="556"/>
      <c r="J20" s="450" t="s">
        <v>189</v>
      </c>
      <c r="K20" s="250">
        <f>IF(HDRAG_HAS_REC_HJUP,K17+K18,"")</f>
        <v>-448</v>
      </c>
      <c r="L20" s="250">
        <f>IF(HDRAG_HAS_REC_HJUP,MAX(K20,0),"")</f>
        <v>0</v>
      </c>
      <c r="M20" s="436">
        <f>IF(HDRAG_HAS_REC_HJUP,_xlfn.CEILING.MATH(L20/HDRAG_HJUP_AVG), "")</f>
        <v>0</v>
      </c>
      <c r="N20" s="437">
        <f>IF(HDRAG_HAS_REC_HJUP,M20*WINGS_CONSUME_HDRAGS/WINGS_RECOVER_NUM*WINGS_RECOVER_DIAMS,"")</f>
        <v>0</v>
      </c>
      <c r="O20" s="431">
        <f t="shared" si="0"/>
        <v>1</v>
      </c>
    </row>
    <row r="21" spans="1:15" x14ac:dyDescent="0.25">
      <c r="I21" s="556"/>
      <c r="J21" s="450" t="s">
        <v>42</v>
      </c>
      <c r="K21" s="250">
        <f>IF(HDRAG_HAS_REC_HJUP,K19+K17+HDRAG_HJUP_ITEMS,"")</f>
        <v>192</v>
      </c>
      <c r="L21" s="250">
        <f>IF(HDRAG_HAS_REC_HJUP,MAX(K21,0),"")</f>
        <v>192</v>
      </c>
      <c r="M21" s="436">
        <f>IF(HDRAG_HAS_REC_HJUP,_xlfn.CEILING.MATH(L21/HDRAG_HJUP_AVG), "")</f>
        <v>79</v>
      </c>
      <c r="N21" s="437">
        <f>IF(HDRAG_HAS_REC_HJUP,M21*WINGS_CONSUME_HDRAGS/WINGS_RECOVER_NUM*WINGS_RECOVER_DIAMS,"")</f>
        <v>1645.8333333333333</v>
      </c>
      <c r="O21" s="431">
        <f t="shared" si="0"/>
        <v>0.85242121445042274</v>
      </c>
    </row>
    <row r="22" spans="1:15" x14ac:dyDescent="0.25">
      <c r="I22" s="513" t="s">
        <v>37</v>
      </c>
      <c r="J22" s="449" t="s">
        <v>32</v>
      </c>
      <c r="K22" s="251" t="str">
        <f>IF(HDRAG_HAS_REC_HZOD,INDEX(DATA_HDRAGS_DRAGON,IF(ISBLANK(HDRAG_HZOD_DRG),1,HDRAG_HZOD_DRG + 2)) - HDRAG_HZOD_ITEMS,"")</f>
        <v/>
      </c>
      <c r="L22" s="251" t="str">
        <f>IF(HDRAG_HAS_REC_HZOD,MAX(K22,0),"")</f>
        <v/>
      </c>
      <c r="M22" s="438" t="str">
        <f>IF(HDRAG_HAS_REC_HZOD,_xlfn.CEILING.MATH(L22/HDRAG_HZOD_AVG), "")</f>
        <v/>
      </c>
      <c r="N22" s="439" t="str">
        <f>IF(HDRAG_HAS_REC_HZOD,M22*WINGS_CONSUME_HDRAGS/WINGS_RECOVER_NUM*WINGS_RECOVER_DIAMS,"")</f>
        <v/>
      </c>
      <c r="O22" s="431" t="str">
        <f t="shared" si="0"/>
        <v/>
      </c>
    </row>
    <row r="23" spans="1:15" x14ac:dyDescent="0.25">
      <c r="I23" s="513"/>
      <c r="J23" s="449" t="s">
        <v>188</v>
      </c>
      <c r="K23" s="251" t="str">
        <f>IF(HDRAG_HAS_REC_HZOD,INDEX(DATA_HDRAGS_BUILDING,HDRAG_HZOD_BLDLV+1)-INDEX(DATA_HDRAGS_BUILDING,17),"")</f>
        <v/>
      </c>
      <c r="L23" s="251" t="str">
        <f>IF(HDRAG_HAS_REC_HZOD,MAX(K23,0),"")</f>
        <v/>
      </c>
      <c r="M23" s="438" t="str">
        <f>IF(HDRAG_HAS_REC_HZOD,_xlfn.CEILING.MATH(L23/HDRAG_HZOD_AVG), "")</f>
        <v/>
      </c>
      <c r="N23" s="439" t="str">
        <f>IF(HDRAG_HAS_REC_HZOD,M23*WINGS_CONSUME_HDRAGS/WINGS_RECOVER_NUM*WINGS_RECOVER_DIAMS,"")</f>
        <v/>
      </c>
      <c r="O23" s="431" t="str">
        <f t="shared" si="0"/>
        <v/>
      </c>
    </row>
    <row r="24" spans="1:15" x14ac:dyDescent="0.25">
      <c r="I24" s="513"/>
      <c r="J24" s="449" t="s">
        <v>33</v>
      </c>
      <c r="K24" s="251" t="str">
        <f>IF(HDRAG_HAS_REC_HZOD,INDEX(DATA_HDRAGS_BUILDING,HDRAG_HZOD_BLDLV + 1) - HDRAG_HZOD_ITEMS,"")</f>
        <v/>
      </c>
      <c r="L24" s="251" t="str">
        <f>IF(HDRAG_HAS_REC_HZOD,MAX(K24,0),"")</f>
        <v/>
      </c>
      <c r="M24" s="438" t="str">
        <f>IF(HDRAG_HAS_REC_HZOD,_xlfn.CEILING.MATH(L24/HDRAG_HZOD_AVG), "")</f>
        <v/>
      </c>
      <c r="N24" s="439" t="str">
        <f>IF(HDRAG_HAS_REC_HZOD,M24*WINGS_CONSUME_HDRAGS/WINGS_RECOVER_NUM*WINGS_RECOVER_DIAMS,"")</f>
        <v/>
      </c>
      <c r="O24" s="431" t="str">
        <f t="shared" si="0"/>
        <v/>
      </c>
    </row>
    <row r="25" spans="1:15" x14ac:dyDescent="0.25">
      <c r="I25" s="513"/>
      <c r="J25" s="449" t="s">
        <v>189</v>
      </c>
      <c r="K25" s="251" t="str">
        <f>IF(HDRAG_HAS_REC_HZOD,K22+K23,"")</f>
        <v/>
      </c>
      <c r="L25" s="251" t="str">
        <f>IF(HDRAG_HAS_REC_HZOD,MAX(K25,0),"")</f>
        <v/>
      </c>
      <c r="M25" s="438" t="str">
        <f>IF(HDRAG_HAS_REC_HZOD,_xlfn.CEILING.MATH(L25/HDRAG_HZOD_AVG), "")</f>
        <v/>
      </c>
      <c r="N25" s="439" t="str">
        <f>IF(HDRAG_HAS_REC_HZOD,M25*WINGS_CONSUME_HDRAGS/WINGS_RECOVER_NUM*WINGS_RECOVER_DIAMS,"")</f>
        <v/>
      </c>
      <c r="O25" s="431" t="str">
        <f t="shared" si="0"/>
        <v/>
      </c>
    </row>
    <row r="26" spans="1:15" x14ac:dyDescent="0.25">
      <c r="I26" s="513"/>
      <c r="J26" s="449" t="s">
        <v>42</v>
      </c>
      <c r="K26" s="251" t="str">
        <f>IF(HDRAG_HAS_REC_HZOD,K24+K22+HDRAG_HZOD_ITEMS,"")</f>
        <v/>
      </c>
      <c r="L26" s="251" t="str">
        <f>IF(HDRAG_HAS_REC_HZOD,MAX(K26,0),"")</f>
        <v/>
      </c>
      <c r="M26" s="438" t="str">
        <f>IF(HDRAG_HAS_REC_HZOD,_xlfn.CEILING.MATH(L26/HDRAG_HZOD_AVG), "")</f>
        <v/>
      </c>
      <c r="N26" s="439" t="str">
        <f>IF(HDRAG_HAS_REC_HZOD,M26*WINGS_CONSUME_HDRAGS/WINGS_RECOVER_NUM*WINGS_RECOVER_DIAMS,"")</f>
        <v/>
      </c>
      <c r="O26" s="431" t="str">
        <f t="shared" si="0"/>
        <v/>
      </c>
    </row>
    <row r="50" spans="1:2" x14ac:dyDescent="0.25">
      <c r="A50" s="420"/>
      <c r="B50" s="420"/>
    </row>
    <row r="51" spans="1:2" x14ac:dyDescent="0.25">
      <c r="A51" s="420"/>
      <c r="B51" s="420"/>
    </row>
    <row r="52" spans="1:2" x14ac:dyDescent="0.25">
      <c r="A52" s="420"/>
    </row>
  </sheetData>
  <mergeCells count="23">
    <mergeCell ref="F14:F15"/>
    <mergeCell ref="F12:F13"/>
    <mergeCell ref="F10:F11"/>
    <mergeCell ref="A14:A15"/>
    <mergeCell ref="G14:G15"/>
    <mergeCell ref="A12:A13"/>
    <mergeCell ref="G12:G13"/>
    <mergeCell ref="I2:I6"/>
    <mergeCell ref="A10:A11"/>
    <mergeCell ref="G10:G11"/>
    <mergeCell ref="I22:I26"/>
    <mergeCell ref="I17:I21"/>
    <mergeCell ref="I12:I16"/>
    <mergeCell ref="I7:I11"/>
    <mergeCell ref="A18:A19"/>
    <mergeCell ref="G18:G19"/>
    <mergeCell ref="A16:A17"/>
    <mergeCell ref="G16:G17"/>
    <mergeCell ref="G8:G9"/>
    <mergeCell ref="B8:E8"/>
    <mergeCell ref="F8:F9"/>
    <mergeCell ref="F18:F19"/>
    <mergeCell ref="F16:F17"/>
  </mergeCells>
  <conditionalFormatting sqref="C1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1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144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56"/>
    </row>
    <row r="3" spans="1:4" x14ac:dyDescent="0.25">
      <c r="A3" s="1">
        <v>786</v>
      </c>
      <c r="B3" s="1">
        <v>800</v>
      </c>
      <c r="C3" s="1">
        <v>480</v>
      </c>
      <c r="D3" s="256"/>
    </row>
    <row r="4" spans="1:4" x14ac:dyDescent="0.25">
      <c r="A4" s="1">
        <v>783</v>
      </c>
      <c r="B4" s="1">
        <v>800</v>
      </c>
      <c r="C4" s="1">
        <f>C3-120</f>
        <v>360</v>
      </c>
      <c r="D4" s="256"/>
    </row>
    <row r="5" spans="1:4" x14ac:dyDescent="0.25">
      <c r="A5" s="1">
        <v>780</v>
      </c>
      <c r="B5" s="1">
        <v>800</v>
      </c>
      <c r="C5" s="1">
        <f>C4-120</f>
        <v>240</v>
      </c>
      <c r="D5" s="256"/>
    </row>
    <row r="6" spans="1:4" x14ac:dyDescent="0.25">
      <c r="A6" s="1">
        <v>775</v>
      </c>
      <c r="B6" s="1">
        <v>800</v>
      </c>
      <c r="C6" s="1">
        <f>C5-120</f>
        <v>120</v>
      </c>
      <c r="D6" s="256"/>
    </row>
    <row r="7" spans="1:4" x14ac:dyDescent="0.25">
      <c r="A7" s="1">
        <v>770</v>
      </c>
      <c r="B7" s="1">
        <v>790</v>
      </c>
      <c r="C7" s="1">
        <f>C6-120</f>
        <v>0</v>
      </c>
      <c r="D7" s="256"/>
    </row>
    <row r="8" spans="1:4" x14ac:dyDescent="0.25">
      <c r="A8" s="1">
        <v>763</v>
      </c>
      <c r="B8" s="1">
        <v>780</v>
      </c>
      <c r="D8" s="256"/>
    </row>
    <row r="9" spans="1:4" x14ac:dyDescent="0.25">
      <c r="A9" s="1">
        <v>756</v>
      </c>
      <c r="B9" s="1">
        <v>770</v>
      </c>
      <c r="D9" s="256"/>
    </row>
    <row r="10" spans="1:4" x14ac:dyDescent="0.25">
      <c r="A10" s="1">
        <v>749</v>
      </c>
      <c r="B10" s="1">
        <v>760</v>
      </c>
      <c r="D10" s="256"/>
    </row>
    <row r="11" spans="1:4" x14ac:dyDescent="0.25">
      <c r="A11" s="1">
        <v>739</v>
      </c>
      <c r="B11" s="1">
        <v>750</v>
      </c>
      <c r="D11" s="256"/>
    </row>
    <row r="12" spans="1:4" x14ac:dyDescent="0.25">
      <c r="A12" s="1">
        <v>729</v>
      </c>
      <c r="B12" s="1">
        <v>730</v>
      </c>
      <c r="D12" s="256"/>
    </row>
    <row r="13" spans="1:4" x14ac:dyDescent="0.25">
      <c r="A13" s="1">
        <v>717</v>
      </c>
      <c r="B13" s="1">
        <v>710</v>
      </c>
      <c r="D13" s="256"/>
    </row>
    <row r="14" spans="1:4" x14ac:dyDescent="0.25">
      <c r="A14" s="1">
        <v>705</v>
      </c>
      <c r="B14" s="1">
        <v>690</v>
      </c>
      <c r="D14" s="256"/>
    </row>
    <row r="15" spans="1:4" x14ac:dyDescent="0.25">
      <c r="A15" s="1">
        <v>690</v>
      </c>
      <c r="B15" s="1">
        <v>670</v>
      </c>
      <c r="D15" s="256"/>
    </row>
    <row r="16" spans="1:4" x14ac:dyDescent="0.25">
      <c r="A16" s="1">
        <v>675</v>
      </c>
      <c r="B16" s="1">
        <v>650</v>
      </c>
      <c r="D16" s="256"/>
    </row>
    <row r="17" spans="1:4" x14ac:dyDescent="0.25">
      <c r="A17" s="1">
        <v>660</v>
      </c>
      <c r="B17" s="1">
        <v>620</v>
      </c>
      <c r="D17" s="256"/>
    </row>
    <row r="18" spans="1:4" x14ac:dyDescent="0.25">
      <c r="A18" s="1">
        <v>640</v>
      </c>
      <c r="B18" s="1">
        <v>590</v>
      </c>
      <c r="D18" s="256"/>
    </row>
    <row r="19" spans="1:4" x14ac:dyDescent="0.25">
      <c r="A19" s="1">
        <v>620</v>
      </c>
      <c r="B19" s="1">
        <v>560</v>
      </c>
      <c r="D19" s="256"/>
    </row>
    <row r="20" spans="1:4" x14ac:dyDescent="0.25">
      <c r="A20" s="1">
        <v>600</v>
      </c>
      <c r="B20" s="1">
        <v>530</v>
      </c>
      <c r="D20" s="256"/>
    </row>
    <row r="21" spans="1:4" x14ac:dyDescent="0.25">
      <c r="A21" s="1">
        <v>570</v>
      </c>
      <c r="B21" s="1">
        <v>500</v>
      </c>
      <c r="D21" s="256"/>
    </row>
    <row r="22" spans="1:4" x14ac:dyDescent="0.25">
      <c r="A22" s="1">
        <v>540</v>
      </c>
      <c r="B22" s="1">
        <v>460</v>
      </c>
      <c r="D22" s="256"/>
    </row>
    <row r="23" spans="1:4" x14ac:dyDescent="0.25">
      <c r="A23" s="1">
        <v>500</v>
      </c>
      <c r="B23" s="1">
        <v>420</v>
      </c>
      <c r="D23" s="256"/>
    </row>
    <row r="24" spans="1:4" x14ac:dyDescent="0.25">
      <c r="A24" s="1">
        <v>460</v>
      </c>
      <c r="B24" s="1">
        <v>380</v>
      </c>
      <c r="D24" s="256"/>
    </row>
    <row r="25" spans="1:4" x14ac:dyDescent="0.25">
      <c r="A25" s="1">
        <v>420</v>
      </c>
      <c r="B25" s="1">
        <v>340</v>
      </c>
      <c r="D25" s="256"/>
    </row>
    <row r="26" spans="1:4" x14ac:dyDescent="0.25">
      <c r="A26" s="1">
        <v>370</v>
      </c>
      <c r="B26" s="1">
        <v>300</v>
      </c>
      <c r="D26" s="256"/>
    </row>
    <row r="27" spans="1:4" x14ac:dyDescent="0.25">
      <c r="A27" s="1">
        <v>320</v>
      </c>
      <c r="B27" s="1">
        <v>240</v>
      </c>
      <c r="D27" s="256"/>
    </row>
    <row r="28" spans="1:4" x14ac:dyDescent="0.25">
      <c r="A28" s="1">
        <v>260</v>
      </c>
      <c r="B28" s="1">
        <v>180</v>
      </c>
      <c r="D28" s="256"/>
    </row>
    <row r="29" spans="1:4" x14ac:dyDescent="0.25">
      <c r="A29" s="1">
        <v>200</v>
      </c>
      <c r="B29" s="1">
        <v>120</v>
      </c>
      <c r="D29" s="256"/>
    </row>
    <row r="30" spans="1:4" x14ac:dyDescent="0.25">
      <c r="A30" s="1">
        <v>140</v>
      </c>
      <c r="B30" s="1">
        <v>60</v>
      </c>
      <c r="D30" s="256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97"/>
    <col min="3" max="3" width="9.42578125" style="461" customWidth="1"/>
    <col min="4" max="4" width="9.28515625" style="460" customWidth="1"/>
    <col min="5" max="16384" width="9.28515625" style="397"/>
  </cols>
  <sheetData>
    <row r="1" spans="1:9" ht="14.65" customHeight="1" x14ac:dyDescent="0.25">
      <c r="A1" s="458" t="s">
        <v>195</v>
      </c>
      <c r="B1" s="464">
        <v>28</v>
      </c>
      <c r="C1" s="576" t="s">
        <v>197</v>
      </c>
      <c r="D1" s="575">
        <f>INDEX(DATA_EVTBLD,B1,2)-B2</f>
        <v>967</v>
      </c>
      <c r="E1" s="574" t="s">
        <v>24</v>
      </c>
      <c r="F1" s="573">
        <f>1-(INDEX(DATA_EVTBLD,B1,2)-B2)/DATA_EVTBLD_MAX</f>
        <v>0.87627942681678606</v>
      </c>
      <c r="G1" s="573"/>
      <c r="H1" s="573"/>
      <c r="I1" s="573"/>
    </row>
    <row r="2" spans="1:9" ht="14.65" customHeight="1" x14ac:dyDescent="0.25">
      <c r="A2" s="458" t="s">
        <v>196</v>
      </c>
      <c r="B2" s="464">
        <v>933</v>
      </c>
      <c r="C2" s="576"/>
      <c r="D2" s="575"/>
      <c r="E2" s="574"/>
      <c r="F2" s="573"/>
      <c r="G2" s="573"/>
      <c r="H2" s="573"/>
      <c r="I2" s="573"/>
    </row>
    <row r="4" spans="1:9" s="458" customFormat="1" ht="14.65" customHeight="1" x14ac:dyDescent="0.25">
      <c r="A4" s="458" t="s">
        <v>39</v>
      </c>
      <c r="B4" s="463" t="s">
        <v>192</v>
      </c>
      <c r="C4" s="462" t="s">
        <v>193</v>
      </c>
      <c r="D4" s="459" t="s">
        <v>194</v>
      </c>
    </row>
    <row r="5" spans="1:9" x14ac:dyDescent="0.25">
      <c r="A5" s="397">
        <v>1</v>
      </c>
      <c r="B5" s="464">
        <v>7816</v>
      </c>
      <c r="C5" s="461">
        <v>4.0897569444444439</v>
      </c>
      <c r="D5" s="460">
        <f t="shared" ref="D5:D34" si="0">C5*BOOST_PRICE</f>
        <v>490.77083333333348</v>
      </c>
    </row>
    <row r="6" spans="1:9" x14ac:dyDescent="0.25">
      <c r="A6" s="397">
        <f>A5+1</f>
        <v>2</v>
      </c>
      <c r="B6" s="464">
        <v>7813</v>
      </c>
      <c r="C6" s="461">
        <v>4.0896990740740744</v>
      </c>
      <c r="D6" s="460">
        <f t="shared" si="0"/>
        <v>490.76388888888914</v>
      </c>
    </row>
    <row r="7" spans="1:9" x14ac:dyDescent="0.25">
      <c r="A7" s="397">
        <f t="shared" ref="A7:A34" si="1">A6+1</f>
        <v>3</v>
      </c>
      <c r="B7" s="464">
        <v>7808</v>
      </c>
      <c r="C7" s="461">
        <v>4.0895833333333336</v>
      </c>
      <c r="D7" s="460">
        <f t="shared" si="0"/>
        <v>490.75000000000028</v>
      </c>
    </row>
    <row r="8" spans="1:9" x14ac:dyDescent="0.25">
      <c r="A8" s="397">
        <f t="shared" si="1"/>
        <v>4</v>
      </c>
      <c r="B8" s="464">
        <v>7801</v>
      </c>
      <c r="C8" s="461">
        <v>4.0888888888888886</v>
      </c>
      <c r="D8" s="460">
        <f t="shared" si="0"/>
        <v>490.66666666666686</v>
      </c>
    </row>
    <row r="9" spans="1:9" x14ac:dyDescent="0.25">
      <c r="A9" s="397">
        <f t="shared" si="1"/>
        <v>5</v>
      </c>
      <c r="B9" s="464">
        <v>7791</v>
      </c>
      <c r="C9" s="461">
        <v>4.0868055555555554</v>
      </c>
      <c r="D9" s="460">
        <f t="shared" si="0"/>
        <v>490.41666666666686</v>
      </c>
    </row>
    <row r="10" spans="1:9" x14ac:dyDescent="0.25">
      <c r="A10" s="397">
        <f t="shared" si="1"/>
        <v>6</v>
      </c>
      <c r="B10" s="464">
        <v>7779</v>
      </c>
      <c r="C10" s="461">
        <v>4.083333333333333</v>
      </c>
      <c r="D10" s="460">
        <f t="shared" si="0"/>
        <v>490.00000000000017</v>
      </c>
    </row>
    <row r="11" spans="1:9" x14ac:dyDescent="0.25">
      <c r="A11" s="397">
        <f t="shared" si="1"/>
        <v>7</v>
      </c>
      <c r="B11" s="464">
        <v>7764</v>
      </c>
      <c r="C11" s="461">
        <v>4.0798611111111107</v>
      </c>
      <c r="D11" s="460">
        <f t="shared" si="0"/>
        <v>489.58333333333354</v>
      </c>
    </row>
    <row r="12" spans="1:9" x14ac:dyDescent="0.25">
      <c r="A12" s="397">
        <f t="shared" si="1"/>
        <v>8</v>
      </c>
      <c r="B12" s="464">
        <v>7746</v>
      </c>
      <c r="C12" s="461">
        <v>4.0763888888888893</v>
      </c>
      <c r="D12" s="460">
        <f t="shared" si="0"/>
        <v>489.16666666666697</v>
      </c>
    </row>
    <row r="13" spans="1:9" x14ac:dyDescent="0.25">
      <c r="A13" s="397">
        <f t="shared" si="1"/>
        <v>9</v>
      </c>
      <c r="B13" s="464">
        <v>7725</v>
      </c>
      <c r="C13" s="461">
        <v>4.0694444444444446</v>
      </c>
      <c r="D13" s="460">
        <f t="shared" si="0"/>
        <v>488.3333333333336</v>
      </c>
    </row>
    <row r="14" spans="1:9" x14ac:dyDescent="0.25">
      <c r="A14" s="397">
        <f t="shared" si="1"/>
        <v>10</v>
      </c>
      <c r="B14" s="464">
        <v>7700</v>
      </c>
      <c r="C14" s="461">
        <v>4.0625</v>
      </c>
      <c r="D14" s="460">
        <f t="shared" si="0"/>
        <v>487.50000000000023</v>
      </c>
    </row>
    <row r="15" spans="1:9" x14ac:dyDescent="0.25">
      <c r="A15" s="397">
        <f t="shared" si="1"/>
        <v>11</v>
      </c>
      <c r="B15" s="464">
        <v>678</v>
      </c>
      <c r="C15" s="461">
        <v>4.0416666666666661</v>
      </c>
      <c r="D15" s="460">
        <f t="shared" si="0"/>
        <v>485.00000000000017</v>
      </c>
    </row>
    <row r="16" spans="1:9" x14ac:dyDescent="0.25">
      <c r="A16" s="397">
        <f t="shared" si="1"/>
        <v>12</v>
      </c>
      <c r="B16" s="464">
        <v>7620</v>
      </c>
      <c r="C16" s="461">
        <v>4.020833333333333</v>
      </c>
      <c r="D16" s="460">
        <f t="shared" si="0"/>
        <v>482.50000000000017</v>
      </c>
    </row>
    <row r="17" spans="1:4" x14ac:dyDescent="0.25">
      <c r="A17" s="397">
        <f t="shared" si="1"/>
        <v>13</v>
      </c>
      <c r="B17" s="464">
        <v>7550</v>
      </c>
      <c r="C17" s="461">
        <v>4</v>
      </c>
      <c r="D17" s="460">
        <f t="shared" si="0"/>
        <v>480.00000000000023</v>
      </c>
    </row>
    <row r="18" spans="1:4" x14ac:dyDescent="0.25">
      <c r="A18" s="397">
        <f t="shared" si="1"/>
        <v>14</v>
      </c>
      <c r="B18" s="464">
        <v>7460</v>
      </c>
      <c r="C18" s="461">
        <v>3.9791666666666665</v>
      </c>
      <c r="D18" s="460">
        <f t="shared" si="0"/>
        <v>477.50000000000023</v>
      </c>
    </row>
    <row r="19" spans="1:4" x14ac:dyDescent="0.25">
      <c r="A19" s="397">
        <f t="shared" si="1"/>
        <v>15</v>
      </c>
      <c r="B19" s="464">
        <v>7340</v>
      </c>
      <c r="C19" s="461">
        <v>3.958333333333333</v>
      </c>
      <c r="D19" s="460">
        <f t="shared" si="0"/>
        <v>475.00000000000017</v>
      </c>
    </row>
    <row r="20" spans="1:4" x14ac:dyDescent="0.25">
      <c r="A20" s="397">
        <f t="shared" si="1"/>
        <v>16</v>
      </c>
      <c r="B20" s="464">
        <v>7190</v>
      </c>
      <c r="C20" s="461">
        <v>3.9166666666666665</v>
      </c>
      <c r="D20" s="460">
        <f t="shared" si="0"/>
        <v>470.00000000000023</v>
      </c>
    </row>
    <row r="21" spans="1:4" x14ac:dyDescent="0.25">
      <c r="A21" s="397">
        <f t="shared" si="1"/>
        <v>17</v>
      </c>
      <c r="B21" s="464">
        <v>7010</v>
      </c>
      <c r="C21" s="461">
        <v>3.875</v>
      </c>
      <c r="D21" s="460">
        <f t="shared" si="0"/>
        <v>465.00000000000023</v>
      </c>
    </row>
    <row r="22" spans="1:4" x14ac:dyDescent="0.25">
      <c r="A22" s="397">
        <f t="shared" si="1"/>
        <v>18</v>
      </c>
      <c r="B22" s="464">
        <v>6800</v>
      </c>
      <c r="C22" s="461">
        <v>3.833333333333333</v>
      </c>
      <c r="D22" s="460">
        <f t="shared" si="0"/>
        <v>460.00000000000017</v>
      </c>
    </row>
    <row r="23" spans="1:4" x14ac:dyDescent="0.25">
      <c r="A23" s="397">
        <f t="shared" si="1"/>
        <v>19</v>
      </c>
      <c r="B23" s="464">
        <v>6550</v>
      </c>
      <c r="C23" s="461">
        <v>3.791666666666667</v>
      </c>
      <c r="D23" s="460">
        <f t="shared" si="0"/>
        <v>455.00000000000023</v>
      </c>
    </row>
    <row r="24" spans="1:4" x14ac:dyDescent="0.25">
      <c r="A24" s="397">
        <f t="shared" si="1"/>
        <v>20</v>
      </c>
      <c r="B24" s="464">
        <v>6250</v>
      </c>
      <c r="C24" s="461">
        <v>3.75</v>
      </c>
      <c r="D24" s="460">
        <f t="shared" si="0"/>
        <v>450.00000000000023</v>
      </c>
    </row>
    <row r="25" spans="1:4" x14ac:dyDescent="0.25">
      <c r="A25" s="397">
        <f t="shared" si="1"/>
        <v>21</v>
      </c>
      <c r="B25" s="464">
        <v>5900</v>
      </c>
      <c r="C25" s="461">
        <v>3.5</v>
      </c>
      <c r="D25" s="460">
        <f t="shared" si="0"/>
        <v>420.00000000000023</v>
      </c>
    </row>
    <row r="26" spans="1:4" x14ac:dyDescent="0.25">
      <c r="A26" s="397">
        <f t="shared" si="1"/>
        <v>22</v>
      </c>
      <c r="B26" s="464">
        <v>5500</v>
      </c>
      <c r="C26" s="461">
        <v>3.25</v>
      </c>
      <c r="D26" s="460">
        <f t="shared" si="0"/>
        <v>390.00000000000017</v>
      </c>
    </row>
    <row r="27" spans="1:4" x14ac:dyDescent="0.25">
      <c r="A27" s="397">
        <f t="shared" si="1"/>
        <v>23</v>
      </c>
      <c r="B27" s="464">
        <v>5050</v>
      </c>
      <c r="C27" s="461">
        <v>3</v>
      </c>
      <c r="D27" s="460">
        <f t="shared" si="0"/>
        <v>360.00000000000017</v>
      </c>
    </row>
    <row r="28" spans="1:4" x14ac:dyDescent="0.25">
      <c r="A28" s="397">
        <f t="shared" si="1"/>
        <v>24</v>
      </c>
      <c r="B28" s="464">
        <v>4550</v>
      </c>
      <c r="C28" s="461">
        <v>2.75</v>
      </c>
      <c r="D28" s="460">
        <f t="shared" si="0"/>
        <v>330.00000000000017</v>
      </c>
    </row>
    <row r="29" spans="1:4" x14ac:dyDescent="0.25">
      <c r="A29" s="397">
        <f t="shared" si="1"/>
        <v>25</v>
      </c>
      <c r="B29" s="464">
        <v>4000</v>
      </c>
      <c r="C29" s="461">
        <v>2.5</v>
      </c>
      <c r="D29" s="460">
        <f t="shared" si="0"/>
        <v>300.00000000000011</v>
      </c>
    </row>
    <row r="30" spans="1:4" x14ac:dyDescent="0.25">
      <c r="A30" s="397">
        <f t="shared" si="1"/>
        <v>26</v>
      </c>
      <c r="B30" s="464">
        <v>3400</v>
      </c>
      <c r="C30" s="461">
        <v>2</v>
      </c>
      <c r="D30" s="460">
        <f t="shared" si="0"/>
        <v>240.00000000000011</v>
      </c>
    </row>
    <row r="31" spans="1:4" x14ac:dyDescent="0.25">
      <c r="A31" s="397">
        <f t="shared" si="1"/>
        <v>27</v>
      </c>
      <c r="B31" s="464">
        <v>2700</v>
      </c>
      <c r="C31" s="461">
        <v>1.5</v>
      </c>
      <c r="D31" s="460">
        <f t="shared" si="0"/>
        <v>180.00000000000009</v>
      </c>
    </row>
    <row r="32" spans="1:4" x14ac:dyDescent="0.25">
      <c r="A32" s="397">
        <f t="shared" si="1"/>
        <v>28</v>
      </c>
      <c r="B32" s="464">
        <v>1900</v>
      </c>
      <c r="C32" s="461">
        <v>1</v>
      </c>
      <c r="D32" s="460">
        <f t="shared" si="0"/>
        <v>120.00000000000006</v>
      </c>
    </row>
    <row r="33" spans="1:4" x14ac:dyDescent="0.25">
      <c r="A33" s="397">
        <f t="shared" si="1"/>
        <v>29</v>
      </c>
      <c r="B33" s="464">
        <v>1000</v>
      </c>
      <c r="C33" s="461">
        <v>0.5</v>
      </c>
      <c r="D33" s="460">
        <f t="shared" si="0"/>
        <v>60.000000000000028</v>
      </c>
    </row>
    <row r="34" spans="1:4" x14ac:dyDescent="0.25">
      <c r="A34" s="397">
        <f t="shared" si="1"/>
        <v>30</v>
      </c>
      <c r="B34" s="464">
        <v>0</v>
      </c>
      <c r="C34" s="461">
        <v>0</v>
      </c>
      <c r="D34" s="460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L20"/>
  <sheetViews>
    <sheetView workbookViewId="0">
      <selection activeCell="L15" sqref="L15"/>
    </sheetView>
  </sheetViews>
  <sheetFormatPr defaultColWidth="2.85546875" defaultRowHeight="15" customHeight="1" x14ac:dyDescent="0.25"/>
  <cols>
    <col min="1" max="16384" width="2.85546875" style="1"/>
  </cols>
  <sheetData>
    <row r="1" spans="1:12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</row>
    <row r="2" spans="1:12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</row>
    <row r="3" spans="1:12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</row>
    <row r="4" spans="1:12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2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2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2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2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2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2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2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2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2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2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2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</row>
    <row r="16" spans="1:12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</row>
    <row r="17" spans="1:11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</row>
    <row r="18" spans="1:11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</row>
    <row r="19" spans="1:11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</row>
    <row r="20" spans="1:11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/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Y15"/>
  <sheetViews>
    <sheetView workbookViewId="0">
      <selection activeCell="Y4" sqref="Y4"/>
    </sheetView>
  </sheetViews>
  <sheetFormatPr defaultColWidth="2.85546875" defaultRowHeight="15" x14ac:dyDescent="0.25"/>
  <cols>
    <col min="1" max="16384" width="2.85546875" style="1"/>
  </cols>
  <sheetData>
    <row r="1" spans="1:25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</row>
    <row r="2" spans="1:25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</row>
    <row r="3" spans="1:25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</row>
    <row r="4" spans="1:25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</row>
    <row r="5" spans="1:25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</row>
    <row r="6" spans="1:25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</row>
    <row r="7" spans="1:25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</row>
    <row r="8" spans="1:25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</row>
    <row r="9" spans="1:25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</row>
    <row r="10" spans="1:25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</row>
    <row r="11" spans="1:25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</row>
    <row r="12" spans="1:25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</row>
    <row r="13" spans="1:25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</row>
    <row r="14" spans="1:25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</row>
    <row r="15" spans="1:25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"/>
  <sheetViews>
    <sheetView workbookViewId="0"/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173" workbookViewId="0"/>
  </sheetViews>
  <sheetFormatPr defaultColWidth="9.28515625" defaultRowHeight="15" x14ac:dyDescent="0.25"/>
  <cols>
    <col min="1" max="2" width="9.42578125" style="397" bestFit="1" customWidth="1"/>
    <col min="3" max="3" width="10.140625" style="397" bestFit="1" customWidth="1"/>
    <col min="4" max="16384" width="9.28515625" style="397"/>
  </cols>
  <sheetData>
    <row r="1" spans="1:3" x14ac:dyDescent="0.25">
      <c r="A1" s="398" t="s">
        <v>39</v>
      </c>
      <c r="B1" s="398" t="s">
        <v>175</v>
      </c>
      <c r="C1" s="398" t="s">
        <v>176</v>
      </c>
    </row>
    <row r="2" spans="1:3" x14ac:dyDescent="0.25">
      <c r="A2" s="396">
        <v>1</v>
      </c>
      <c r="B2" s="396">
        <v>120</v>
      </c>
      <c r="C2" s="396">
        <v>0</v>
      </c>
    </row>
    <row r="3" spans="1:3" x14ac:dyDescent="0.25">
      <c r="A3" s="396">
        <v>2</v>
      </c>
      <c r="B3" s="396">
        <v>150</v>
      </c>
      <c r="C3" s="396">
        <v>120</v>
      </c>
    </row>
    <row r="4" spans="1:3" x14ac:dyDescent="0.25">
      <c r="A4" s="396">
        <v>3</v>
      </c>
      <c r="B4" s="396">
        <v>240</v>
      </c>
      <c r="C4" s="396">
        <v>270</v>
      </c>
    </row>
    <row r="5" spans="1:3" x14ac:dyDescent="0.25">
      <c r="A5" s="396">
        <v>4</v>
      </c>
      <c r="B5" s="396">
        <v>270</v>
      </c>
      <c r="C5" s="396">
        <v>510</v>
      </c>
    </row>
    <row r="6" spans="1:3" x14ac:dyDescent="0.25">
      <c r="A6" s="396">
        <v>5</v>
      </c>
      <c r="B6" s="396">
        <v>300</v>
      </c>
      <c r="C6" s="396">
        <v>780</v>
      </c>
    </row>
    <row r="7" spans="1:3" x14ac:dyDescent="0.25">
      <c r="A7" s="396">
        <v>6</v>
      </c>
      <c r="B7" s="396">
        <v>330</v>
      </c>
      <c r="C7" s="396">
        <v>1080</v>
      </c>
    </row>
    <row r="8" spans="1:3" x14ac:dyDescent="0.25">
      <c r="A8" s="396">
        <v>7</v>
      </c>
      <c r="B8" s="396">
        <v>360</v>
      </c>
      <c r="C8" s="396">
        <v>1410</v>
      </c>
    </row>
    <row r="9" spans="1:3" x14ac:dyDescent="0.25">
      <c r="A9" s="396">
        <v>8</v>
      </c>
      <c r="B9" s="396">
        <v>390</v>
      </c>
      <c r="C9" s="396">
        <v>1770</v>
      </c>
    </row>
    <row r="10" spans="1:3" x14ac:dyDescent="0.25">
      <c r="A10" s="396">
        <v>9</v>
      </c>
      <c r="B10" s="396">
        <v>420</v>
      </c>
      <c r="C10" s="396">
        <v>2160</v>
      </c>
    </row>
    <row r="11" spans="1:3" x14ac:dyDescent="0.25">
      <c r="A11" s="396">
        <v>10</v>
      </c>
      <c r="B11" s="396">
        <v>450</v>
      </c>
      <c r="C11" s="396">
        <v>2580</v>
      </c>
    </row>
    <row r="12" spans="1:3" x14ac:dyDescent="0.25">
      <c r="A12" s="396">
        <v>11</v>
      </c>
      <c r="B12" s="396">
        <v>570</v>
      </c>
      <c r="C12" s="396">
        <v>3030</v>
      </c>
    </row>
    <row r="13" spans="1:3" x14ac:dyDescent="0.25">
      <c r="A13" s="396">
        <v>12</v>
      </c>
      <c r="B13" s="396">
        <v>600</v>
      </c>
      <c r="C13" s="396">
        <v>3600</v>
      </c>
    </row>
    <row r="14" spans="1:3" x14ac:dyDescent="0.25">
      <c r="A14" s="396">
        <v>13</v>
      </c>
      <c r="B14" s="396">
        <v>630</v>
      </c>
      <c r="C14" s="396">
        <v>4200</v>
      </c>
    </row>
    <row r="15" spans="1:3" x14ac:dyDescent="0.25">
      <c r="A15" s="396">
        <v>14</v>
      </c>
      <c r="B15" s="396">
        <v>660</v>
      </c>
      <c r="C15" s="396">
        <v>4830</v>
      </c>
    </row>
    <row r="16" spans="1:3" x14ac:dyDescent="0.25">
      <c r="A16" s="396">
        <v>15</v>
      </c>
      <c r="B16" s="396">
        <v>690</v>
      </c>
      <c r="C16" s="396">
        <v>5490</v>
      </c>
    </row>
    <row r="17" spans="1:3" x14ac:dyDescent="0.25">
      <c r="A17" s="396">
        <v>16</v>
      </c>
      <c r="B17" s="396">
        <v>720</v>
      </c>
      <c r="C17" s="396">
        <v>6180</v>
      </c>
    </row>
    <row r="18" spans="1:3" x14ac:dyDescent="0.25">
      <c r="A18" s="396">
        <v>17</v>
      </c>
      <c r="B18" s="396">
        <v>750</v>
      </c>
      <c r="C18" s="396">
        <v>6900</v>
      </c>
    </row>
    <row r="19" spans="1:3" x14ac:dyDescent="0.25">
      <c r="A19" s="396">
        <v>18</v>
      </c>
      <c r="B19" s="396">
        <v>780</v>
      </c>
      <c r="C19" s="396">
        <v>7650</v>
      </c>
    </row>
    <row r="20" spans="1:3" x14ac:dyDescent="0.25">
      <c r="A20" s="396">
        <v>19</v>
      </c>
      <c r="B20" s="396">
        <v>810</v>
      </c>
      <c r="C20" s="396">
        <v>8430</v>
      </c>
    </row>
    <row r="21" spans="1:3" x14ac:dyDescent="0.25">
      <c r="A21" s="396">
        <v>20</v>
      </c>
      <c r="B21" s="396">
        <v>840</v>
      </c>
      <c r="C21" s="396">
        <v>9240</v>
      </c>
    </row>
    <row r="22" spans="1:3" x14ac:dyDescent="0.25">
      <c r="A22" s="396">
        <v>21</v>
      </c>
      <c r="B22" s="396">
        <v>870</v>
      </c>
      <c r="C22" s="396">
        <v>10080</v>
      </c>
    </row>
    <row r="23" spans="1:3" x14ac:dyDescent="0.25">
      <c r="A23" s="396">
        <v>22</v>
      </c>
      <c r="B23" s="396">
        <v>900</v>
      </c>
      <c r="C23" s="396">
        <v>10950</v>
      </c>
    </row>
    <row r="24" spans="1:3" x14ac:dyDescent="0.25">
      <c r="A24" s="396">
        <v>23</v>
      </c>
      <c r="B24" s="396">
        <v>930</v>
      </c>
      <c r="C24" s="396">
        <v>11850</v>
      </c>
    </row>
    <row r="25" spans="1:3" x14ac:dyDescent="0.25">
      <c r="A25" s="396">
        <v>24</v>
      </c>
      <c r="B25" s="396">
        <v>960</v>
      </c>
      <c r="C25" s="396">
        <v>12780</v>
      </c>
    </row>
    <row r="26" spans="1:3" x14ac:dyDescent="0.25">
      <c r="A26" s="396">
        <v>25</v>
      </c>
      <c r="B26" s="396">
        <v>990</v>
      </c>
      <c r="C26" s="396">
        <v>13740</v>
      </c>
    </row>
    <row r="27" spans="1:3" x14ac:dyDescent="0.25">
      <c r="A27" s="396">
        <v>26</v>
      </c>
      <c r="B27" s="396">
        <v>1020</v>
      </c>
      <c r="C27" s="396">
        <v>14730</v>
      </c>
    </row>
    <row r="28" spans="1:3" x14ac:dyDescent="0.25">
      <c r="A28" s="396">
        <v>27</v>
      </c>
      <c r="B28" s="396">
        <v>1050</v>
      </c>
      <c r="C28" s="396">
        <v>15750</v>
      </c>
    </row>
    <row r="29" spans="1:3" x14ac:dyDescent="0.25">
      <c r="A29" s="396">
        <v>28</v>
      </c>
      <c r="B29" s="396">
        <v>1080</v>
      </c>
      <c r="C29" s="396">
        <v>16800</v>
      </c>
    </row>
    <row r="30" spans="1:3" x14ac:dyDescent="0.25">
      <c r="A30" s="396">
        <v>29</v>
      </c>
      <c r="B30" s="396">
        <v>1110</v>
      </c>
      <c r="C30" s="396">
        <v>17880</v>
      </c>
    </row>
    <row r="31" spans="1:3" x14ac:dyDescent="0.25">
      <c r="A31" s="396">
        <v>30</v>
      </c>
      <c r="B31" s="396">
        <v>1140</v>
      </c>
      <c r="C31" s="396">
        <v>18990</v>
      </c>
    </row>
    <row r="32" spans="1:3" x14ac:dyDescent="0.25">
      <c r="A32" s="396">
        <v>31</v>
      </c>
      <c r="B32" s="396">
        <v>1170</v>
      </c>
      <c r="C32" s="396">
        <v>20130</v>
      </c>
    </row>
    <row r="33" spans="1:3" x14ac:dyDescent="0.25">
      <c r="A33" s="396">
        <v>32</v>
      </c>
      <c r="B33" s="396">
        <v>1200</v>
      </c>
      <c r="C33" s="396">
        <v>21300</v>
      </c>
    </row>
    <row r="34" spans="1:3" x14ac:dyDescent="0.25">
      <c r="A34" s="396">
        <v>33</v>
      </c>
      <c r="B34" s="396">
        <v>1230</v>
      </c>
      <c r="C34" s="396">
        <v>22500</v>
      </c>
    </row>
    <row r="35" spans="1:3" x14ac:dyDescent="0.25">
      <c r="A35" s="396">
        <v>34</v>
      </c>
      <c r="B35" s="396">
        <v>1260</v>
      </c>
      <c r="C35" s="396">
        <v>23730</v>
      </c>
    </row>
    <row r="36" spans="1:3" x14ac:dyDescent="0.25">
      <c r="A36" s="396">
        <v>35</v>
      </c>
      <c r="B36" s="396">
        <v>1290</v>
      </c>
      <c r="C36" s="396">
        <v>24990</v>
      </c>
    </row>
    <row r="37" spans="1:3" x14ac:dyDescent="0.25">
      <c r="A37" s="396">
        <v>36</v>
      </c>
      <c r="B37" s="396">
        <v>1320</v>
      </c>
      <c r="C37" s="396">
        <v>26280</v>
      </c>
    </row>
    <row r="38" spans="1:3" x14ac:dyDescent="0.25">
      <c r="A38" s="396">
        <v>37</v>
      </c>
      <c r="B38" s="396">
        <v>1350</v>
      </c>
      <c r="C38" s="396">
        <v>27600</v>
      </c>
    </row>
    <row r="39" spans="1:3" x14ac:dyDescent="0.25">
      <c r="A39" s="396">
        <v>38</v>
      </c>
      <c r="B39" s="396">
        <v>1380</v>
      </c>
      <c r="C39" s="396">
        <v>28950</v>
      </c>
    </row>
    <row r="40" spans="1:3" x14ac:dyDescent="0.25">
      <c r="A40" s="396">
        <v>39</v>
      </c>
      <c r="B40" s="396">
        <v>1410</v>
      </c>
      <c r="C40" s="396">
        <v>30330</v>
      </c>
    </row>
    <row r="41" spans="1:3" x14ac:dyDescent="0.25">
      <c r="A41" s="396">
        <v>40</v>
      </c>
      <c r="B41" s="396">
        <v>1440</v>
      </c>
      <c r="C41" s="396">
        <v>31740</v>
      </c>
    </row>
    <row r="42" spans="1:3" x14ac:dyDescent="0.25">
      <c r="A42" s="396">
        <v>41</v>
      </c>
      <c r="B42" s="396">
        <v>1470</v>
      </c>
      <c r="C42" s="396">
        <v>33180</v>
      </c>
    </row>
    <row r="43" spans="1:3" x14ac:dyDescent="0.25">
      <c r="A43" s="396">
        <v>42</v>
      </c>
      <c r="B43" s="396">
        <v>1500</v>
      </c>
      <c r="C43" s="396">
        <v>34650</v>
      </c>
    </row>
    <row r="44" spans="1:3" x14ac:dyDescent="0.25">
      <c r="A44" s="396">
        <v>43</v>
      </c>
      <c r="B44" s="396">
        <v>1530</v>
      </c>
      <c r="C44" s="396">
        <v>36150</v>
      </c>
    </row>
    <row r="45" spans="1:3" x14ac:dyDescent="0.25">
      <c r="A45" s="396">
        <v>44</v>
      </c>
      <c r="B45" s="396">
        <v>1560</v>
      </c>
      <c r="C45" s="396">
        <v>37680</v>
      </c>
    </row>
    <row r="46" spans="1:3" x14ac:dyDescent="0.25">
      <c r="A46" s="396">
        <v>45</v>
      </c>
      <c r="B46" s="396">
        <v>1590</v>
      </c>
      <c r="C46" s="396">
        <v>39240</v>
      </c>
    </row>
    <row r="47" spans="1:3" x14ac:dyDescent="0.25">
      <c r="A47" s="396">
        <v>46</v>
      </c>
      <c r="B47" s="396">
        <v>1620</v>
      </c>
      <c r="C47" s="396">
        <v>40830</v>
      </c>
    </row>
    <row r="48" spans="1:3" x14ac:dyDescent="0.25">
      <c r="A48" s="396">
        <v>47</v>
      </c>
      <c r="B48" s="396">
        <v>1650</v>
      </c>
      <c r="C48" s="396">
        <v>42450</v>
      </c>
    </row>
    <row r="49" spans="1:3" x14ac:dyDescent="0.25">
      <c r="A49" s="396">
        <v>48</v>
      </c>
      <c r="B49" s="396">
        <v>1680</v>
      </c>
      <c r="C49" s="396">
        <v>44100</v>
      </c>
    </row>
    <row r="50" spans="1:3" x14ac:dyDescent="0.25">
      <c r="A50" s="396">
        <v>49</v>
      </c>
      <c r="B50" s="396">
        <v>1710</v>
      </c>
      <c r="C50" s="396">
        <v>45780</v>
      </c>
    </row>
    <row r="51" spans="1:3" x14ac:dyDescent="0.25">
      <c r="A51" s="396">
        <v>50</v>
      </c>
      <c r="B51" s="396">
        <v>1800</v>
      </c>
      <c r="C51" s="396">
        <v>47490</v>
      </c>
    </row>
    <row r="52" spans="1:3" x14ac:dyDescent="0.25">
      <c r="A52" s="396">
        <v>51</v>
      </c>
      <c r="B52" s="396">
        <v>1900</v>
      </c>
      <c r="C52" s="396">
        <v>49290</v>
      </c>
    </row>
    <row r="53" spans="1:3" x14ac:dyDescent="0.25">
      <c r="A53" s="396">
        <v>52</v>
      </c>
      <c r="B53" s="396">
        <v>2000</v>
      </c>
      <c r="C53" s="396">
        <v>51190</v>
      </c>
    </row>
    <row r="54" spans="1:3" x14ac:dyDescent="0.25">
      <c r="A54" s="396">
        <v>53</v>
      </c>
      <c r="B54" s="396">
        <v>2100</v>
      </c>
      <c r="C54" s="396">
        <v>53190</v>
      </c>
    </row>
    <row r="55" spans="1:3" x14ac:dyDescent="0.25">
      <c r="A55" s="396">
        <v>54</v>
      </c>
      <c r="B55" s="396">
        <v>2200</v>
      </c>
      <c r="C55" s="396">
        <v>55290</v>
      </c>
    </row>
    <row r="56" spans="1:3" x14ac:dyDescent="0.25">
      <c r="A56" s="396">
        <v>55</v>
      </c>
      <c r="B56" s="396">
        <v>2300</v>
      </c>
      <c r="C56" s="396">
        <v>57490</v>
      </c>
    </row>
    <row r="57" spans="1:3" x14ac:dyDescent="0.25">
      <c r="A57" s="396">
        <v>56</v>
      </c>
      <c r="B57" s="396">
        <v>2400</v>
      </c>
      <c r="C57" s="396">
        <v>59790</v>
      </c>
    </row>
    <row r="58" spans="1:3" x14ac:dyDescent="0.25">
      <c r="A58" s="396">
        <v>57</v>
      </c>
      <c r="B58" s="396">
        <v>2500</v>
      </c>
      <c r="C58" s="396">
        <v>62190</v>
      </c>
    </row>
    <row r="59" spans="1:3" x14ac:dyDescent="0.25">
      <c r="A59" s="396">
        <v>58</v>
      </c>
      <c r="B59" s="396">
        <v>2600</v>
      </c>
      <c r="C59" s="396">
        <v>64690</v>
      </c>
    </row>
    <row r="60" spans="1:3" x14ac:dyDescent="0.25">
      <c r="A60" s="396">
        <v>59</v>
      </c>
      <c r="B60" s="396">
        <v>2700</v>
      </c>
      <c r="C60" s="396">
        <v>67290</v>
      </c>
    </row>
    <row r="61" spans="1:3" x14ac:dyDescent="0.25">
      <c r="A61" s="396">
        <v>60</v>
      </c>
      <c r="B61" s="396">
        <v>2800</v>
      </c>
      <c r="C61" s="396">
        <v>69990</v>
      </c>
    </row>
    <row r="62" spans="1:3" x14ac:dyDescent="0.25">
      <c r="A62" s="396">
        <v>61</v>
      </c>
      <c r="B62" s="396">
        <v>3000</v>
      </c>
      <c r="C62" s="396">
        <v>72790</v>
      </c>
    </row>
    <row r="63" spans="1:3" x14ac:dyDescent="0.25">
      <c r="A63" s="396">
        <v>62</v>
      </c>
      <c r="B63" s="396">
        <v>3200</v>
      </c>
      <c r="C63" s="396">
        <v>75790</v>
      </c>
    </row>
    <row r="64" spans="1:3" x14ac:dyDescent="0.25">
      <c r="A64" s="396">
        <v>63</v>
      </c>
      <c r="B64" s="396">
        <v>3400</v>
      </c>
      <c r="C64" s="396">
        <v>78990</v>
      </c>
    </row>
    <row r="65" spans="1:3" x14ac:dyDescent="0.25">
      <c r="A65" s="396">
        <v>64</v>
      </c>
      <c r="B65" s="396">
        <v>3600</v>
      </c>
      <c r="C65" s="396">
        <v>82390</v>
      </c>
    </row>
    <row r="66" spans="1:3" x14ac:dyDescent="0.25">
      <c r="A66" s="396">
        <v>65</v>
      </c>
      <c r="B66" s="396">
        <v>3800</v>
      </c>
      <c r="C66" s="396">
        <v>85990</v>
      </c>
    </row>
    <row r="67" spans="1:3" x14ac:dyDescent="0.25">
      <c r="A67" s="396">
        <v>66</v>
      </c>
      <c r="B67" s="396">
        <v>4000</v>
      </c>
      <c r="C67" s="396">
        <v>89790</v>
      </c>
    </row>
    <row r="68" spans="1:3" x14ac:dyDescent="0.25">
      <c r="A68" s="396">
        <v>67</v>
      </c>
      <c r="B68" s="396">
        <v>4200</v>
      </c>
      <c r="C68" s="396">
        <v>93790</v>
      </c>
    </row>
    <row r="69" spans="1:3" x14ac:dyDescent="0.25">
      <c r="A69" s="396">
        <v>68</v>
      </c>
      <c r="B69" s="396">
        <v>4400</v>
      </c>
      <c r="C69" s="396">
        <v>97990</v>
      </c>
    </row>
    <row r="70" spans="1:3" x14ac:dyDescent="0.25">
      <c r="A70" s="396">
        <v>69</v>
      </c>
      <c r="B70" s="396">
        <v>4600</v>
      </c>
      <c r="C70" s="396">
        <v>102390</v>
      </c>
    </row>
    <row r="71" spans="1:3" x14ac:dyDescent="0.25">
      <c r="A71" s="396">
        <v>70</v>
      </c>
      <c r="B71" s="396">
        <v>4800</v>
      </c>
      <c r="C71" s="396">
        <v>106990</v>
      </c>
    </row>
    <row r="72" spans="1:3" x14ac:dyDescent="0.25">
      <c r="A72" s="396">
        <v>71</v>
      </c>
      <c r="B72" s="396">
        <v>5100</v>
      </c>
      <c r="C72" s="396">
        <v>111790</v>
      </c>
    </row>
    <row r="73" spans="1:3" x14ac:dyDescent="0.25">
      <c r="A73" s="396">
        <v>72</v>
      </c>
      <c r="B73" s="396">
        <v>5400</v>
      </c>
      <c r="C73" s="396">
        <v>116890</v>
      </c>
    </row>
    <row r="74" spans="1:3" x14ac:dyDescent="0.25">
      <c r="A74" s="396">
        <v>73</v>
      </c>
      <c r="B74" s="396">
        <v>5700</v>
      </c>
      <c r="C74" s="396">
        <v>122290</v>
      </c>
    </row>
    <row r="75" spans="1:3" x14ac:dyDescent="0.25">
      <c r="A75" s="396">
        <v>74</v>
      </c>
      <c r="B75" s="396">
        <v>6000</v>
      </c>
      <c r="C75" s="396">
        <v>127990</v>
      </c>
    </row>
    <row r="76" spans="1:3" x14ac:dyDescent="0.25">
      <c r="A76" s="396">
        <v>75</v>
      </c>
      <c r="B76" s="396">
        <v>6300</v>
      </c>
      <c r="C76" s="396">
        <v>133990</v>
      </c>
    </row>
    <row r="77" spans="1:3" x14ac:dyDescent="0.25">
      <c r="A77" s="396">
        <v>76</v>
      </c>
      <c r="B77" s="396">
        <v>6600</v>
      </c>
      <c r="C77" s="396">
        <v>140290</v>
      </c>
    </row>
    <row r="78" spans="1:3" x14ac:dyDescent="0.25">
      <c r="A78" s="396">
        <v>77</v>
      </c>
      <c r="B78" s="396">
        <v>6900</v>
      </c>
      <c r="C78" s="396">
        <v>146890</v>
      </c>
    </row>
    <row r="79" spans="1:3" x14ac:dyDescent="0.25">
      <c r="A79" s="396">
        <v>78</v>
      </c>
      <c r="B79" s="396">
        <v>7200</v>
      </c>
      <c r="C79" s="396">
        <v>153790</v>
      </c>
    </row>
    <row r="80" spans="1:3" x14ac:dyDescent="0.25">
      <c r="A80" s="396">
        <v>79</v>
      </c>
      <c r="B80" s="396">
        <v>7500</v>
      </c>
      <c r="C80" s="396">
        <v>160990</v>
      </c>
    </row>
    <row r="81" spans="1:3" x14ac:dyDescent="0.25">
      <c r="A81" s="396">
        <v>80</v>
      </c>
      <c r="B81" s="396">
        <v>8000</v>
      </c>
      <c r="C81" s="396">
        <v>168490</v>
      </c>
    </row>
    <row r="82" spans="1:3" x14ac:dyDescent="0.25">
      <c r="A82" s="396">
        <v>81</v>
      </c>
      <c r="B82" s="396">
        <v>8500</v>
      </c>
      <c r="C82" s="396">
        <v>176490</v>
      </c>
    </row>
    <row r="83" spans="1:3" x14ac:dyDescent="0.25">
      <c r="A83" s="396">
        <v>82</v>
      </c>
      <c r="B83" s="396">
        <v>9000</v>
      </c>
      <c r="C83" s="396">
        <v>184990</v>
      </c>
    </row>
    <row r="84" spans="1:3" x14ac:dyDescent="0.25">
      <c r="A84" s="396">
        <v>83</v>
      </c>
      <c r="B84" s="396">
        <v>9500</v>
      </c>
      <c r="C84" s="396">
        <v>193990</v>
      </c>
    </row>
    <row r="85" spans="1:3" x14ac:dyDescent="0.25">
      <c r="A85" s="396">
        <v>84</v>
      </c>
      <c r="B85" s="396">
        <v>10000</v>
      </c>
      <c r="C85" s="396">
        <v>203490</v>
      </c>
    </row>
    <row r="86" spans="1:3" x14ac:dyDescent="0.25">
      <c r="A86" s="396">
        <v>85</v>
      </c>
      <c r="B86" s="396">
        <v>10500</v>
      </c>
      <c r="C86" s="396">
        <v>213490</v>
      </c>
    </row>
    <row r="87" spans="1:3" x14ac:dyDescent="0.25">
      <c r="A87" s="396">
        <v>86</v>
      </c>
      <c r="B87" s="396">
        <v>11000</v>
      </c>
      <c r="C87" s="396">
        <v>223990</v>
      </c>
    </row>
    <row r="88" spans="1:3" x14ac:dyDescent="0.25">
      <c r="A88" s="396">
        <v>87</v>
      </c>
      <c r="B88" s="396">
        <v>11500</v>
      </c>
      <c r="C88" s="396">
        <v>234990</v>
      </c>
    </row>
    <row r="89" spans="1:3" x14ac:dyDescent="0.25">
      <c r="A89" s="396">
        <v>88</v>
      </c>
      <c r="B89" s="396">
        <v>12000</v>
      </c>
      <c r="C89" s="396">
        <v>246490</v>
      </c>
    </row>
    <row r="90" spans="1:3" x14ac:dyDescent="0.25">
      <c r="A90" s="396">
        <v>89</v>
      </c>
      <c r="B90" s="396">
        <v>12500</v>
      </c>
      <c r="C90" s="396">
        <v>258490</v>
      </c>
    </row>
    <row r="91" spans="1:3" x14ac:dyDescent="0.25">
      <c r="A91" s="396">
        <v>90</v>
      </c>
      <c r="B91" s="396">
        <v>13000</v>
      </c>
      <c r="C91" s="396">
        <v>270990</v>
      </c>
    </row>
    <row r="92" spans="1:3" x14ac:dyDescent="0.25">
      <c r="A92" s="396">
        <v>91</v>
      </c>
      <c r="B92" s="396">
        <v>13500</v>
      </c>
      <c r="C92" s="396">
        <v>283990</v>
      </c>
    </row>
    <row r="93" spans="1:3" x14ac:dyDescent="0.25">
      <c r="A93" s="396">
        <v>92</v>
      </c>
      <c r="B93" s="396">
        <v>14000</v>
      </c>
      <c r="C93" s="396">
        <v>297490</v>
      </c>
    </row>
    <row r="94" spans="1:3" x14ac:dyDescent="0.25">
      <c r="A94" s="396">
        <v>93</v>
      </c>
      <c r="B94" s="396">
        <v>14500</v>
      </c>
      <c r="C94" s="396">
        <v>311490</v>
      </c>
    </row>
    <row r="95" spans="1:3" x14ac:dyDescent="0.25">
      <c r="A95" s="396">
        <v>94</v>
      </c>
      <c r="B95" s="396">
        <v>15000</v>
      </c>
      <c r="C95" s="396">
        <v>325990</v>
      </c>
    </row>
    <row r="96" spans="1:3" x14ac:dyDescent="0.25">
      <c r="A96" s="396">
        <v>95</v>
      </c>
      <c r="B96" s="396">
        <v>15500</v>
      </c>
      <c r="C96" s="396">
        <v>340990</v>
      </c>
    </row>
    <row r="97" spans="1:3" x14ac:dyDescent="0.25">
      <c r="A97" s="396">
        <v>96</v>
      </c>
      <c r="B97" s="396">
        <v>16000</v>
      </c>
      <c r="C97" s="396">
        <v>356490</v>
      </c>
    </row>
    <row r="98" spans="1:3" x14ac:dyDescent="0.25">
      <c r="A98" s="396">
        <v>97</v>
      </c>
      <c r="B98" s="396">
        <v>16500</v>
      </c>
      <c r="C98" s="396">
        <v>372490</v>
      </c>
    </row>
    <row r="99" spans="1:3" x14ac:dyDescent="0.25">
      <c r="A99" s="396">
        <v>98</v>
      </c>
      <c r="B99" s="396">
        <v>17000</v>
      </c>
      <c r="C99" s="396">
        <v>388990</v>
      </c>
    </row>
    <row r="100" spans="1:3" x14ac:dyDescent="0.25">
      <c r="A100" s="396">
        <v>99</v>
      </c>
      <c r="B100" s="396">
        <v>17500</v>
      </c>
      <c r="C100" s="396">
        <v>405990</v>
      </c>
    </row>
    <row r="101" spans="1:3" x14ac:dyDescent="0.25">
      <c r="A101" s="396">
        <v>100</v>
      </c>
      <c r="B101" s="396">
        <v>18000</v>
      </c>
      <c r="C101" s="396">
        <v>423490</v>
      </c>
    </row>
    <row r="102" spans="1:3" x14ac:dyDescent="0.25">
      <c r="A102" s="396">
        <v>101</v>
      </c>
      <c r="B102" s="396">
        <v>19000</v>
      </c>
      <c r="C102" s="396">
        <v>441490</v>
      </c>
    </row>
    <row r="103" spans="1:3" x14ac:dyDescent="0.25">
      <c r="A103" s="396">
        <v>102</v>
      </c>
      <c r="B103" s="396">
        <v>20000</v>
      </c>
      <c r="C103" s="396">
        <v>460490</v>
      </c>
    </row>
    <row r="104" spans="1:3" x14ac:dyDescent="0.25">
      <c r="A104" s="396">
        <v>103</v>
      </c>
      <c r="B104" s="396">
        <v>21000</v>
      </c>
      <c r="C104" s="396">
        <v>480490</v>
      </c>
    </row>
    <row r="105" spans="1:3" x14ac:dyDescent="0.25">
      <c r="A105" s="396">
        <v>104</v>
      </c>
      <c r="B105" s="396">
        <v>22000</v>
      </c>
      <c r="C105" s="396">
        <v>501490</v>
      </c>
    </row>
    <row r="106" spans="1:3" x14ac:dyDescent="0.25">
      <c r="A106" s="396">
        <v>105</v>
      </c>
      <c r="B106" s="396">
        <v>23000</v>
      </c>
      <c r="C106" s="396">
        <v>523490</v>
      </c>
    </row>
    <row r="107" spans="1:3" x14ac:dyDescent="0.25">
      <c r="A107" s="396">
        <v>106</v>
      </c>
      <c r="B107" s="396">
        <v>24000</v>
      </c>
      <c r="C107" s="396">
        <v>546490</v>
      </c>
    </row>
    <row r="108" spans="1:3" x14ac:dyDescent="0.25">
      <c r="A108" s="396">
        <v>107</v>
      </c>
      <c r="B108" s="396">
        <v>25000</v>
      </c>
      <c r="C108" s="396">
        <v>570490</v>
      </c>
    </row>
    <row r="109" spans="1:3" x14ac:dyDescent="0.25">
      <c r="A109" s="396">
        <v>108</v>
      </c>
      <c r="B109" s="396">
        <v>26000</v>
      </c>
      <c r="C109" s="396">
        <v>595490</v>
      </c>
    </row>
    <row r="110" spans="1:3" x14ac:dyDescent="0.25">
      <c r="A110" s="396">
        <v>109</v>
      </c>
      <c r="B110" s="396">
        <v>27000</v>
      </c>
      <c r="C110" s="396">
        <v>621490</v>
      </c>
    </row>
    <row r="111" spans="1:3" x14ac:dyDescent="0.25">
      <c r="A111" s="396">
        <v>110</v>
      </c>
      <c r="B111" s="396">
        <v>28000</v>
      </c>
      <c r="C111" s="396">
        <v>648490</v>
      </c>
    </row>
    <row r="112" spans="1:3" x14ac:dyDescent="0.25">
      <c r="A112" s="396">
        <v>111</v>
      </c>
      <c r="B112" s="396">
        <v>29000</v>
      </c>
      <c r="C112" s="396">
        <v>676490</v>
      </c>
    </row>
    <row r="113" spans="1:3" x14ac:dyDescent="0.25">
      <c r="A113" s="396">
        <v>112</v>
      </c>
      <c r="B113" s="396">
        <v>30000</v>
      </c>
      <c r="C113" s="396">
        <v>705490</v>
      </c>
    </row>
    <row r="114" spans="1:3" x14ac:dyDescent="0.25">
      <c r="A114" s="396">
        <v>113</v>
      </c>
      <c r="B114" s="396">
        <v>31000</v>
      </c>
      <c r="C114" s="396">
        <v>735490</v>
      </c>
    </row>
    <row r="115" spans="1:3" x14ac:dyDescent="0.25">
      <c r="A115" s="396">
        <v>114</v>
      </c>
      <c r="B115" s="396">
        <v>32000</v>
      </c>
      <c r="C115" s="396">
        <v>766490</v>
      </c>
    </row>
    <row r="116" spans="1:3" x14ac:dyDescent="0.25">
      <c r="A116" s="396">
        <v>115</v>
      </c>
      <c r="B116" s="396">
        <v>33000</v>
      </c>
      <c r="C116" s="396">
        <v>798490</v>
      </c>
    </row>
    <row r="117" spans="1:3" x14ac:dyDescent="0.25">
      <c r="A117" s="396">
        <v>116</v>
      </c>
      <c r="B117" s="396">
        <v>34000</v>
      </c>
      <c r="C117" s="396">
        <v>831490</v>
      </c>
    </row>
    <row r="118" spans="1:3" x14ac:dyDescent="0.25">
      <c r="A118" s="396">
        <v>117</v>
      </c>
      <c r="B118" s="396">
        <v>35000</v>
      </c>
      <c r="C118" s="396">
        <v>865490</v>
      </c>
    </row>
    <row r="119" spans="1:3" x14ac:dyDescent="0.25">
      <c r="A119" s="396">
        <v>118</v>
      </c>
      <c r="B119" s="396">
        <v>36000</v>
      </c>
      <c r="C119" s="396">
        <v>900490</v>
      </c>
    </row>
    <row r="120" spans="1:3" x14ac:dyDescent="0.25">
      <c r="A120" s="396">
        <v>119</v>
      </c>
      <c r="B120" s="396">
        <v>37000</v>
      </c>
      <c r="C120" s="396">
        <v>936490</v>
      </c>
    </row>
    <row r="121" spans="1:3" x14ac:dyDescent="0.25">
      <c r="A121" s="396">
        <v>120</v>
      </c>
      <c r="B121" s="396">
        <v>39000</v>
      </c>
      <c r="C121" s="396">
        <v>973490</v>
      </c>
    </row>
    <row r="122" spans="1:3" x14ac:dyDescent="0.25">
      <c r="A122" s="396">
        <v>121</v>
      </c>
      <c r="B122" s="396">
        <v>41000</v>
      </c>
      <c r="C122" s="396">
        <v>1012490</v>
      </c>
    </row>
    <row r="123" spans="1:3" x14ac:dyDescent="0.25">
      <c r="A123" s="396">
        <v>122</v>
      </c>
      <c r="B123" s="396">
        <v>43000</v>
      </c>
      <c r="C123" s="396">
        <v>1053490</v>
      </c>
    </row>
    <row r="124" spans="1:3" x14ac:dyDescent="0.25">
      <c r="A124" s="396">
        <v>123</v>
      </c>
      <c r="B124" s="396">
        <v>45000</v>
      </c>
      <c r="C124" s="396">
        <v>1096490</v>
      </c>
    </row>
    <row r="125" spans="1:3" x14ac:dyDescent="0.25">
      <c r="A125" s="396">
        <v>124</v>
      </c>
      <c r="B125" s="396">
        <v>47000</v>
      </c>
      <c r="C125" s="396">
        <v>1141490</v>
      </c>
    </row>
    <row r="126" spans="1:3" x14ac:dyDescent="0.25">
      <c r="A126" s="396">
        <v>125</v>
      </c>
      <c r="B126" s="396">
        <v>49000</v>
      </c>
      <c r="C126" s="396">
        <v>1188490</v>
      </c>
    </row>
    <row r="127" spans="1:3" x14ac:dyDescent="0.25">
      <c r="A127" s="396">
        <v>126</v>
      </c>
      <c r="B127" s="396">
        <v>51000</v>
      </c>
      <c r="C127" s="396">
        <v>1237490</v>
      </c>
    </row>
    <row r="128" spans="1:3" x14ac:dyDescent="0.25">
      <c r="A128" s="396">
        <v>127</v>
      </c>
      <c r="B128" s="396">
        <v>53000</v>
      </c>
      <c r="C128" s="396">
        <v>1288490</v>
      </c>
    </row>
    <row r="129" spans="1:3" x14ac:dyDescent="0.25">
      <c r="A129" s="396">
        <v>128</v>
      </c>
      <c r="B129" s="396">
        <v>55000</v>
      </c>
      <c r="C129" s="396">
        <v>1341490</v>
      </c>
    </row>
    <row r="130" spans="1:3" x14ac:dyDescent="0.25">
      <c r="A130" s="396">
        <v>129</v>
      </c>
      <c r="B130" s="396">
        <v>57000</v>
      </c>
      <c r="C130" s="396">
        <v>1396490</v>
      </c>
    </row>
    <row r="131" spans="1:3" x14ac:dyDescent="0.25">
      <c r="A131" s="396">
        <v>130</v>
      </c>
      <c r="B131" s="396">
        <v>59000</v>
      </c>
      <c r="C131" s="396">
        <v>1453490</v>
      </c>
    </row>
    <row r="132" spans="1:3" x14ac:dyDescent="0.25">
      <c r="A132" s="396">
        <v>131</v>
      </c>
      <c r="B132" s="396">
        <v>61000</v>
      </c>
      <c r="C132" s="396">
        <v>1512490</v>
      </c>
    </row>
    <row r="133" spans="1:3" x14ac:dyDescent="0.25">
      <c r="A133" s="396">
        <v>132</v>
      </c>
      <c r="B133" s="396">
        <v>63000</v>
      </c>
      <c r="C133" s="396">
        <v>1573490</v>
      </c>
    </row>
    <row r="134" spans="1:3" x14ac:dyDescent="0.25">
      <c r="A134" s="396">
        <v>133</v>
      </c>
      <c r="B134" s="396">
        <v>65000</v>
      </c>
      <c r="C134" s="396">
        <v>1636490</v>
      </c>
    </row>
    <row r="135" spans="1:3" x14ac:dyDescent="0.25">
      <c r="A135" s="396">
        <v>134</v>
      </c>
      <c r="B135" s="396">
        <v>67000</v>
      </c>
      <c r="C135" s="396">
        <v>1701490</v>
      </c>
    </row>
    <row r="136" spans="1:3" x14ac:dyDescent="0.25">
      <c r="A136" s="396">
        <v>135</v>
      </c>
      <c r="B136" s="396">
        <v>69000</v>
      </c>
      <c r="C136" s="396">
        <v>1768490</v>
      </c>
    </row>
    <row r="137" spans="1:3" x14ac:dyDescent="0.25">
      <c r="A137" s="396">
        <v>136</v>
      </c>
      <c r="B137" s="396">
        <v>71000</v>
      </c>
      <c r="C137" s="396">
        <v>1837490</v>
      </c>
    </row>
    <row r="138" spans="1:3" x14ac:dyDescent="0.25">
      <c r="A138" s="396">
        <v>137</v>
      </c>
      <c r="B138" s="396">
        <v>73000</v>
      </c>
      <c r="C138" s="396">
        <v>1908490</v>
      </c>
    </row>
    <row r="139" spans="1:3" x14ac:dyDescent="0.25">
      <c r="A139" s="396">
        <v>138</v>
      </c>
      <c r="B139" s="396">
        <v>75000</v>
      </c>
      <c r="C139" s="396">
        <v>1981490</v>
      </c>
    </row>
    <row r="140" spans="1:3" x14ac:dyDescent="0.25">
      <c r="A140" s="396">
        <v>139</v>
      </c>
      <c r="B140" s="396">
        <v>77000</v>
      </c>
      <c r="C140" s="396">
        <v>2056490</v>
      </c>
    </row>
    <row r="141" spans="1:3" x14ac:dyDescent="0.25">
      <c r="A141" s="396">
        <v>140</v>
      </c>
      <c r="B141" s="396">
        <v>79000</v>
      </c>
      <c r="C141" s="396">
        <v>2133490</v>
      </c>
    </row>
    <row r="142" spans="1:3" x14ac:dyDescent="0.25">
      <c r="A142" s="396">
        <v>141</v>
      </c>
      <c r="B142" s="396">
        <v>81000</v>
      </c>
      <c r="C142" s="396">
        <v>2212490</v>
      </c>
    </row>
    <row r="143" spans="1:3" x14ac:dyDescent="0.25">
      <c r="A143" s="396">
        <v>142</v>
      </c>
      <c r="B143" s="396">
        <v>83000</v>
      </c>
      <c r="C143" s="396">
        <v>2293490</v>
      </c>
    </row>
    <row r="144" spans="1:3" x14ac:dyDescent="0.25">
      <c r="A144" s="396">
        <v>143</v>
      </c>
      <c r="B144" s="396">
        <v>85000</v>
      </c>
      <c r="C144" s="396">
        <v>2376490</v>
      </c>
    </row>
    <row r="145" spans="1:3" x14ac:dyDescent="0.25">
      <c r="A145" s="396">
        <v>144</v>
      </c>
      <c r="B145" s="396">
        <v>87000</v>
      </c>
      <c r="C145" s="396">
        <v>2461490</v>
      </c>
    </row>
    <row r="146" spans="1:3" x14ac:dyDescent="0.25">
      <c r="A146" s="396">
        <v>145</v>
      </c>
      <c r="B146" s="396">
        <v>89000</v>
      </c>
      <c r="C146" s="396">
        <v>2548490</v>
      </c>
    </row>
    <row r="147" spans="1:3" x14ac:dyDescent="0.25">
      <c r="A147" s="396">
        <v>146</v>
      </c>
      <c r="B147" s="396">
        <v>91000</v>
      </c>
      <c r="C147" s="396">
        <v>2637490</v>
      </c>
    </row>
    <row r="148" spans="1:3" x14ac:dyDescent="0.25">
      <c r="A148" s="396">
        <v>147</v>
      </c>
      <c r="B148" s="396">
        <v>93000</v>
      </c>
      <c r="C148" s="396">
        <v>2728490</v>
      </c>
    </row>
    <row r="149" spans="1:3" x14ac:dyDescent="0.25">
      <c r="A149" s="396">
        <v>148</v>
      </c>
      <c r="B149" s="396">
        <v>95000</v>
      </c>
      <c r="C149" s="396">
        <v>2821490</v>
      </c>
    </row>
    <row r="150" spans="1:3" x14ac:dyDescent="0.25">
      <c r="A150" s="396">
        <v>149</v>
      </c>
      <c r="B150" s="396">
        <v>97000</v>
      </c>
      <c r="C150" s="396">
        <v>2916490</v>
      </c>
    </row>
    <row r="151" spans="1:3" x14ac:dyDescent="0.25">
      <c r="A151" s="396">
        <v>150</v>
      </c>
      <c r="B151" s="396">
        <v>99000</v>
      </c>
      <c r="C151" s="396">
        <v>3013490</v>
      </c>
    </row>
    <row r="152" spans="1:3" x14ac:dyDescent="0.25">
      <c r="A152" s="396">
        <v>151</v>
      </c>
      <c r="B152" s="396">
        <v>101000</v>
      </c>
      <c r="C152" s="396">
        <v>3112490</v>
      </c>
    </row>
    <row r="153" spans="1:3" x14ac:dyDescent="0.25">
      <c r="A153" s="396">
        <v>152</v>
      </c>
      <c r="B153" s="396">
        <v>103000</v>
      </c>
      <c r="C153" s="396">
        <v>3213490</v>
      </c>
    </row>
    <row r="154" spans="1:3" x14ac:dyDescent="0.25">
      <c r="A154" s="396">
        <v>153</v>
      </c>
      <c r="B154" s="396">
        <v>105000</v>
      </c>
      <c r="C154" s="396">
        <v>3316490</v>
      </c>
    </row>
    <row r="155" spans="1:3" x14ac:dyDescent="0.25">
      <c r="A155" s="396">
        <v>154</v>
      </c>
      <c r="B155" s="396">
        <v>107000</v>
      </c>
      <c r="C155" s="396">
        <v>3421490</v>
      </c>
    </row>
    <row r="156" spans="1:3" x14ac:dyDescent="0.25">
      <c r="A156" s="396">
        <v>155</v>
      </c>
      <c r="B156" s="396">
        <v>109000</v>
      </c>
      <c r="C156" s="396">
        <v>3528490</v>
      </c>
    </row>
    <row r="157" spans="1:3" x14ac:dyDescent="0.25">
      <c r="A157" s="396">
        <v>156</v>
      </c>
      <c r="B157" s="396">
        <v>111000</v>
      </c>
      <c r="C157" s="396">
        <v>3637490</v>
      </c>
    </row>
    <row r="158" spans="1:3" x14ac:dyDescent="0.25">
      <c r="A158" s="396">
        <v>157</v>
      </c>
      <c r="B158" s="396">
        <v>113000</v>
      </c>
      <c r="C158" s="396">
        <v>3748490</v>
      </c>
    </row>
    <row r="159" spans="1:3" x14ac:dyDescent="0.25">
      <c r="A159" s="396">
        <v>158</v>
      </c>
      <c r="B159" s="396">
        <v>115000</v>
      </c>
      <c r="C159" s="396">
        <v>3861490</v>
      </c>
    </row>
    <row r="160" spans="1:3" x14ac:dyDescent="0.25">
      <c r="A160" s="396">
        <v>159</v>
      </c>
      <c r="B160" s="396">
        <v>117000</v>
      </c>
      <c r="C160" s="396">
        <v>3976490</v>
      </c>
    </row>
    <row r="161" spans="1:3" x14ac:dyDescent="0.25">
      <c r="A161" s="396">
        <v>160</v>
      </c>
      <c r="B161" s="396">
        <v>119000</v>
      </c>
      <c r="C161" s="396">
        <v>4093490</v>
      </c>
    </row>
    <row r="162" spans="1:3" x14ac:dyDescent="0.25">
      <c r="A162" s="396">
        <v>161</v>
      </c>
      <c r="B162" s="396">
        <v>122000</v>
      </c>
      <c r="C162" s="396">
        <v>4212490</v>
      </c>
    </row>
    <row r="163" spans="1:3" x14ac:dyDescent="0.25">
      <c r="A163" s="396">
        <v>162</v>
      </c>
      <c r="B163" s="396">
        <v>125000</v>
      </c>
      <c r="C163" s="396">
        <v>4334490</v>
      </c>
    </row>
    <row r="164" spans="1:3" x14ac:dyDescent="0.25">
      <c r="A164" s="396">
        <v>163</v>
      </c>
      <c r="B164" s="396">
        <v>128000</v>
      </c>
      <c r="C164" s="396">
        <v>4459490</v>
      </c>
    </row>
    <row r="165" spans="1:3" x14ac:dyDescent="0.25">
      <c r="A165" s="396">
        <v>164</v>
      </c>
      <c r="B165" s="396">
        <v>131000</v>
      </c>
      <c r="C165" s="396">
        <v>4587490</v>
      </c>
    </row>
    <row r="166" spans="1:3" x14ac:dyDescent="0.25">
      <c r="A166" s="396">
        <v>165</v>
      </c>
      <c r="B166" s="396">
        <v>134000</v>
      </c>
      <c r="C166" s="396">
        <v>4718490</v>
      </c>
    </row>
    <row r="167" spans="1:3" x14ac:dyDescent="0.25">
      <c r="A167" s="396">
        <v>166</v>
      </c>
      <c r="B167" s="396">
        <v>137000</v>
      </c>
      <c r="C167" s="396">
        <v>4852490</v>
      </c>
    </row>
    <row r="168" spans="1:3" x14ac:dyDescent="0.25">
      <c r="A168" s="396">
        <v>167</v>
      </c>
      <c r="B168" s="396">
        <v>140000</v>
      </c>
      <c r="C168" s="396">
        <v>4989490</v>
      </c>
    </row>
    <row r="169" spans="1:3" x14ac:dyDescent="0.25">
      <c r="A169" s="396">
        <v>168</v>
      </c>
      <c r="B169" s="396">
        <v>143000</v>
      </c>
      <c r="C169" s="396">
        <v>5129490</v>
      </c>
    </row>
    <row r="170" spans="1:3" x14ac:dyDescent="0.25">
      <c r="A170" s="396">
        <v>169</v>
      </c>
      <c r="B170" s="396">
        <v>146000</v>
      </c>
      <c r="C170" s="396">
        <v>5272490</v>
      </c>
    </row>
    <row r="171" spans="1:3" x14ac:dyDescent="0.25">
      <c r="A171" s="396">
        <v>170</v>
      </c>
      <c r="B171" s="396">
        <v>149000</v>
      </c>
      <c r="C171" s="396">
        <v>5418490</v>
      </c>
    </row>
    <row r="172" spans="1:3" x14ac:dyDescent="0.25">
      <c r="A172" s="396">
        <v>171</v>
      </c>
      <c r="B172" s="396">
        <v>152000</v>
      </c>
      <c r="C172" s="396">
        <v>5567490</v>
      </c>
    </row>
    <row r="173" spans="1:3" x14ac:dyDescent="0.25">
      <c r="A173" s="396">
        <v>172</v>
      </c>
      <c r="B173" s="396">
        <v>155000</v>
      </c>
      <c r="C173" s="396">
        <v>5719490</v>
      </c>
    </row>
    <row r="174" spans="1:3" x14ac:dyDescent="0.25">
      <c r="A174" s="396">
        <v>173</v>
      </c>
      <c r="B174" s="396">
        <v>158000</v>
      </c>
      <c r="C174" s="396">
        <v>5874490</v>
      </c>
    </row>
    <row r="175" spans="1:3" x14ac:dyDescent="0.25">
      <c r="A175" s="396">
        <v>174</v>
      </c>
      <c r="B175" s="396">
        <v>161000</v>
      </c>
      <c r="C175" s="396">
        <v>6032490</v>
      </c>
    </row>
    <row r="176" spans="1:3" x14ac:dyDescent="0.25">
      <c r="A176" s="396">
        <v>175</v>
      </c>
      <c r="B176" s="396">
        <v>164000</v>
      </c>
      <c r="C176" s="396">
        <v>6193490</v>
      </c>
    </row>
    <row r="177" spans="1:3" x14ac:dyDescent="0.25">
      <c r="A177" s="396">
        <v>176</v>
      </c>
      <c r="B177" s="396">
        <v>167000</v>
      </c>
      <c r="C177" s="396">
        <v>6357490</v>
      </c>
    </row>
    <row r="178" spans="1:3" x14ac:dyDescent="0.25">
      <c r="A178" s="396">
        <v>177</v>
      </c>
      <c r="B178" s="396">
        <v>170000</v>
      </c>
      <c r="C178" s="396">
        <v>6524490</v>
      </c>
    </row>
    <row r="179" spans="1:3" x14ac:dyDescent="0.25">
      <c r="A179" s="396">
        <v>178</v>
      </c>
      <c r="B179" s="396">
        <v>173000</v>
      </c>
      <c r="C179" s="396">
        <v>6694490</v>
      </c>
    </row>
    <row r="180" spans="1:3" x14ac:dyDescent="0.25">
      <c r="A180" s="396">
        <v>179</v>
      </c>
      <c r="B180" s="396">
        <v>176000</v>
      </c>
      <c r="C180" s="396">
        <v>6867490</v>
      </c>
    </row>
    <row r="181" spans="1:3" x14ac:dyDescent="0.25">
      <c r="A181" s="396">
        <v>180</v>
      </c>
      <c r="B181" s="396">
        <v>179000</v>
      </c>
      <c r="C181" s="396">
        <v>7043490</v>
      </c>
    </row>
    <row r="182" spans="1:3" x14ac:dyDescent="0.25">
      <c r="A182" s="396">
        <v>181</v>
      </c>
      <c r="B182" s="396">
        <v>182000</v>
      </c>
      <c r="C182" s="396">
        <v>7222490</v>
      </c>
    </row>
    <row r="183" spans="1:3" x14ac:dyDescent="0.25">
      <c r="A183" s="396">
        <v>182</v>
      </c>
      <c r="B183" s="396">
        <v>185000</v>
      </c>
      <c r="C183" s="396">
        <v>7404490</v>
      </c>
    </row>
    <row r="184" spans="1:3" x14ac:dyDescent="0.25">
      <c r="A184" s="396">
        <v>183</v>
      </c>
      <c r="B184" s="396">
        <v>188000</v>
      </c>
      <c r="C184" s="396">
        <v>7589490</v>
      </c>
    </row>
    <row r="185" spans="1:3" x14ac:dyDescent="0.25">
      <c r="A185" s="396">
        <v>184</v>
      </c>
      <c r="B185" s="396">
        <v>191000</v>
      </c>
      <c r="C185" s="396">
        <v>7777490</v>
      </c>
    </row>
    <row r="186" spans="1:3" x14ac:dyDescent="0.25">
      <c r="A186" s="396">
        <v>185</v>
      </c>
      <c r="B186" s="396">
        <v>194000</v>
      </c>
      <c r="C186" s="396">
        <v>7968490</v>
      </c>
    </row>
    <row r="187" spans="1:3" x14ac:dyDescent="0.25">
      <c r="A187" s="396">
        <v>186</v>
      </c>
      <c r="B187" s="396">
        <v>197000</v>
      </c>
      <c r="C187" s="396">
        <v>8162490</v>
      </c>
    </row>
    <row r="188" spans="1:3" x14ac:dyDescent="0.25">
      <c r="A188" s="396">
        <v>187</v>
      </c>
      <c r="B188" s="396">
        <v>200000</v>
      </c>
      <c r="C188" s="396">
        <v>8359490</v>
      </c>
    </row>
    <row r="189" spans="1:3" x14ac:dyDescent="0.25">
      <c r="A189" s="396">
        <v>188</v>
      </c>
      <c r="B189" s="396">
        <v>203000</v>
      </c>
      <c r="C189" s="396">
        <v>8559490</v>
      </c>
    </row>
    <row r="190" spans="1:3" x14ac:dyDescent="0.25">
      <c r="A190" s="396">
        <v>189</v>
      </c>
      <c r="B190" s="396">
        <v>206000</v>
      </c>
      <c r="C190" s="396">
        <v>8762490</v>
      </c>
    </row>
    <row r="191" spans="1:3" x14ac:dyDescent="0.25">
      <c r="A191" s="396">
        <v>190</v>
      </c>
      <c r="B191" s="396">
        <v>209000</v>
      </c>
      <c r="C191" s="396">
        <v>8968490</v>
      </c>
    </row>
    <row r="192" spans="1:3" x14ac:dyDescent="0.25">
      <c r="A192" s="396">
        <v>191</v>
      </c>
      <c r="B192" s="396">
        <v>212000</v>
      </c>
      <c r="C192" s="396">
        <v>9177490</v>
      </c>
    </row>
    <row r="193" spans="1:3" x14ac:dyDescent="0.25">
      <c r="A193" s="396">
        <v>192</v>
      </c>
      <c r="B193" s="396">
        <v>215000</v>
      </c>
      <c r="C193" s="396">
        <v>9389490</v>
      </c>
    </row>
    <row r="194" spans="1:3" x14ac:dyDescent="0.25">
      <c r="A194" s="396">
        <v>193</v>
      </c>
      <c r="B194" s="396">
        <v>218000</v>
      </c>
      <c r="C194" s="396">
        <v>9604490</v>
      </c>
    </row>
    <row r="195" spans="1:3" x14ac:dyDescent="0.25">
      <c r="A195" s="396">
        <v>194</v>
      </c>
      <c r="B195" s="396">
        <v>221000</v>
      </c>
      <c r="C195" s="396">
        <v>9822490</v>
      </c>
    </row>
    <row r="196" spans="1:3" x14ac:dyDescent="0.25">
      <c r="A196" s="396">
        <v>195</v>
      </c>
      <c r="B196" s="396">
        <v>224000</v>
      </c>
      <c r="C196" s="396">
        <v>10043490</v>
      </c>
    </row>
    <row r="197" spans="1:3" x14ac:dyDescent="0.25">
      <c r="A197" s="396">
        <v>196</v>
      </c>
      <c r="B197" s="396">
        <v>227000</v>
      </c>
      <c r="C197" s="396">
        <v>10267490</v>
      </c>
    </row>
    <row r="198" spans="1:3" x14ac:dyDescent="0.25">
      <c r="A198" s="396">
        <v>197</v>
      </c>
      <c r="B198" s="396">
        <v>230000</v>
      </c>
      <c r="C198" s="396">
        <v>10494490</v>
      </c>
    </row>
    <row r="199" spans="1:3" x14ac:dyDescent="0.25">
      <c r="A199" s="396">
        <v>198</v>
      </c>
      <c r="B199" s="396">
        <v>233000</v>
      </c>
      <c r="C199" s="396">
        <v>10724490</v>
      </c>
    </row>
    <row r="200" spans="1:3" x14ac:dyDescent="0.25">
      <c r="A200" s="396">
        <v>199</v>
      </c>
      <c r="B200" s="396">
        <v>236000</v>
      </c>
      <c r="C200" s="396">
        <v>10957490</v>
      </c>
    </row>
    <row r="201" spans="1:3" x14ac:dyDescent="0.25">
      <c r="A201" s="396">
        <v>200</v>
      </c>
      <c r="B201" s="396">
        <v>239000</v>
      </c>
      <c r="C201" s="396">
        <v>11193490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A2" workbookViewId="0">
      <selection activeCell="C8" sqref="C8"/>
    </sheetView>
  </sheetViews>
  <sheetFormatPr defaultColWidth="9.140625" defaultRowHeight="15" x14ac:dyDescent="0.25"/>
  <cols>
    <col min="1" max="1" width="14" style="31" customWidth="1"/>
    <col min="2" max="2" width="9.140625" style="287" customWidth="1"/>
    <col min="3" max="3" width="9.140625" style="26"/>
    <col min="4" max="4" width="9.140625" style="303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95" customWidth="1"/>
    <col min="15" max="15" width="9.140625" style="1" customWidth="1"/>
    <col min="16" max="16" width="9.140625" style="390"/>
    <col min="17" max="17" width="9.140625" style="1"/>
    <col min="18" max="18" width="9.140625" style="390"/>
    <col min="19" max="19" width="9.140625" style="1"/>
    <col min="20" max="20" width="9.140625" style="390"/>
    <col min="21" max="16384" width="9.140625" style="1"/>
  </cols>
  <sheetData>
    <row r="1" spans="1:23" x14ac:dyDescent="0.25">
      <c r="A1" s="29" t="s">
        <v>72</v>
      </c>
      <c r="B1" s="476">
        <v>43677.583333333336</v>
      </c>
      <c r="C1" s="476"/>
      <c r="D1" s="301" t="s">
        <v>154</v>
      </c>
      <c r="E1" s="299" t="s">
        <v>82</v>
      </c>
      <c r="F1" s="299" t="s">
        <v>74</v>
      </c>
      <c r="G1" s="470" t="s">
        <v>75</v>
      </c>
      <c r="H1" s="470"/>
      <c r="I1" s="470"/>
      <c r="J1" s="470"/>
      <c r="K1" s="29"/>
      <c r="L1" s="298" t="s">
        <v>77</v>
      </c>
      <c r="M1" s="298"/>
      <c r="N1" s="474" t="s">
        <v>66</v>
      </c>
      <c r="O1" s="390"/>
      <c r="P1" s="393" t="s">
        <v>168</v>
      </c>
      <c r="Q1" s="393" t="s">
        <v>169</v>
      </c>
      <c r="R1" s="393" t="s">
        <v>170</v>
      </c>
      <c r="S1" s="394" t="s">
        <v>165</v>
      </c>
      <c r="T1" s="393" t="s">
        <v>166</v>
      </c>
      <c r="U1" s="391" t="s">
        <v>167</v>
      </c>
      <c r="V1" s="391" t="s">
        <v>171</v>
      </c>
      <c r="W1" s="391" t="s">
        <v>121</v>
      </c>
    </row>
    <row r="2" spans="1:23" x14ac:dyDescent="0.25">
      <c r="A2" s="29" t="s">
        <v>73</v>
      </c>
      <c r="B2" s="476">
        <v>43688.583333333336</v>
      </c>
      <c r="C2" s="476"/>
      <c r="D2" s="302" t="str">
        <f ca="1">IF(RAID_TIME_END-NOW()&lt;0,"",NOW()-RAID_TIME_START)</f>
        <v/>
      </c>
      <c r="E2" s="32" t="str">
        <f ca="1">IF(RAID_TIME_END-NOW()&lt;0,"",RAID_TIME_END-NOW())</f>
        <v/>
      </c>
      <c r="F2" s="302">
        <f>B2-B1</f>
        <v>11</v>
      </c>
      <c r="G2" s="475" t="str">
        <f ca="1">IF(NOW() &gt; $B$2,"",(NOW()-$B$1)/($B$2-$B$1))</f>
        <v/>
      </c>
      <c r="H2" s="475"/>
      <c r="I2" s="475"/>
      <c r="J2" s="475"/>
      <c r="K2" s="29" t="s">
        <v>79</v>
      </c>
      <c r="L2" s="128">
        <v>100000</v>
      </c>
      <c r="N2" s="474"/>
      <c r="O2" s="393" t="s">
        <v>172</v>
      </c>
      <c r="P2" s="390">
        <v>11</v>
      </c>
      <c r="Q2" s="390">
        <v>4</v>
      </c>
      <c r="R2" s="390">
        <v>1</v>
      </c>
      <c r="S2" s="390">
        <v>201</v>
      </c>
      <c r="T2" s="390">
        <v>5661</v>
      </c>
      <c r="U2" s="390">
        <v>1862</v>
      </c>
      <c r="V2" s="390">
        <v>1</v>
      </c>
      <c r="W2" s="390">
        <v>329</v>
      </c>
    </row>
    <row r="3" spans="1:23" x14ac:dyDescent="0.25">
      <c r="A3" s="29" t="s">
        <v>158</v>
      </c>
      <c r="B3" s="287">
        <v>3</v>
      </c>
      <c r="D3" s="302"/>
      <c r="F3" s="300"/>
      <c r="G3" s="300"/>
      <c r="H3" s="300"/>
      <c r="I3" s="300"/>
      <c r="J3" s="300"/>
      <c r="K3" s="29" t="s">
        <v>80</v>
      </c>
      <c r="L3" s="128">
        <v>100000</v>
      </c>
      <c r="N3" s="474"/>
      <c r="O3" s="393" t="s">
        <v>173</v>
      </c>
      <c r="P3" s="390">
        <v>11</v>
      </c>
      <c r="Q3" s="390">
        <v>4</v>
      </c>
      <c r="R3" s="390">
        <v>1</v>
      </c>
      <c r="S3" s="390">
        <v>201</v>
      </c>
      <c r="T3" s="390">
        <v>5661</v>
      </c>
      <c r="U3" s="390">
        <v>1862</v>
      </c>
      <c r="V3" s="390">
        <v>1</v>
      </c>
      <c r="W3" s="390">
        <v>329</v>
      </c>
    </row>
    <row r="4" spans="1:23" x14ac:dyDescent="0.25">
      <c r="N4" s="474"/>
      <c r="O4" s="393" t="s">
        <v>107</v>
      </c>
      <c r="P4" s="392">
        <f>P3-P2</f>
        <v>0</v>
      </c>
      <c r="Q4" s="392">
        <f t="shared" ref="Q4:W4" si="0">Q3-Q2</f>
        <v>0</v>
      </c>
      <c r="R4" s="392">
        <f t="shared" si="0"/>
        <v>0</v>
      </c>
      <c r="S4" s="392">
        <f t="shared" si="0"/>
        <v>0</v>
      </c>
      <c r="T4" s="392">
        <f t="shared" si="0"/>
        <v>0</v>
      </c>
      <c r="U4" s="392">
        <f t="shared" si="0"/>
        <v>0</v>
      </c>
      <c r="V4" s="392">
        <f t="shared" si="0"/>
        <v>0</v>
      </c>
      <c r="W4" s="392">
        <f t="shared" si="0"/>
        <v>0</v>
      </c>
    </row>
    <row r="5" spans="1:23" x14ac:dyDescent="0.25">
      <c r="A5" s="29"/>
      <c r="B5" s="471" t="s">
        <v>76</v>
      </c>
      <c r="C5" s="471"/>
      <c r="D5" s="472" t="s">
        <v>159</v>
      </c>
      <c r="E5" s="472"/>
      <c r="F5" s="472" t="s">
        <v>78</v>
      </c>
      <c r="G5" s="472"/>
      <c r="H5" s="472" t="s">
        <v>81</v>
      </c>
      <c r="I5" s="472"/>
      <c r="J5" s="470" t="s">
        <v>156</v>
      </c>
      <c r="K5" s="470"/>
      <c r="L5" s="473" t="s">
        <v>157</v>
      </c>
      <c r="M5" s="473"/>
      <c r="N5" s="470" t="s">
        <v>155</v>
      </c>
      <c r="O5" s="470"/>
      <c r="T5" s="1"/>
    </row>
    <row r="6" spans="1:23" x14ac:dyDescent="0.25">
      <c r="A6" s="29" t="s">
        <v>21</v>
      </c>
      <c r="B6" s="30" t="s">
        <v>79</v>
      </c>
      <c r="C6" s="30" t="s">
        <v>80</v>
      </c>
      <c r="D6" s="304" t="s">
        <v>79</v>
      </c>
      <c r="E6" s="304" t="s">
        <v>80</v>
      </c>
      <c r="F6" s="30" t="s">
        <v>79</v>
      </c>
      <c r="G6" s="30" t="s">
        <v>80</v>
      </c>
      <c r="H6" s="288" t="s">
        <v>79</v>
      </c>
      <c r="I6" s="288" t="s">
        <v>80</v>
      </c>
      <c r="J6" s="288" t="s">
        <v>79</v>
      </c>
      <c r="K6" s="288" t="s">
        <v>80</v>
      </c>
      <c r="L6" s="296" t="s">
        <v>79</v>
      </c>
      <c r="M6" s="296" t="s">
        <v>80</v>
      </c>
      <c r="N6" s="288" t="s">
        <v>79</v>
      </c>
      <c r="O6" s="288" t="s">
        <v>80</v>
      </c>
      <c r="T6" s="1"/>
    </row>
    <row r="7" spans="1:23" x14ac:dyDescent="0.25">
      <c r="A7" s="31">
        <f>RAID_TIME_START</f>
        <v>43677.583333333336</v>
      </c>
      <c r="B7" s="26">
        <v>0</v>
      </c>
      <c r="C7" s="26">
        <v>0</v>
      </c>
      <c r="D7" s="305" t="str">
        <f ca="1">IFERROR(IF(ISBLANK($A7),"-",SLOPE(INDIRECT("B" &amp; _xlfn.IFNA(MATCH($A7-$B$3,$A:$A,1),7)):B7,INDIRECT("A" &amp; _xlfn.IFNA(MATCH($A7-$B$3,$A:$A,1),7)):$A7)),"-")</f>
        <v>-</v>
      </c>
      <c r="E7" s="305" t="str">
        <f ca="1">IFERROR(IF(ISBLANK($A7),"-",SLOPE(INDIRECT("C" &amp; _xlfn.IFNA(MATCH($A7-$B$3,$A:$A,1),7)):C7,INDIRECT("A" &amp; _xlfn.IFNA(MATCH($A7-$B$3,$A:$A,1),7)):$A7)),"-")</f>
        <v>-</v>
      </c>
      <c r="F7" s="27" t="str">
        <f t="shared" ref="F7:F38" si="1">IF($A7&gt;RAID_TIME_START,$L$2*($A7-RAID_TIME_START)/$F$2,"-")</f>
        <v>-</v>
      </c>
      <c r="G7" s="27" t="str">
        <f t="shared" ref="G7:G38" si="2">IF($A7&gt;RAID_TIME_START,$L$3*($A7-RAID_TIME_START)/$F$2,"-")</f>
        <v>-</v>
      </c>
      <c r="H7" s="27" t="str">
        <f ca="1">IFERROR(IF(ISBLANK($A7),"-",_xlfn.FORECAST.LINEAR(RAID_TIME_END,INDIRECT("B" &amp; _xlfn.IFNA(MATCH($A7-$B$3,$A:$A,1),7)):B7,INDIRECT("A" &amp; _xlfn.IFNA(MATCH($A7-$B$3,$A:$A,1),7)):$A7)),"-")</f>
        <v>-</v>
      </c>
      <c r="I7" s="27" t="str">
        <f ca="1">IFERROR(IF(ISBLANK($A7),"-",_xlfn.FORECAST.LINEAR(RAID_TIME_END,INDIRECT("C" &amp; _xlfn.IFNA(MATCH($A7-$B$3,$A:$A,1),7)):C7,INDIRECT("A" &amp; _xlfn.IFNA(MATCH($A7-$B$3,$A:$A,1),7)):$A7)),"-")</f>
        <v>-</v>
      </c>
      <c r="J7" s="28" t="str">
        <f t="shared" ref="J7:J38" si="3">IFERROR(B7-F7,"-")</f>
        <v>-</v>
      </c>
      <c r="K7" s="28" t="str">
        <f t="shared" ref="K7:K38" si="4">IFERROR(C7-G7,"-")</f>
        <v>-</v>
      </c>
      <c r="L7" s="297" t="str">
        <f t="shared" ref="L7:L38" si="5">IFERROR(J7/F7,"-")</f>
        <v>-</v>
      </c>
      <c r="M7" s="297" t="str">
        <f t="shared" ref="M7:M38" si="6">IFERROR(K7/G7,"-")</f>
        <v>-</v>
      </c>
      <c r="N7" s="28" t="str">
        <f t="shared" ref="N7:N38" ca="1" si="7">IFERROR(H7 - RAID_GOAL_EMBLEM,"-")</f>
        <v>-</v>
      </c>
      <c r="O7" s="28" t="str">
        <f t="shared" ref="O7:O38" ca="1" si="8">IFERROR(I7 - RAID_GOAL_BLAZON,"-")</f>
        <v>-</v>
      </c>
      <c r="T7" s="1"/>
    </row>
    <row r="8" spans="1:23" x14ac:dyDescent="0.25">
      <c r="A8" s="31">
        <v>43677.741666666669</v>
      </c>
      <c r="B8" s="26">
        <v>2710</v>
      </c>
      <c r="C8" s="26">
        <v>5502</v>
      </c>
      <c r="D8" s="305">
        <f ca="1">IFERROR(IF(ISBLANK($A8),"-",SLOPE(INDIRECT("B" &amp; _xlfn.IFNA(MATCH($A8-$B$3,$A:$A,1),7)):B8,INDIRECT("A" &amp; _xlfn.IFNA(MATCH($A8-$B$3,$A:$A,1),7)):$A8)),"-")</f>
        <v>17115.789473736648</v>
      </c>
      <c r="E8" s="305">
        <f ca="1">IFERROR(IF(ISBLANK($A8),"-",SLOPE(INDIRECT("C" &amp; _xlfn.IFNA(MATCH($A8-$B$3,$A:$A,1),7)):C8,INDIRECT("A" &amp; _xlfn.IFNA(MATCH($A8-$B$3,$A:$A,1),7)):$A8)),"-")</f>
        <v>34749.473684316981</v>
      </c>
      <c r="F8" s="27">
        <f t="shared" si="1"/>
        <v>1439.3939393895298</v>
      </c>
      <c r="G8" s="27">
        <f t="shared" si="2"/>
        <v>1439.3939393895298</v>
      </c>
      <c r="H8" s="27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7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8">
        <f t="shared" si="3"/>
        <v>1270.6060606104702</v>
      </c>
      <c r="K8" s="28">
        <f t="shared" si="4"/>
        <v>4062.6060606104702</v>
      </c>
      <c r="L8" s="297">
        <f t="shared" si="5"/>
        <v>0.88273684211103098</v>
      </c>
      <c r="M8" s="297">
        <f t="shared" si="6"/>
        <v>2.8224421052748681</v>
      </c>
      <c r="N8" s="28">
        <f t="shared" ca="1" si="7"/>
        <v>88273.684211015701</v>
      </c>
      <c r="O8" s="28">
        <f t="shared" ca="1" si="8"/>
        <v>282244.21052742004</v>
      </c>
      <c r="T8" s="1"/>
    </row>
    <row r="9" spans="1:23" x14ac:dyDescent="0.25">
      <c r="B9" s="26"/>
      <c r="D9" s="305" t="str">
        <f ca="1">IFERROR(IF(ISBLANK($A9),"-",SLOPE(INDIRECT("B" &amp; _xlfn.IFNA(MATCH($A9-$B$3,$A:$A,1),7)):B9,INDIRECT("A" &amp; _xlfn.IFNA(MATCH($A9-$B$3,$A:$A,1),7)):$A9)),"-")</f>
        <v>-</v>
      </c>
      <c r="E9" s="305" t="str">
        <f ca="1">IFERROR(IF(ISBLANK($A9),"-",SLOPE(INDIRECT("C" &amp; _xlfn.IFNA(MATCH($A9-$B$3,$A:$A,1),7)):C9,INDIRECT("A" &amp; _xlfn.IFNA(MATCH($A9-$B$3,$A:$A,1),7)):$A9)),"-")</f>
        <v>-</v>
      </c>
      <c r="F9" s="27" t="str">
        <f t="shared" si="1"/>
        <v>-</v>
      </c>
      <c r="G9" s="27" t="str">
        <f t="shared" si="2"/>
        <v>-</v>
      </c>
      <c r="H9" s="27" t="str">
        <f ca="1">IFERROR(IF(ISBLANK($A9),"-",_xlfn.FORECAST.LINEAR(RAID_TIME_END,INDIRECT("B" &amp; _xlfn.IFNA(MATCH($A9-$B$3,$A:$A,1),7)):B9,INDIRECT("A" &amp; _xlfn.IFNA(MATCH($A9-$B$3,$A:$A,1),7)):$A9)),"-")</f>
        <v>-</v>
      </c>
      <c r="I9" s="27" t="str">
        <f ca="1">IFERROR(IF(ISBLANK($A9),"-",_xlfn.FORECAST.LINEAR(RAID_TIME_END,INDIRECT("C" &amp; _xlfn.IFNA(MATCH($A9-$B$3,$A:$A,1),7)):C9,INDIRECT("A" &amp; _xlfn.IFNA(MATCH($A9-$B$3,$A:$A,1),7)):$A9)),"-")</f>
        <v>-</v>
      </c>
      <c r="J9" s="28" t="str">
        <f t="shared" si="3"/>
        <v>-</v>
      </c>
      <c r="K9" s="28" t="str">
        <f t="shared" si="4"/>
        <v>-</v>
      </c>
      <c r="L9" s="297" t="str">
        <f t="shared" si="5"/>
        <v>-</v>
      </c>
      <c r="M9" s="297" t="str">
        <f t="shared" si="6"/>
        <v>-</v>
      </c>
      <c r="N9" s="28" t="str">
        <f t="shared" ca="1" si="7"/>
        <v>-</v>
      </c>
      <c r="O9" s="28" t="str">
        <f t="shared" ca="1" si="8"/>
        <v>-</v>
      </c>
      <c r="T9" s="1"/>
    </row>
    <row r="10" spans="1:23" x14ac:dyDescent="0.25">
      <c r="B10" s="26"/>
      <c r="D10" s="305" t="str">
        <f ca="1">IFERROR(IF(ISBLANK($A10),"-",SLOPE(INDIRECT("B" &amp; _xlfn.IFNA(MATCH($A10-$B$3,$A:$A,1),7)):B10,INDIRECT("A" &amp; _xlfn.IFNA(MATCH($A10-$B$3,$A:$A,1),7)):$A10)),"-")</f>
        <v>-</v>
      </c>
      <c r="E10" s="305" t="str">
        <f ca="1">IFERROR(IF(ISBLANK($A10),"-",SLOPE(INDIRECT("C" &amp; _xlfn.IFNA(MATCH($A10-$B$3,$A:$A,1),7)):C10,INDIRECT("A" &amp; _xlfn.IFNA(MATCH($A10-$B$3,$A:$A,1),7)):$A10)),"-")</f>
        <v>-</v>
      </c>
      <c r="F10" s="27" t="str">
        <f t="shared" si="1"/>
        <v>-</v>
      </c>
      <c r="G10" s="27" t="str">
        <f t="shared" si="2"/>
        <v>-</v>
      </c>
      <c r="H10" s="27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7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8" t="str">
        <f t="shared" si="3"/>
        <v>-</v>
      </c>
      <c r="K10" s="28" t="str">
        <f t="shared" si="4"/>
        <v>-</v>
      </c>
      <c r="L10" s="297" t="str">
        <f t="shared" si="5"/>
        <v>-</v>
      </c>
      <c r="M10" s="297" t="str">
        <f t="shared" si="6"/>
        <v>-</v>
      </c>
      <c r="N10" s="28" t="str">
        <f t="shared" ca="1" si="7"/>
        <v>-</v>
      </c>
      <c r="O10" s="28" t="str">
        <f t="shared" ca="1" si="8"/>
        <v>-</v>
      </c>
      <c r="T10" s="1"/>
    </row>
    <row r="11" spans="1:23" x14ac:dyDescent="0.25">
      <c r="B11" s="26"/>
      <c r="D11" s="305" t="str">
        <f ca="1">IFERROR(IF(ISBLANK($A11),"-",SLOPE(INDIRECT("B" &amp; _xlfn.IFNA(MATCH($A11-$B$3,$A:$A,1),7)):B11,INDIRECT("A" &amp; _xlfn.IFNA(MATCH($A11-$B$3,$A:$A,1),7)):$A11)),"-")</f>
        <v>-</v>
      </c>
      <c r="E11" s="305" t="str">
        <f ca="1">IFERROR(IF(ISBLANK($A11),"-",SLOPE(INDIRECT("C" &amp; _xlfn.IFNA(MATCH($A11-$B$3,$A:$A,1),7)):C11,INDIRECT("A" &amp; _xlfn.IFNA(MATCH($A11-$B$3,$A:$A,1),7)):$A11)),"-")</f>
        <v>-</v>
      </c>
      <c r="F11" s="27" t="str">
        <f t="shared" si="1"/>
        <v>-</v>
      </c>
      <c r="G11" s="27" t="str">
        <f t="shared" si="2"/>
        <v>-</v>
      </c>
      <c r="H11" s="27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7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8" t="str">
        <f t="shared" si="3"/>
        <v>-</v>
      </c>
      <c r="K11" s="28" t="str">
        <f t="shared" si="4"/>
        <v>-</v>
      </c>
      <c r="L11" s="297" t="str">
        <f t="shared" si="5"/>
        <v>-</v>
      </c>
      <c r="M11" s="297" t="str">
        <f t="shared" si="6"/>
        <v>-</v>
      </c>
      <c r="N11" s="28" t="str">
        <f t="shared" ca="1" si="7"/>
        <v>-</v>
      </c>
      <c r="O11" s="28" t="str">
        <f t="shared" ca="1" si="8"/>
        <v>-</v>
      </c>
      <c r="T11" s="1"/>
    </row>
    <row r="12" spans="1:23" x14ac:dyDescent="0.25">
      <c r="B12" s="26"/>
      <c r="D12" s="305" t="str">
        <f ca="1">IFERROR(IF(ISBLANK($A12),"-",SLOPE(INDIRECT("B" &amp; _xlfn.IFNA(MATCH($A12-$B$3,$A:$A,1),7)):B12,INDIRECT("A" &amp; _xlfn.IFNA(MATCH($A12-$B$3,$A:$A,1),7)):$A12)),"-")</f>
        <v>-</v>
      </c>
      <c r="E12" s="305" t="str">
        <f ca="1">IFERROR(IF(ISBLANK($A12),"-",SLOPE(INDIRECT("C" &amp; _xlfn.IFNA(MATCH($A12-$B$3,$A:$A,1),7)):C12,INDIRECT("A" &amp; _xlfn.IFNA(MATCH($A12-$B$3,$A:$A,1),7)):$A12)),"-")</f>
        <v>-</v>
      </c>
      <c r="F12" s="27" t="str">
        <f t="shared" si="1"/>
        <v>-</v>
      </c>
      <c r="G12" s="27" t="str">
        <f t="shared" si="2"/>
        <v>-</v>
      </c>
      <c r="H12" s="27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7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8" t="str">
        <f t="shared" si="3"/>
        <v>-</v>
      </c>
      <c r="K12" s="28" t="str">
        <f t="shared" si="4"/>
        <v>-</v>
      </c>
      <c r="L12" s="297" t="str">
        <f t="shared" si="5"/>
        <v>-</v>
      </c>
      <c r="M12" s="297" t="str">
        <f t="shared" si="6"/>
        <v>-</v>
      </c>
      <c r="N12" s="28" t="str">
        <f t="shared" ca="1" si="7"/>
        <v>-</v>
      </c>
      <c r="O12" s="28" t="str">
        <f t="shared" ca="1" si="8"/>
        <v>-</v>
      </c>
      <c r="T12" s="1"/>
    </row>
    <row r="13" spans="1:23" x14ac:dyDescent="0.25">
      <c r="B13" s="26"/>
      <c r="D13" s="305" t="str">
        <f ca="1">IFERROR(IF(ISBLANK($A13),"-",SLOPE(INDIRECT("B" &amp; _xlfn.IFNA(MATCH($A13-$B$3,$A:$A,1),7)):B13,INDIRECT("A" &amp; _xlfn.IFNA(MATCH($A13-$B$3,$A:$A,1),7)):$A13)),"-")</f>
        <v>-</v>
      </c>
      <c r="E13" s="305" t="str">
        <f ca="1">IFERROR(IF(ISBLANK($A13),"-",SLOPE(INDIRECT("C" &amp; _xlfn.IFNA(MATCH($A13-$B$3,$A:$A,1),7)):C13,INDIRECT("A" &amp; _xlfn.IFNA(MATCH($A13-$B$3,$A:$A,1),7)):$A13)),"-")</f>
        <v>-</v>
      </c>
      <c r="F13" s="27" t="str">
        <f t="shared" si="1"/>
        <v>-</v>
      </c>
      <c r="G13" s="27" t="str">
        <f t="shared" si="2"/>
        <v>-</v>
      </c>
      <c r="H13" s="27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7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8" t="str">
        <f t="shared" si="3"/>
        <v>-</v>
      </c>
      <c r="K13" s="28" t="str">
        <f t="shared" si="4"/>
        <v>-</v>
      </c>
      <c r="L13" s="297" t="str">
        <f t="shared" si="5"/>
        <v>-</v>
      </c>
      <c r="M13" s="297" t="str">
        <f t="shared" si="6"/>
        <v>-</v>
      </c>
      <c r="N13" s="28" t="str">
        <f t="shared" ca="1" si="7"/>
        <v>-</v>
      </c>
      <c r="O13" s="28" t="str">
        <f t="shared" ca="1" si="8"/>
        <v>-</v>
      </c>
      <c r="T13" s="1"/>
    </row>
    <row r="14" spans="1:23" x14ac:dyDescent="0.25">
      <c r="B14" s="26"/>
      <c r="D14" s="305" t="str">
        <f ca="1">IFERROR(IF(ISBLANK($A14),"-",SLOPE(INDIRECT("B" &amp; _xlfn.IFNA(MATCH($A14-$B$3,$A:$A,1),7)):B14,INDIRECT("A" &amp; _xlfn.IFNA(MATCH($A14-$B$3,$A:$A,1),7)):$A14)),"-")</f>
        <v>-</v>
      </c>
      <c r="E14" s="305" t="str">
        <f ca="1">IFERROR(IF(ISBLANK($A14),"-",SLOPE(INDIRECT("C" &amp; _xlfn.IFNA(MATCH($A14-$B$3,$A:$A,1),7)):C14,INDIRECT("A" &amp; _xlfn.IFNA(MATCH($A14-$B$3,$A:$A,1),7)):$A14)),"-")</f>
        <v>-</v>
      </c>
      <c r="F14" s="27" t="str">
        <f t="shared" si="1"/>
        <v>-</v>
      </c>
      <c r="G14" s="27" t="str">
        <f t="shared" si="2"/>
        <v>-</v>
      </c>
      <c r="H14" s="27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7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8" t="str">
        <f t="shared" si="3"/>
        <v>-</v>
      </c>
      <c r="K14" s="28" t="str">
        <f t="shared" si="4"/>
        <v>-</v>
      </c>
      <c r="L14" s="297" t="str">
        <f t="shared" si="5"/>
        <v>-</v>
      </c>
      <c r="M14" s="297" t="str">
        <f t="shared" si="6"/>
        <v>-</v>
      </c>
      <c r="N14" s="28" t="str">
        <f t="shared" ca="1" si="7"/>
        <v>-</v>
      </c>
      <c r="O14" s="28" t="str">
        <f t="shared" ca="1" si="8"/>
        <v>-</v>
      </c>
      <c r="T14" s="1"/>
    </row>
    <row r="15" spans="1:23" x14ac:dyDescent="0.25">
      <c r="B15" s="26"/>
      <c r="D15" s="305" t="str">
        <f ca="1">IFERROR(IF(ISBLANK($A15),"-",SLOPE(INDIRECT("B" &amp; _xlfn.IFNA(MATCH($A15-$B$3,$A:$A,1),7)):B15,INDIRECT("A" &amp; _xlfn.IFNA(MATCH($A15-$B$3,$A:$A,1),7)):$A15)),"-")</f>
        <v>-</v>
      </c>
      <c r="E15" s="305" t="str">
        <f ca="1">IFERROR(IF(ISBLANK($A15),"-",SLOPE(INDIRECT("C" &amp; _xlfn.IFNA(MATCH($A15-$B$3,$A:$A,1),7)):C15,INDIRECT("A" &amp; _xlfn.IFNA(MATCH($A15-$B$3,$A:$A,1),7)):$A15)),"-")</f>
        <v>-</v>
      </c>
      <c r="F15" s="27" t="str">
        <f t="shared" si="1"/>
        <v>-</v>
      </c>
      <c r="G15" s="27" t="str">
        <f t="shared" si="2"/>
        <v>-</v>
      </c>
      <c r="H15" s="27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7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8" t="str">
        <f t="shared" si="3"/>
        <v>-</v>
      </c>
      <c r="K15" s="28" t="str">
        <f t="shared" si="4"/>
        <v>-</v>
      </c>
      <c r="L15" s="297" t="str">
        <f t="shared" si="5"/>
        <v>-</v>
      </c>
      <c r="M15" s="297" t="str">
        <f t="shared" si="6"/>
        <v>-</v>
      </c>
      <c r="N15" s="28" t="str">
        <f t="shared" ca="1" si="7"/>
        <v>-</v>
      </c>
      <c r="O15" s="28" t="str">
        <f t="shared" ca="1" si="8"/>
        <v>-</v>
      </c>
      <c r="T15" s="1"/>
    </row>
    <row r="16" spans="1:23" x14ac:dyDescent="0.25">
      <c r="B16" s="26"/>
      <c r="D16" s="305" t="str">
        <f ca="1">IFERROR(IF(ISBLANK($A16),"-",SLOPE(INDIRECT("B" &amp; _xlfn.IFNA(MATCH($A16-$B$3,$A:$A,1),7)):B16,INDIRECT("A" &amp; _xlfn.IFNA(MATCH($A16-$B$3,$A:$A,1),7)):$A16)),"-")</f>
        <v>-</v>
      </c>
      <c r="E16" s="305" t="str">
        <f ca="1">IFERROR(IF(ISBLANK($A16),"-",SLOPE(INDIRECT("C" &amp; _xlfn.IFNA(MATCH($A16-$B$3,$A:$A,1),7)):C16,INDIRECT("A" &amp; _xlfn.IFNA(MATCH($A16-$B$3,$A:$A,1),7)):$A16)),"-")</f>
        <v>-</v>
      </c>
      <c r="F16" s="27" t="str">
        <f t="shared" si="1"/>
        <v>-</v>
      </c>
      <c r="G16" s="27" t="str">
        <f t="shared" si="2"/>
        <v>-</v>
      </c>
      <c r="H16" s="27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7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8" t="str">
        <f t="shared" si="3"/>
        <v>-</v>
      </c>
      <c r="K16" s="28" t="str">
        <f t="shared" si="4"/>
        <v>-</v>
      </c>
      <c r="L16" s="297" t="str">
        <f t="shared" si="5"/>
        <v>-</v>
      </c>
      <c r="M16" s="297" t="str">
        <f t="shared" si="6"/>
        <v>-</v>
      </c>
      <c r="N16" s="28" t="str">
        <f t="shared" ca="1" si="7"/>
        <v>-</v>
      </c>
      <c r="O16" s="28" t="str">
        <f t="shared" ca="1" si="8"/>
        <v>-</v>
      </c>
      <c r="T16" s="1"/>
    </row>
    <row r="17" spans="2:20" x14ac:dyDescent="0.25">
      <c r="B17" s="26"/>
      <c r="D17" s="305" t="str">
        <f ca="1">IFERROR(IF(ISBLANK($A17),"-",SLOPE(INDIRECT("B" &amp; _xlfn.IFNA(MATCH($A17-$B$3,$A:$A,1),7)):B17,INDIRECT("A" &amp; _xlfn.IFNA(MATCH($A17-$B$3,$A:$A,1),7)):$A17)),"-")</f>
        <v>-</v>
      </c>
      <c r="E17" s="305" t="str">
        <f ca="1">IFERROR(IF(ISBLANK($A17),"-",SLOPE(INDIRECT("C" &amp; _xlfn.IFNA(MATCH($A17-$B$3,$A:$A,1),7)):C17,INDIRECT("A" &amp; _xlfn.IFNA(MATCH($A17-$B$3,$A:$A,1),7)):$A17)),"-")</f>
        <v>-</v>
      </c>
      <c r="F17" s="27" t="str">
        <f t="shared" si="1"/>
        <v>-</v>
      </c>
      <c r="G17" s="27" t="str">
        <f t="shared" si="2"/>
        <v>-</v>
      </c>
      <c r="H17" s="27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7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8" t="str">
        <f t="shared" si="3"/>
        <v>-</v>
      </c>
      <c r="K17" s="28" t="str">
        <f t="shared" si="4"/>
        <v>-</v>
      </c>
      <c r="L17" s="297" t="str">
        <f t="shared" si="5"/>
        <v>-</v>
      </c>
      <c r="M17" s="297" t="str">
        <f t="shared" si="6"/>
        <v>-</v>
      </c>
      <c r="N17" s="28" t="str">
        <f t="shared" ca="1" si="7"/>
        <v>-</v>
      </c>
      <c r="O17" s="28" t="str">
        <f t="shared" ca="1" si="8"/>
        <v>-</v>
      </c>
      <c r="T17" s="1"/>
    </row>
    <row r="18" spans="2:20" x14ac:dyDescent="0.25">
      <c r="B18" s="26"/>
      <c r="D18" s="305" t="str">
        <f ca="1">IFERROR(IF(ISBLANK($A18),"-",SLOPE(INDIRECT("B" &amp; _xlfn.IFNA(MATCH($A18-$B$3,$A:$A,1),7)):B18,INDIRECT("A" &amp; _xlfn.IFNA(MATCH($A18-$B$3,$A:$A,1),7)):$A18)),"-")</f>
        <v>-</v>
      </c>
      <c r="E18" s="305" t="str">
        <f ca="1">IFERROR(IF(ISBLANK($A18),"-",SLOPE(INDIRECT("C" &amp; _xlfn.IFNA(MATCH($A18-$B$3,$A:$A,1),7)):C18,INDIRECT("A" &amp; _xlfn.IFNA(MATCH($A18-$B$3,$A:$A,1),7)):$A18)),"-")</f>
        <v>-</v>
      </c>
      <c r="F18" s="27" t="str">
        <f t="shared" si="1"/>
        <v>-</v>
      </c>
      <c r="G18" s="27" t="str">
        <f t="shared" si="2"/>
        <v>-</v>
      </c>
      <c r="H18" s="27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7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8" t="str">
        <f t="shared" si="3"/>
        <v>-</v>
      </c>
      <c r="K18" s="28" t="str">
        <f t="shared" si="4"/>
        <v>-</v>
      </c>
      <c r="L18" s="297" t="str">
        <f t="shared" si="5"/>
        <v>-</v>
      </c>
      <c r="M18" s="297" t="str">
        <f t="shared" si="6"/>
        <v>-</v>
      </c>
      <c r="N18" s="28" t="str">
        <f t="shared" ca="1" si="7"/>
        <v>-</v>
      </c>
      <c r="O18" s="28" t="str">
        <f t="shared" ca="1" si="8"/>
        <v>-</v>
      </c>
      <c r="T18" s="1"/>
    </row>
    <row r="19" spans="2:20" x14ac:dyDescent="0.25">
      <c r="B19" s="26"/>
      <c r="D19" s="305" t="str">
        <f ca="1">IFERROR(IF(ISBLANK($A19),"-",SLOPE(INDIRECT("B" &amp; _xlfn.IFNA(MATCH($A19-$B$3,$A:$A,1),7)):B19,INDIRECT("A" &amp; _xlfn.IFNA(MATCH($A19-$B$3,$A:$A,1),7)):$A19)),"-")</f>
        <v>-</v>
      </c>
      <c r="E19" s="305" t="str">
        <f ca="1">IFERROR(IF(ISBLANK($A19),"-",SLOPE(INDIRECT("C" &amp; _xlfn.IFNA(MATCH($A19-$B$3,$A:$A,1),7)):C19,INDIRECT("A" &amp; _xlfn.IFNA(MATCH($A19-$B$3,$A:$A,1),7)):$A19)),"-")</f>
        <v>-</v>
      </c>
      <c r="F19" s="27" t="str">
        <f t="shared" si="1"/>
        <v>-</v>
      </c>
      <c r="G19" s="27" t="str">
        <f t="shared" si="2"/>
        <v>-</v>
      </c>
      <c r="H19" s="27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7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8" t="str">
        <f t="shared" si="3"/>
        <v>-</v>
      </c>
      <c r="K19" s="28" t="str">
        <f t="shared" si="4"/>
        <v>-</v>
      </c>
      <c r="L19" s="297" t="str">
        <f t="shared" si="5"/>
        <v>-</v>
      </c>
      <c r="M19" s="297" t="str">
        <f t="shared" si="6"/>
        <v>-</v>
      </c>
      <c r="N19" s="28" t="str">
        <f t="shared" ca="1" si="7"/>
        <v>-</v>
      </c>
      <c r="O19" s="28" t="str">
        <f t="shared" ca="1" si="8"/>
        <v>-</v>
      </c>
      <c r="T19" s="1"/>
    </row>
    <row r="20" spans="2:20" x14ac:dyDescent="0.25">
      <c r="B20" s="26"/>
      <c r="D20" s="305" t="str">
        <f ca="1">IFERROR(IF(ISBLANK($A20),"-",SLOPE(INDIRECT("B" &amp; _xlfn.IFNA(MATCH($A20-$B$3,$A:$A,1),7)):B20,INDIRECT("A" &amp; _xlfn.IFNA(MATCH($A20-$B$3,$A:$A,1),7)):$A20)),"-")</f>
        <v>-</v>
      </c>
      <c r="E20" s="305" t="str">
        <f ca="1">IFERROR(IF(ISBLANK($A20),"-",SLOPE(INDIRECT("C" &amp; _xlfn.IFNA(MATCH($A20-$B$3,$A:$A,1),7)):C20,INDIRECT("A" &amp; _xlfn.IFNA(MATCH($A20-$B$3,$A:$A,1),7)):$A20)),"-")</f>
        <v>-</v>
      </c>
      <c r="F20" s="27" t="str">
        <f t="shared" si="1"/>
        <v>-</v>
      </c>
      <c r="G20" s="27" t="str">
        <f t="shared" si="2"/>
        <v>-</v>
      </c>
      <c r="H20" s="27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7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8" t="str">
        <f t="shared" si="3"/>
        <v>-</v>
      </c>
      <c r="K20" s="28" t="str">
        <f t="shared" si="4"/>
        <v>-</v>
      </c>
      <c r="L20" s="297" t="str">
        <f t="shared" si="5"/>
        <v>-</v>
      </c>
      <c r="M20" s="297" t="str">
        <f t="shared" si="6"/>
        <v>-</v>
      </c>
      <c r="N20" s="28" t="str">
        <f t="shared" ca="1" si="7"/>
        <v>-</v>
      </c>
      <c r="O20" s="28" t="str">
        <f t="shared" ca="1" si="8"/>
        <v>-</v>
      </c>
      <c r="T20" s="1"/>
    </row>
    <row r="21" spans="2:20" x14ac:dyDescent="0.25">
      <c r="B21" s="26"/>
      <c r="D21" s="305" t="str">
        <f ca="1">IFERROR(IF(ISBLANK($A21),"-",SLOPE(INDIRECT("B" &amp; _xlfn.IFNA(MATCH($A21-$B$3,$A:$A,1),7)):B21,INDIRECT("A" &amp; _xlfn.IFNA(MATCH($A21-$B$3,$A:$A,1),7)):$A21)),"-")</f>
        <v>-</v>
      </c>
      <c r="E21" s="305" t="str">
        <f ca="1">IFERROR(IF(ISBLANK($A21),"-",SLOPE(INDIRECT("C" &amp; _xlfn.IFNA(MATCH($A21-$B$3,$A:$A,1),7)):C21,INDIRECT("A" &amp; _xlfn.IFNA(MATCH($A21-$B$3,$A:$A,1),7)):$A21)),"-")</f>
        <v>-</v>
      </c>
      <c r="F21" s="27" t="str">
        <f t="shared" si="1"/>
        <v>-</v>
      </c>
      <c r="G21" s="27" t="str">
        <f t="shared" si="2"/>
        <v>-</v>
      </c>
      <c r="H21" s="27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7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8" t="str">
        <f t="shared" si="3"/>
        <v>-</v>
      </c>
      <c r="K21" s="28" t="str">
        <f t="shared" si="4"/>
        <v>-</v>
      </c>
      <c r="L21" s="297" t="str">
        <f t="shared" si="5"/>
        <v>-</v>
      </c>
      <c r="M21" s="297" t="str">
        <f t="shared" si="6"/>
        <v>-</v>
      </c>
      <c r="N21" s="28" t="str">
        <f t="shared" ca="1" si="7"/>
        <v>-</v>
      </c>
      <c r="O21" s="28" t="str">
        <f t="shared" ca="1" si="8"/>
        <v>-</v>
      </c>
      <c r="T21" s="1"/>
    </row>
    <row r="22" spans="2:20" x14ac:dyDescent="0.25">
      <c r="B22" s="26"/>
      <c r="D22" s="305" t="str">
        <f ca="1">IFERROR(IF(ISBLANK($A22),"-",SLOPE(INDIRECT("B" &amp; _xlfn.IFNA(MATCH($A22-$B$3,$A:$A,1),7)):B22,INDIRECT("A" &amp; _xlfn.IFNA(MATCH($A22-$B$3,$A:$A,1),7)):$A22)),"-")</f>
        <v>-</v>
      </c>
      <c r="E22" s="305" t="str">
        <f ca="1">IFERROR(IF(ISBLANK($A22),"-",SLOPE(INDIRECT("C" &amp; _xlfn.IFNA(MATCH($A22-$B$3,$A:$A,1),7)):C22,INDIRECT("A" &amp; _xlfn.IFNA(MATCH($A22-$B$3,$A:$A,1),7)):$A22)),"-")</f>
        <v>-</v>
      </c>
      <c r="F22" s="27" t="str">
        <f t="shared" si="1"/>
        <v>-</v>
      </c>
      <c r="G22" s="27" t="str">
        <f t="shared" si="2"/>
        <v>-</v>
      </c>
      <c r="H22" s="27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7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8" t="str">
        <f t="shared" si="3"/>
        <v>-</v>
      </c>
      <c r="K22" s="28" t="str">
        <f t="shared" si="4"/>
        <v>-</v>
      </c>
      <c r="L22" s="297" t="str">
        <f t="shared" si="5"/>
        <v>-</v>
      </c>
      <c r="M22" s="297" t="str">
        <f t="shared" si="6"/>
        <v>-</v>
      </c>
      <c r="N22" s="28" t="str">
        <f t="shared" ca="1" si="7"/>
        <v>-</v>
      </c>
      <c r="O22" s="28" t="str">
        <f t="shared" ca="1" si="8"/>
        <v>-</v>
      </c>
      <c r="T22" s="1"/>
    </row>
    <row r="23" spans="2:20" x14ac:dyDescent="0.25">
      <c r="B23" s="26"/>
      <c r="D23" s="305" t="str">
        <f ca="1">IFERROR(IF(ISBLANK($A23),"-",SLOPE(INDIRECT("B" &amp; _xlfn.IFNA(MATCH($A23-$B$3,$A:$A,1),7)):B23,INDIRECT("A" &amp; _xlfn.IFNA(MATCH($A23-$B$3,$A:$A,1),7)):$A23)),"-")</f>
        <v>-</v>
      </c>
      <c r="E23" s="305" t="str">
        <f ca="1">IFERROR(IF(ISBLANK($A23),"-",SLOPE(INDIRECT("C" &amp; _xlfn.IFNA(MATCH($A23-$B$3,$A:$A,1),7)):C23,INDIRECT("A" &amp; _xlfn.IFNA(MATCH($A23-$B$3,$A:$A,1),7)):$A23)),"-")</f>
        <v>-</v>
      </c>
      <c r="F23" s="27" t="str">
        <f t="shared" si="1"/>
        <v>-</v>
      </c>
      <c r="G23" s="27" t="str">
        <f t="shared" si="2"/>
        <v>-</v>
      </c>
      <c r="H23" s="27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7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8" t="str">
        <f t="shared" si="3"/>
        <v>-</v>
      </c>
      <c r="K23" s="28" t="str">
        <f t="shared" si="4"/>
        <v>-</v>
      </c>
      <c r="L23" s="297" t="str">
        <f t="shared" si="5"/>
        <v>-</v>
      </c>
      <c r="M23" s="297" t="str">
        <f t="shared" si="6"/>
        <v>-</v>
      </c>
      <c r="N23" s="28" t="str">
        <f t="shared" ca="1" si="7"/>
        <v>-</v>
      </c>
      <c r="O23" s="28" t="str">
        <f t="shared" ca="1" si="8"/>
        <v>-</v>
      </c>
      <c r="T23" s="1"/>
    </row>
    <row r="24" spans="2:20" x14ac:dyDescent="0.25">
      <c r="B24" s="26"/>
      <c r="D24" s="305" t="str">
        <f ca="1">IFERROR(IF(ISBLANK($A24),"-",SLOPE(INDIRECT("B" &amp; _xlfn.IFNA(MATCH($A24-$B$3,$A:$A,1),7)):B24,INDIRECT("A" &amp; _xlfn.IFNA(MATCH($A24-$B$3,$A:$A,1),7)):$A24)),"-")</f>
        <v>-</v>
      </c>
      <c r="E24" s="305" t="str">
        <f ca="1">IFERROR(IF(ISBLANK($A24),"-",SLOPE(INDIRECT("C" &amp; _xlfn.IFNA(MATCH($A24-$B$3,$A:$A,1),7)):C24,INDIRECT("A" &amp; _xlfn.IFNA(MATCH($A24-$B$3,$A:$A,1),7)):$A24)),"-")</f>
        <v>-</v>
      </c>
      <c r="F24" s="27" t="str">
        <f t="shared" si="1"/>
        <v>-</v>
      </c>
      <c r="G24" s="27" t="str">
        <f t="shared" si="2"/>
        <v>-</v>
      </c>
      <c r="H24" s="27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7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8" t="str">
        <f t="shared" si="3"/>
        <v>-</v>
      </c>
      <c r="K24" s="28" t="str">
        <f t="shared" si="4"/>
        <v>-</v>
      </c>
      <c r="L24" s="297" t="str">
        <f t="shared" si="5"/>
        <v>-</v>
      </c>
      <c r="M24" s="297" t="str">
        <f t="shared" si="6"/>
        <v>-</v>
      </c>
      <c r="N24" s="28" t="str">
        <f t="shared" ca="1" si="7"/>
        <v>-</v>
      </c>
      <c r="O24" s="28" t="str">
        <f t="shared" ca="1" si="8"/>
        <v>-</v>
      </c>
      <c r="T24" s="1"/>
    </row>
    <row r="25" spans="2:20" x14ac:dyDescent="0.25">
      <c r="B25" s="26"/>
      <c r="D25" s="305" t="str">
        <f ca="1">IFERROR(IF(ISBLANK($A25),"-",SLOPE(INDIRECT("B" &amp; _xlfn.IFNA(MATCH($A25-$B$3,$A:$A,1),7)):B25,INDIRECT("A" &amp; _xlfn.IFNA(MATCH($A25-$B$3,$A:$A,1),7)):$A25)),"-")</f>
        <v>-</v>
      </c>
      <c r="E25" s="305" t="str">
        <f ca="1">IFERROR(IF(ISBLANK($A25),"-",SLOPE(INDIRECT("C" &amp; _xlfn.IFNA(MATCH($A25-$B$3,$A:$A,1),7)):C25,INDIRECT("A" &amp; _xlfn.IFNA(MATCH($A25-$B$3,$A:$A,1),7)):$A25)),"-")</f>
        <v>-</v>
      </c>
      <c r="F25" s="27" t="str">
        <f t="shared" si="1"/>
        <v>-</v>
      </c>
      <c r="G25" s="27" t="str">
        <f t="shared" si="2"/>
        <v>-</v>
      </c>
      <c r="H25" s="27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7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8" t="str">
        <f t="shared" si="3"/>
        <v>-</v>
      </c>
      <c r="K25" s="28" t="str">
        <f t="shared" si="4"/>
        <v>-</v>
      </c>
      <c r="L25" s="297" t="str">
        <f t="shared" si="5"/>
        <v>-</v>
      </c>
      <c r="M25" s="297" t="str">
        <f t="shared" si="6"/>
        <v>-</v>
      </c>
      <c r="N25" s="28" t="str">
        <f t="shared" ca="1" si="7"/>
        <v>-</v>
      </c>
      <c r="O25" s="28" t="str">
        <f t="shared" ca="1" si="8"/>
        <v>-</v>
      </c>
      <c r="T25" s="1"/>
    </row>
    <row r="26" spans="2:20" x14ac:dyDescent="0.25">
      <c r="B26" s="26"/>
      <c r="D26" s="305" t="str">
        <f ca="1">IFERROR(IF(ISBLANK($A26),"-",SLOPE(INDIRECT("B" &amp; _xlfn.IFNA(MATCH($A26-$B$3,$A:$A,1),7)):B26,INDIRECT("A" &amp; _xlfn.IFNA(MATCH($A26-$B$3,$A:$A,1),7)):$A26)),"-")</f>
        <v>-</v>
      </c>
      <c r="E26" s="305" t="str">
        <f ca="1">IFERROR(IF(ISBLANK($A26),"-",SLOPE(INDIRECT("C" &amp; _xlfn.IFNA(MATCH($A26-$B$3,$A:$A,1),7)):C26,INDIRECT("A" &amp; _xlfn.IFNA(MATCH($A26-$B$3,$A:$A,1),7)):$A26)),"-")</f>
        <v>-</v>
      </c>
      <c r="F26" s="27" t="str">
        <f t="shared" si="1"/>
        <v>-</v>
      </c>
      <c r="G26" s="27" t="str">
        <f t="shared" si="2"/>
        <v>-</v>
      </c>
      <c r="H26" s="27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7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8" t="str">
        <f t="shared" si="3"/>
        <v>-</v>
      </c>
      <c r="K26" s="28" t="str">
        <f t="shared" si="4"/>
        <v>-</v>
      </c>
      <c r="L26" s="297" t="str">
        <f t="shared" si="5"/>
        <v>-</v>
      </c>
      <c r="M26" s="297" t="str">
        <f t="shared" si="6"/>
        <v>-</v>
      </c>
      <c r="N26" s="28" t="str">
        <f t="shared" ca="1" si="7"/>
        <v>-</v>
      </c>
      <c r="O26" s="28" t="str">
        <f t="shared" ca="1" si="8"/>
        <v>-</v>
      </c>
      <c r="T26" s="1"/>
    </row>
    <row r="27" spans="2:20" x14ac:dyDescent="0.25">
      <c r="B27" s="26"/>
      <c r="D27" s="305" t="str">
        <f ca="1">IFERROR(IF(ISBLANK($A27),"-",SLOPE(INDIRECT("B" &amp; _xlfn.IFNA(MATCH($A27-$B$3,$A:$A,1),7)):B27,INDIRECT("A" &amp; _xlfn.IFNA(MATCH($A27-$B$3,$A:$A,1),7)):$A27)),"-")</f>
        <v>-</v>
      </c>
      <c r="E27" s="305" t="str">
        <f ca="1">IFERROR(IF(ISBLANK($A27),"-",SLOPE(INDIRECT("C" &amp; _xlfn.IFNA(MATCH($A27-$B$3,$A:$A,1),7)):C27,INDIRECT("A" &amp; _xlfn.IFNA(MATCH($A27-$B$3,$A:$A,1),7)):$A27)),"-")</f>
        <v>-</v>
      </c>
      <c r="F27" s="27" t="str">
        <f t="shared" si="1"/>
        <v>-</v>
      </c>
      <c r="G27" s="27" t="str">
        <f t="shared" si="2"/>
        <v>-</v>
      </c>
      <c r="H27" s="27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7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8" t="str">
        <f t="shared" si="3"/>
        <v>-</v>
      </c>
      <c r="K27" s="28" t="str">
        <f t="shared" si="4"/>
        <v>-</v>
      </c>
      <c r="L27" s="297" t="str">
        <f t="shared" si="5"/>
        <v>-</v>
      </c>
      <c r="M27" s="297" t="str">
        <f t="shared" si="6"/>
        <v>-</v>
      </c>
      <c r="N27" s="28" t="str">
        <f t="shared" ca="1" si="7"/>
        <v>-</v>
      </c>
      <c r="O27" s="28" t="str">
        <f t="shared" ca="1" si="8"/>
        <v>-</v>
      </c>
      <c r="T27" s="1"/>
    </row>
    <row r="28" spans="2:20" x14ac:dyDescent="0.25">
      <c r="B28" s="26"/>
      <c r="D28" s="305" t="str">
        <f ca="1">IFERROR(IF(ISBLANK($A28),"-",SLOPE(INDIRECT("B" &amp; _xlfn.IFNA(MATCH($A28-$B$3,$A:$A,1),7)):B28,INDIRECT("A" &amp; _xlfn.IFNA(MATCH($A28-$B$3,$A:$A,1),7)):$A28)),"-")</f>
        <v>-</v>
      </c>
      <c r="E28" s="305" t="str">
        <f ca="1">IFERROR(IF(ISBLANK($A28),"-",SLOPE(INDIRECT("C" &amp; _xlfn.IFNA(MATCH($A28-$B$3,$A:$A,1),7)):C28,INDIRECT("A" &amp; _xlfn.IFNA(MATCH($A28-$B$3,$A:$A,1),7)):$A28)),"-")</f>
        <v>-</v>
      </c>
      <c r="F28" s="27" t="str">
        <f t="shared" si="1"/>
        <v>-</v>
      </c>
      <c r="G28" s="27" t="str">
        <f t="shared" si="2"/>
        <v>-</v>
      </c>
      <c r="H28" s="27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7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8" t="str">
        <f t="shared" si="3"/>
        <v>-</v>
      </c>
      <c r="K28" s="28" t="str">
        <f t="shared" si="4"/>
        <v>-</v>
      </c>
      <c r="L28" s="297" t="str">
        <f t="shared" si="5"/>
        <v>-</v>
      </c>
      <c r="M28" s="297" t="str">
        <f t="shared" si="6"/>
        <v>-</v>
      </c>
      <c r="N28" s="28" t="str">
        <f t="shared" ca="1" si="7"/>
        <v>-</v>
      </c>
      <c r="O28" s="28" t="str">
        <f t="shared" ca="1" si="8"/>
        <v>-</v>
      </c>
      <c r="T28" s="1"/>
    </row>
    <row r="29" spans="2:20" x14ac:dyDescent="0.25">
      <c r="B29" s="26"/>
      <c r="D29" s="305" t="str">
        <f ca="1">IFERROR(IF(ISBLANK($A29),"-",SLOPE(INDIRECT("B" &amp; _xlfn.IFNA(MATCH($A29-$B$3,$A:$A,1),7)):B29,INDIRECT("A" &amp; _xlfn.IFNA(MATCH($A29-$B$3,$A:$A,1),7)):$A29)),"-")</f>
        <v>-</v>
      </c>
      <c r="E29" s="305" t="str">
        <f ca="1">IFERROR(IF(ISBLANK($A29),"-",SLOPE(INDIRECT("C" &amp; _xlfn.IFNA(MATCH($A29-$B$3,$A:$A,1),7)):C29,INDIRECT("A" &amp; _xlfn.IFNA(MATCH($A29-$B$3,$A:$A,1),7)):$A29)),"-")</f>
        <v>-</v>
      </c>
      <c r="F29" s="27" t="str">
        <f t="shared" si="1"/>
        <v>-</v>
      </c>
      <c r="G29" s="27" t="str">
        <f t="shared" si="2"/>
        <v>-</v>
      </c>
      <c r="H29" s="27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7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8" t="str">
        <f t="shared" si="3"/>
        <v>-</v>
      </c>
      <c r="K29" s="28" t="str">
        <f t="shared" si="4"/>
        <v>-</v>
      </c>
      <c r="L29" s="297" t="str">
        <f t="shared" si="5"/>
        <v>-</v>
      </c>
      <c r="M29" s="297" t="str">
        <f t="shared" si="6"/>
        <v>-</v>
      </c>
      <c r="N29" s="28" t="str">
        <f t="shared" ca="1" si="7"/>
        <v>-</v>
      </c>
      <c r="O29" s="28" t="str">
        <f t="shared" ca="1" si="8"/>
        <v>-</v>
      </c>
      <c r="T29" s="1"/>
    </row>
    <row r="30" spans="2:20" x14ac:dyDescent="0.25">
      <c r="B30" s="26"/>
      <c r="D30" s="305" t="str">
        <f ca="1">IFERROR(IF(ISBLANK($A30),"-",SLOPE(INDIRECT("B" &amp; _xlfn.IFNA(MATCH($A30-$B$3,$A:$A,1),7)):B30,INDIRECT("A" &amp; _xlfn.IFNA(MATCH($A30-$B$3,$A:$A,1),7)):$A30)),"-")</f>
        <v>-</v>
      </c>
      <c r="E30" s="305" t="str">
        <f ca="1">IFERROR(IF(ISBLANK($A30),"-",SLOPE(INDIRECT("C" &amp; _xlfn.IFNA(MATCH($A30-$B$3,$A:$A,1),7)):C30,INDIRECT("A" &amp; _xlfn.IFNA(MATCH($A30-$B$3,$A:$A,1),7)):$A30)),"-")</f>
        <v>-</v>
      </c>
      <c r="F30" s="27" t="str">
        <f t="shared" si="1"/>
        <v>-</v>
      </c>
      <c r="G30" s="27" t="str">
        <f t="shared" si="2"/>
        <v>-</v>
      </c>
      <c r="H30" s="27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7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8" t="str">
        <f t="shared" si="3"/>
        <v>-</v>
      </c>
      <c r="K30" s="28" t="str">
        <f t="shared" si="4"/>
        <v>-</v>
      </c>
      <c r="L30" s="297" t="str">
        <f t="shared" si="5"/>
        <v>-</v>
      </c>
      <c r="M30" s="297" t="str">
        <f t="shared" si="6"/>
        <v>-</v>
      </c>
      <c r="N30" s="28" t="str">
        <f t="shared" ca="1" si="7"/>
        <v>-</v>
      </c>
      <c r="O30" s="28" t="str">
        <f t="shared" ca="1" si="8"/>
        <v>-</v>
      </c>
      <c r="T30" s="1"/>
    </row>
    <row r="31" spans="2:20" x14ac:dyDescent="0.25">
      <c r="B31" s="26"/>
      <c r="D31" s="305" t="str">
        <f ca="1">IFERROR(IF(ISBLANK($A31),"-",SLOPE(INDIRECT("B" &amp; _xlfn.IFNA(MATCH($A31-$B$3,$A:$A,1),7)):B31,INDIRECT("A" &amp; _xlfn.IFNA(MATCH($A31-$B$3,$A:$A,1),7)):$A31)),"-")</f>
        <v>-</v>
      </c>
      <c r="E31" s="305" t="str">
        <f ca="1">IFERROR(IF(ISBLANK($A31),"-",SLOPE(INDIRECT("C" &amp; _xlfn.IFNA(MATCH($A31-$B$3,$A:$A,1),7)):C31,INDIRECT("A" &amp; _xlfn.IFNA(MATCH($A31-$B$3,$A:$A,1),7)):$A31)),"-")</f>
        <v>-</v>
      </c>
      <c r="F31" s="27" t="str">
        <f t="shared" si="1"/>
        <v>-</v>
      </c>
      <c r="G31" s="27" t="str">
        <f t="shared" si="2"/>
        <v>-</v>
      </c>
      <c r="H31" s="27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7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8" t="str">
        <f t="shared" si="3"/>
        <v>-</v>
      </c>
      <c r="K31" s="28" t="str">
        <f t="shared" si="4"/>
        <v>-</v>
      </c>
      <c r="L31" s="297" t="str">
        <f t="shared" si="5"/>
        <v>-</v>
      </c>
      <c r="M31" s="297" t="str">
        <f t="shared" si="6"/>
        <v>-</v>
      </c>
      <c r="N31" s="28" t="str">
        <f t="shared" ca="1" si="7"/>
        <v>-</v>
      </c>
      <c r="O31" s="28" t="str">
        <f t="shared" ca="1" si="8"/>
        <v>-</v>
      </c>
      <c r="T31" s="1"/>
    </row>
    <row r="32" spans="2:20" x14ac:dyDescent="0.25">
      <c r="B32" s="26"/>
      <c r="D32" s="305" t="str">
        <f ca="1">IFERROR(IF(ISBLANK($A32),"-",SLOPE(INDIRECT("B" &amp; _xlfn.IFNA(MATCH($A32-$B$3,$A:$A,1),7)):B32,INDIRECT("A" &amp; _xlfn.IFNA(MATCH($A32-$B$3,$A:$A,1),7)):$A32)),"-")</f>
        <v>-</v>
      </c>
      <c r="E32" s="305" t="str">
        <f ca="1">IFERROR(IF(ISBLANK($A32),"-",SLOPE(INDIRECT("C" &amp; _xlfn.IFNA(MATCH($A32-$B$3,$A:$A,1),7)):C32,INDIRECT("A" &amp; _xlfn.IFNA(MATCH($A32-$B$3,$A:$A,1),7)):$A32)),"-")</f>
        <v>-</v>
      </c>
      <c r="F32" s="27" t="str">
        <f t="shared" si="1"/>
        <v>-</v>
      </c>
      <c r="G32" s="27" t="str">
        <f t="shared" si="2"/>
        <v>-</v>
      </c>
      <c r="H32" s="27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7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8" t="str">
        <f t="shared" si="3"/>
        <v>-</v>
      </c>
      <c r="K32" s="28" t="str">
        <f t="shared" si="4"/>
        <v>-</v>
      </c>
      <c r="L32" s="297" t="str">
        <f t="shared" si="5"/>
        <v>-</v>
      </c>
      <c r="M32" s="297" t="str">
        <f t="shared" si="6"/>
        <v>-</v>
      </c>
      <c r="N32" s="28" t="str">
        <f t="shared" ca="1" si="7"/>
        <v>-</v>
      </c>
      <c r="O32" s="28" t="str">
        <f t="shared" ca="1" si="8"/>
        <v>-</v>
      </c>
      <c r="T32" s="1"/>
    </row>
    <row r="33" spans="2:20" x14ac:dyDescent="0.25">
      <c r="B33" s="26"/>
      <c r="D33" s="305" t="str">
        <f ca="1">IFERROR(IF(ISBLANK($A33),"-",SLOPE(INDIRECT("B" &amp; _xlfn.IFNA(MATCH($A33-$B$3,$A:$A,1),7)):B33,INDIRECT("A" &amp; _xlfn.IFNA(MATCH($A33-$B$3,$A:$A,1),7)):$A33)),"-")</f>
        <v>-</v>
      </c>
      <c r="E33" s="305" t="str">
        <f ca="1">IFERROR(IF(ISBLANK($A33),"-",SLOPE(INDIRECT("C" &amp; _xlfn.IFNA(MATCH($A33-$B$3,$A:$A,1),7)):C33,INDIRECT("A" &amp; _xlfn.IFNA(MATCH($A33-$B$3,$A:$A,1),7)):$A33)),"-")</f>
        <v>-</v>
      </c>
      <c r="F33" s="27" t="str">
        <f t="shared" si="1"/>
        <v>-</v>
      </c>
      <c r="G33" s="27" t="str">
        <f t="shared" si="2"/>
        <v>-</v>
      </c>
      <c r="H33" s="27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7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8" t="str">
        <f t="shared" si="3"/>
        <v>-</v>
      </c>
      <c r="K33" s="28" t="str">
        <f t="shared" si="4"/>
        <v>-</v>
      </c>
      <c r="L33" s="297" t="str">
        <f t="shared" si="5"/>
        <v>-</v>
      </c>
      <c r="M33" s="297" t="str">
        <f t="shared" si="6"/>
        <v>-</v>
      </c>
      <c r="N33" s="28" t="str">
        <f t="shared" ca="1" si="7"/>
        <v>-</v>
      </c>
      <c r="O33" s="28" t="str">
        <f t="shared" ca="1" si="8"/>
        <v>-</v>
      </c>
      <c r="T33" s="1"/>
    </row>
    <row r="34" spans="2:20" x14ac:dyDescent="0.25">
      <c r="B34" s="26"/>
      <c r="D34" s="305" t="str">
        <f ca="1">IFERROR(IF(ISBLANK($A34),"-",SLOPE(INDIRECT("B" &amp; _xlfn.IFNA(MATCH($A34-$B$3,$A:$A,1),7)):B34,INDIRECT("A" &amp; _xlfn.IFNA(MATCH($A34-$B$3,$A:$A,1),7)):$A34)),"-")</f>
        <v>-</v>
      </c>
      <c r="E34" s="305" t="str">
        <f ca="1">IFERROR(IF(ISBLANK($A34),"-",SLOPE(INDIRECT("C" &amp; _xlfn.IFNA(MATCH($A34-$B$3,$A:$A,1),7)):C34,INDIRECT("A" &amp; _xlfn.IFNA(MATCH($A34-$B$3,$A:$A,1),7)):$A34)),"-")</f>
        <v>-</v>
      </c>
      <c r="F34" s="27" t="str">
        <f t="shared" si="1"/>
        <v>-</v>
      </c>
      <c r="G34" s="27" t="str">
        <f t="shared" si="2"/>
        <v>-</v>
      </c>
      <c r="H34" s="27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7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8" t="str">
        <f t="shared" si="3"/>
        <v>-</v>
      </c>
      <c r="K34" s="28" t="str">
        <f t="shared" si="4"/>
        <v>-</v>
      </c>
      <c r="L34" s="297" t="str">
        <f t="shared" si="5"/>
        <v>-</v>
      </c>
      <c r="M34" s="297" t="str">
        <f t="shared" si="6"/>
        <v>-</v>
      </c>
      <c r="N34" s="28" t="str">
        <f t="shared" ca="1" si="7"/>
        <v>-</v>
      </c>
      <c r="O34" s="28" t="str">
        <f t="shared" ca="1" si="8"/>
        <v>-</v>
      </c>
      <c r="T34" s="1"/>
    </row>
    <row r="35" spans="2:20" x14ac:dyDescent="0.25">
      <c r="B35" s="26"/>
      <c r="D35" s="305" t="str">
        <f ca="1">IFERROR(IF(ISBLANK($A35),"-",SLOPE(INDIRECT("B" &amp; _xlfn.IFNA(MATCH($A35-$B$3,$A:$A,1),7)):B35,INDIRECT("A" &amp; _xlfn.IFNA(MATCH($A35-$B$3,$A:$A,1),7)):$A35)),"-")</f>
        <v>-</v>
      </c>
      <c r="E35" s="305" t="str">
        <f ca="1">IFERROR(IF(ISBLANK($A35),"-",SLOPE(INDIRECT("C" &amp; _xlfn.IFNA(MATCH($A35-$B$3,$A:$A,1),7)):C35,INDIRECT("A" &amp; _xlfn.IFNA(MATCH($A35-$B$3,$A:$A,1),7)):$A35)),"-")</f>
        <v>-</v>
      </c>
      <c r="F35" s="27" t="str">
        <f t="shared" si="1"/>
        <v>-</v>
      </c>
      <c r="G35" s="27" t="str">
        <f t="shared" si="2"/>
        <v>-</v>
      </c>
      <c r="H35" s="27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7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8" t="str">
        <f t="shared" si="3"/>
        <v>-</v>
      </c>
      <c r="K35" s="28" t="str">
        <f t="shared" si="4"/>
        <v>-</v>
      </c>
      <c r="L35" s="297" t="str">
        <f t="shared" si="5"/>
        <v>-</v>
      </c>
      <c r="M35" s="297" t="str">
        <f t="shared" si="6"/>
        <v>-</v>
      </c>
      <c r="N35" s="28" t="str">
        <f t="shared" ca="1" si="7"/>
        <v>-</v>
      </c>
      <c r="O35" s="28" t="str">
        <f t="shared" ca="1" si="8"/>
        <v>-</v>
      </c>
      <c r="T35" s="1"/>
    </row>
    <row r="36" spans="2:20" x14ac:dyDescent="0.25">
      <c r="B36" s="26"/>
      <c r="D36" s="305" t="str">
        <f ca="1">IFERROR(IF(ISBLANK($A36),"-",SLOPE(INDIRECT("B" &amp; _xlfn.IFNA(MATCH($A36-$B$3,$A:$A,1),7)):B36,INDIRECT("A" &amp; _xlfn.IFNA(MATCH($A36-$B$3,$A:$A,1),7)):$A36)),"-")</f>
        <v>-</v>
      </c>
      <c r="E36" s="305" t="str">
        <f ca="1">IFERROR(IF(ISBLANK($A36),"-",SLOPE(INDIRECT("C" &amp; _xlfn.IFNA(MATCH($A36-$B$3,$A:$A,1),7)):C36,INDIRECT("A" &amp; _xlfn.IFNA(MATCH($A36-$B$3,$A:$A,1),7)):$A36)),"-")</f>
        <v>-</v>
      </c>
      <c r="F36" s="27" t="str">
        <f t="shared" si="1"/>
        <v>-</v>
      </c>
      <c r="G36" s="27" t="str">
        <f t="shared" si="2"/>
        <v>-</v>
      </c>
      <c r="H36" s="27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7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8" t="str">
        <f t="shared" si="3"/>
        <v>-</v>
      </c>
      <c r="K36" s="28" t="str">
        <f t="shared" si="4"/>
        <v>-</v>
      </c>
      <c r="L36" s="297" t="str">
        <f t="shared" si="5"/>
        <v>-</v>
      </c>
      <c r="M36" s="297" t="str">
        <f t="shared" si="6"/>
        <v>-</v>
      </c>
      <c r="N36" s="28" t="str">
        <f t="shared" ca="1" si="7"/>
        <v>-</v>
      </c>
      <c r="O36" s="28" t="str">
        <f t="shared" ca="1" si="8"/>
        <v>-</v>
      </c>
      <c r="T36" s="1"/>
    </row>
    <row r="37" spans="2:20" x14ac:dyDescent="0.25">
      <c r="B37" s="26"/>
      <c r="D37" s="305" t="str">
        <f ca="1">IFERROR(IF(ISBLANK($A37),"-",SLOPE(INDIRECT("B" &amp; _xlfn.IFNA(MATCH($A37-$B$3,$A:$A,1),7)):B37,INDIRECT("A" &amp; _xlfn.IFNA(MATCH($A37-$B$3,$A:$A,1),7)):$A37)),"-")</f>
        <v>-</v>
      </c>
      <c r="E37" s="305" t="str">
        <f ca="1">IFERROR(IF(ISBLANK($A37),"-",SLOPE(INDIRECT("C" &amp; _xlfn.IFNA(MATCH($A37-$B$3,$A:$A,1),7)):C37,INDIRECT("A" &amp; _xlfn.IFNA(MATCH($A37-$B$3,$A:$A,1),7)):$A37)),"-")</f>
        <v>-</v>
      </c>
      <c r="F37" s="27" t="str">
        <f t="shared" si="1"/>
        <v>-</v>
      </c>
      <c r="G37" s="27" t="str">
        <f t="shared" si="2"/>
        <v>-</v>
      </c>
      <c r="H37" s="27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7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8" t="str">
        <f t="shared" si="3"/>
        <v>-</v>
      </c>
      <c r="K37" s="28" t="str">
        <f t="shared" si="4"/>
        <v>-</v>
      </c>
      <c r="L37" s="297" t="str">
        <f t="shared" si="5"/>
        <v>-</v>
      </c>
      <c r="M37" s="297" t="str">
        <f t="shared" si="6"/>
        <v>-</v>
      </c>
      <c r="N37" s="28" t="str">
        <f t="shared" ca="1" si="7"/>
        <v>-</v>
      </c>
      <c r="O37" s="28" t="str">
        <f t="shared" ca="1" si="8"/>
        <v>-</v>
      </c>
      <c r="T37" s="1"/>
    </row>
    <row r="38" spans="2:20" x14ac:dyDescent="0.25">
      <c r="B38" s="26"/>
      <c r="D38" s="305" t="str">
        <f ca="1">IFERROR(IF(ISBLANK($A38),"-",SLOPE(INDIRECT("B" &amp; _xlfn.IFNA(MATCH($A38-$B$3,$A:$A,1),7)):B38,INDIRECT("A" &amp; _xlfn.IFNA(MATCH($A38-$B$3,$A:$A,1),7)):$A38)),"-")</f>
        <v>-</v>
      </c>
      <c r="E38" s="305" t="str">
        <f ca="1">IFERROR(IF(ISBLANK($A38),"-",SLOPE(INDIRECT("C" &amp; _xlfn.IFNA(MATCH($A38-$B$3,$A:$A,1),7)):C38,INDIRECT("A" &amp; _xlfn.IFNA(MATCH($A38-$B$3,$A:$A,1),7)):$A38)),"-")</f>
        <v>-</v>
      </c>
      <c r="F38" s="27" t="str">
        <f t="shared" si="1"/>
        <v>-</v>
      </c>
      <c r="G38" s="27" t="str">
        <f t="shared" si="2"/>
        <v>-</v>
      </c>
      <c r="H38" s="27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7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8" t="str">
        <f t="shared" si="3"/>
        <v>-</v>
      </c>
      <c r="K38" s="28" t="str">
        <f t="shared" si="4"/>
        <v>-</v>
      </c>
      <c r="L38" s="297" t="str">
        <f t="shared" si="5"/>
        <v>-</v>
      </c>
      <c r="M38" s="297" t="str">
        <f t="shared" si="6"/>
        <v>-</v>
      </c>
      <c r="N38" s="28" t="str">
        <f t="shared" ca="1" si="7"/>
        <v>-</v>
      </c>
      <c r="O38" s="28" t="str">
        <f t="shared" ca="1" si="8"/>
        <v>-</v>
      </c>
      <c r="T38" s="1"/>
    </row>
    <row r="39" spans="2:20" x14ac:dyDescent="0.25">
      <c r="B39" s="26"/>
      <c r="D39" s="305" t="str">
        <f ca="1">IFERROR(IF(ISBLANK($A39),"-",SLOPE(INDIRECT("B" &amp; _xlfn.IFNA(MATCH($A39-$B$3,$A:$A,1),7)):B39,INDIRECT("A" &amp; _xlfn.IFNA(MATCH($A39-$B$3,$A:$A,1),7)):$A39)),"-")</f>
        <v>-</v>
      </c>
      <c r="E39" s="305" t="str">
        <f ca="1">IFERROR(IF(ISBLANK($A39),"-",SLOPE(INDIRECT("C" &amp; _xlfn.IFNA(MATCH($A39-$B$3,$A:$A,1),7)):C39,INDIRECT("A" &amp; _xlfn.IFNA(MATCH($A39-$B$3,$A:$A,1),7)):$A39)),"-")</f>
        <v>-</v>
      </c>
      <c r="F39" s="27" t="str">
        <f t="shared" ref="F39:F70" si="9">IF($A39&gt;RAID_TIME_START,$L$2*($A39-RAID_TIME_START)/$F$2,"-")</f>
        <v>-</v>
      </c>
      <c r="G39" s="27" t="str">
        <f t="shared" ref="G39:G70" si="10">IF($A39&gt;RAID_TIME_START,$L$3*($A39-RAID_TIME_START)/$F$2,"-")</f>
        <v>-</v>
      </c>
      <c r="H39" s="27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7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8" t="str">
        <f t="shared" ref="J39:J70" si="11">IFERROR(B39-F39,"-")</f>
        <v>-</v>
      </c>
      <c r="K39" s="28" t="str">
        <f t="shared" ref="K39:K70" si="12">IFERROR(C39-G39,"-")</f>
        <v>-</v>
      </c>
      <c r="L39" s="297" t="str">
        <f t="shared" ref="L39:L70" si="13">IFERROR(J39/F39,"-")</f>
        <v>-</v>
      </c>
      <c r="M39" s="297" t="str">
        <f t="shared" ref="M39:M70" si="14">IFERROR(K39/G39,"-")</f>
        <v>-</v>
      </c>
      <c r="N39" s="28" t="str">
        <f t="shared" ref="N39:N70" ca="1" si="15">IFERROR(H39 - RAID_GOAL_EMBLEM,"-")</f>
        <v>-</v>
      </c>
      <c r="O39" s="28" t="str">
        <f t="shared" ref="O39:O70" ca="1" si="16">IFERROR(I39 - RAID_GOAL_BLAZON,"-")</f>
        <v>-</v>
      </c>
      <c r="T39" s="1"/>
    </row>
    <row r="40" spans="2:20" x14ac:dyDescent="0.25">
      <c r="B40" s="26"/>
      <c r="D40" s="305" t="str">
        <f ca="1">IFERROR(IF(ISBLANK($A40),"-",SLOPE(INDIRECT("B" &amp; _xlfn.IFNA(MATCH($A40-$B$3,$A:$A,1),7)):B40,INDIRECT("A" &amp; _xlfn.IFNA(MATCH($A40-$B$3,$A:$A,1),7)):$A40)),"-")</f>
        <v>-</v>
      </c>
      <c r="E40" s="305" t="str">
        <f ca="1">IFERROR(IF(ISBLANK($A40),"-",SLOPE(INDIRECT("C" &amp; _xlfn.IFNA(MATCH($A40-$B$3,$A:$A,1),7)):C40,INDIRECT("A" &amp; _xlfn.IFNA(MATCH($A40-$B$3,$A:$A,1),7)):$A40)),"-")</f>
        <v>-</v>
      </c>
      <c r="F40" s="27" t="str">
        <f t="shared" si="9"/>
        <v>-</v>
      </c>
      <c r="G40" s="27" t="str">
        <f t="shared" si="10"/>
        <v>-</v>
      </c>
      <c r="H40" s="27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7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8" t="str">
        <f t="shared" si="11"/>
        <v>-</v>
      </c>
      <c r="K40" s="28" t="str">
        <f t="shared" si="12"/>
        <v>-</v>
      </c>
      <c r="L40" s="297" t="str">
        <f t="shared" si="13"/>
        <v>-</v>
      </c>
      <c r="M40" s="297" t="str">
        <f t="shared" si="14"/>
        <v>-</v>
      </c>
      <c r="N40" s="28" t="str">
        <f t="shared" ca="1" si="15"/>
        <v>-</v>
      </c>
      <c r="O40" s="28" t="str">
        <f t="shared" ca="1" si="16"/>
        <v>-</v>
      </c>
      <c r="T40" s="1"/>
    </row>
    <row r="41" spans="2:20" x14ac:dyDescent="0.25">
      <c r="B41" s="26"/>
      <c r="D41" s="305" t="str">
        <f ca="1">IFERROR(IF(ISBLANK($A41),"-",SLOPE(INDIRECT("B" &amp; _xlfn.IFNA(MATCH($A41-$B$3,$A:$A,1),7)):B41,INDIRECT("A" &amp; _xlfn.IFNA(MATCH($A41-$B$3,$A:$A,1),7)):$A41)),"-")</f>
        <v>-</v>
      </c>
      <c r="E41" s="305" t="str">
        <f ca="1">IFERROR(IF(ISBLANK($A41),"-",SLOPE(INDIRECT("C" &amp; _xlfn.IFNA(MATCH($A41-$B$3,$A:$A,1),7)):C41,INDIRECT("A" &amp; _xlfn.IFNA(MATCH($A41-$B$3,$A:$A,1),7)):$A41)),"-")</f>
        <v>-</v>
      </c>
      <c r="F41" s="27" t="str">
        <f t="shared" si="9"/>
        <v>-</v>
      </c>
      <c r="G41" s="27" t="str">
        <f t="shared" si="10"/>
        <v>-</v>
      </c>
      <c r="H41" s="27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7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8" t="str">
        <f t="shared" si="11"/>
        <v>-</v>
      </c>
      <c r="K41" s="28" t="str">
        <f t="shared" si="12"/>
        <v>-</v>
      </c>
      <c r="L41" s="297" t="str">
        <f t="shared" si="13"/>
        <v>-</v>
      </c>
      <c r="M41" s="297" t="str">
        <f t="shared" si="14"/>
        <v>-</v>
      </c>
      <c r="N41" s="28" t="str">
        <f t="shared" ca="1" si="15"/>
        <v>-</v>
      </c>
      <c r="O41" s="28" t="str">
        <f t="shared" ca="1" si="16"/>
        <v>-</v>
      </c>
      <c r="T41" s="1"/>
    </row>
    <row r="42" spans="2:20" x14ac:dyDescent="0.25">
      <c r="B42" s="26"/>
      <c r="D42" s="305" t="str">
        <f ca="1">IFERROR(IF(ISBLANK($A42),"-",SLOPE(INDIRECT("B" &amp; _xlfn.IFNA(MATCH($A42-$B$3,$A:$A,1),7)):B42,INDIRECT("A" &amp; _xlfn.IFNA(MATCH($A42-$B$3,$A:$A,1),7)):$A42)),"-")</f>
        <v>-</v>
      </c>
      <c r="E42" s="305" t="str">
        <f ca="1">IFERROR(IF(ISBLANK($A42),"-",SLOPE(INDIRECT("C" &amp; _xlfn.IFNA(MATCH($A42-$B$3,$A:$A,1),7)):C42,INDIRECT("A" &amp; _xlfn.IFNA(MATCH($A42-$B$3,$A:$A,1),7)):$A42)),"-")</f>
        <v>-</v>
      </c>
      <c r="F42" s="27" t="str">
        <f t="shared" si="9"/>
        <v>-</v>
      </c>
      <c r="G42" s="27" t="str">
        <f t="shared" si="10"/>
        <v>-</v>
      </c>
      <c r="H42" s="27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7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8" t="str">
        <f t="shared" si="11"/>
        <v>-</v>
      </c>
      <c r="K42" s="28" t="str">
        <f t="shared" si="12"/>
        <v>-</v>
      </c>
      <c r="L42" s="297" t="str">
        <f t="shared" si="13"/>
        <v>-</v>
      </c>
      <c r="M42" s="297" t="str">
        <f t="shared" si="14"/>
        <v>-</v>
      </c>
      <c r="N42" s="28" t="str">
        <f t="shared" ca="1" si="15"/>
        <v>-</v>
      </c>
      <c r="O42" s="28" t="str">
        <f t="shared" ca="1" si="16"/>
        <v>-</v>
      </c>
      <c r="T42" s="1"/>
    </row>
    <row r="43" spans="2:20" x14ac:dyDescent="0.25">
      <c r="B43" s="26"/>
      <c r="D43" s="305" t="str">
        <f ca="1">IFERROR(IF(ISBLANK($A43),"-",SLOPE(INDIRECT("B" &amp; _xlfn.IFNA(MATCH($A43-$B$3,$A:$A,1),7)):B43,INDIRECT("A" &amp; _xlfn.IFNA(MATCH($A43-$B$3,$A:$A,1),7)):$A43)),"-")</f>
        <v>-</v>
      </c>
      <c r="E43" s="305" t="str">
        <f ca="1">IFERROR(IF(ISBLANK($A43),"-",SLOPE(INDIRECT("C" &amp; _xlfn.IFNA(MATCH($A43-$B$3,$A:$A,1),7)):C43,INDIRECT("A" &amp; _xlfn.IFNA(MATCH($A43-$B$3,$A:$A,1),7)):$A43)),"-")</f>
        <v>-</v>
      </c>
      <c r="F43" s="27" t="str">
        <f t="shared" si="9"/>
        <v>-</v>
      </c>
      <c r="G43" s="27" t="str">
        <f t="shared" si="10"/>
        <v>-</v>
      </c>
      <c r="H43" s="27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7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8" t="str">
        <f t="shared" si="11"/>
        <v>-</v>
      </c>
      <c r="K43" s="28" t="str">
        <f t="shared" si="12"/>
        <v>-</v>
      </c>
      <c r="L43" s="297" t="str">
        <f t="shared" si="13"/>
        <v>-</v>
      </c>
      <c r="M43" s="297" t="str">
        <f t="shared" si="14"/>
        <v>-</v>
      </c>
      <c r="N43" s="28" t="str">
        <f t="shared" ca="1" si="15"/>
        <v>-</v>
      </c>
      <c r="O43" s="28" t="str">
        <f t="shared" ca="1" si="16"/>
        <v>-</v>
      </c>
      <c r="T43" s="1"/>
    </row>
    <row r="44" spans="2:20" x14ac:dyDescent="0.25">
      <c r="B44" s="26"/>
      <c r="D44" s="305" t="str">
        <f ca="1">IFERROR(IF(ISBLANK($A44),"-",SLOPE(INDIRECT("B" &amp; _xlfn.IFNA(MATCH($A44-$B$3,$A:$A,1),7)):B44,INDIRECT("A" &amp; _xlfn.IFNA(MATCH($A44-$B$3,$A:$A,1),7)):$A44)),"-")</f>
        <v>-</v>
      </c>
      <c r="E44" s="305" t="str">
        <f ca="1">IFERROR(IF(ISBLANK($A44),"-",SLOPE(INDIRECT("C" &amp; _xlfn.IFNA(MATCH($A44-$B$3,$A:$A,1),7)):C44,INDIRECT("A" &amp; _xlfn.IFNA(MATCH($A44-$B$3,$A:$A,1),7)):$A44)),"-")</f>
        <v>-</v>
      </c>
      <c r="F44" s="27" t="str">
        <f t="shared" si="9"/>
        <v>-</v>
      </c>
      <c r="G44" s="27" t="str">
        <f t="shared" si="10"/>
        <v>-</v>
      </c>
      <c r="H44" s="27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7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8" t="str">
        <f t="shared" si="11"/>
        <v>-</v>
      </c>
      <c r="K44" s="28" t="str">
        <f t="shared" si="12"/>
        <v>-</v>
      </c>
      <c r="L44" s="297" t="str">
        <f t="shared" si="13"/>
        <v>-</v>
      </c>
      <c r="M44" s="297" t="str">
        <f t="shared" si="14"/>
        <v>-</v>
      </c>
      <c r="N44" s="28" t="str">
        <f t="shared" ca="1" si="15"/>
        <v>-</v>
      </c>
      <c r="O44" s="28" t="str">
        <f t="shared" ca="1" si="16"/>
        <v>-</v>
      </c>
      <c r="T44" s="1"/>
    </row>
    <row r="45" spans="2:20" x14ac:dyDescent="0.25">
      <c r="B45" s="26"/>
      <c r="D45" s="305" t="str">
        <f ca="1">IFERROR(IF(ISBLANK($A45),"-",SLOPE(INDIRECT("B" &amp; _xlfn.IFNA(MATCH($A45-$B$3,$A:$A,1),7)):B45,INDIRECT("A" &amp; _xlfn.IFNA(MATCH($A45-$B$3,$A:$A,1),7)):$A45)),"-")</f>
        <v>-</v>
      </c>
      <c r="E45" s="305" t="str">
        <f ca="1">IFERROR(IF(ISBLANK($A45),"-",SLOPE(INDIRECT("C" &amp; _xlfn.IFNA(MATCH($A45-$B$3,$A:$A,1),7)):C45,INDIRECT("A" &amp; _xlfn.IFNA(MATCH($A45-$B$3,$A:$A,1),7)):$A45)),"-")</f>
        <v>-</v>
      </c>
      <c r="F45" s="27" t="str">
        <f t="shared" si="9"/>
        <v>-</v>
      </c>
      <c r="G45" s="27" t="str">
        <f t="shared" si="10"/>
        <v>-</v>
      </c>
      <c r="H45" s="27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7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8" t="str">
        <f t="shared" si="11"/>
        <v>-</v>
      </c>
      <c r="K45" s="28" t="str">
        <f t="shared" si="12"/>
        <v>-</v>
      </c>
      <c r="L45" s="297" t="str">
        <f t="shared" si="13"/>
        <v>-</v>
      </c>
      <c r="M45" s="297" t="str">
        <f t="shared" si="14"/>
        <v>-</v>
      </c>
      <c r="N45" s="28" t="str">
        <f t="shared" ca="1" si="15"/>
        <v>-</v>
      </c>
      <c r="O45" s="28" t="str">
        <f t="shared" ca="1" si="16"/>
        <v>-</v>
      </c>
      <c r="T45" s="1"/>
    </row>
    <row r="46" spans="2:20" x14ac:dyDescent="0.25">
      <c r="B46" s="26"/>
      <c r="D46" s="305" t="str">
        <f ca="1">IFERROR(IF(ISBLANK($A46),"-",SLOPE(INDIRECT("B" &amp; _xlfn.IFNA(MATCH($A46-$B$3,$A:$A,1),7)):B46,INDIRECT("A" &amp; _xlfn.IFNA(MATCH($A46-$B$3,$A:$A,1),7)):$A46)),"-")</f>
        <v>-</v>
      </c>
      <c r="E46" s="305" t="str">
        <f ca="1">IFERROR(IF(ISBLANK($A46),"-",SLOPE(INDIRECT("C" &amp; _xlfn.IFNA(MATCH($A46-$B$3,$A:$A,1),7)):C46,INDIRECT("A" &amp; _xlfn.IFNA(MATCH($A46-$B$3,$A:$A,1),7)):$A46)),"-")</f>
        <v>-</v>
      </c>
      <c r="F46" s="27" t="str">
        <f t="shared" si="9"/>
        <v>-</v>
      </c>
      <c r="G46" s="27" t="str">
        <f t="shared" si="10"/>
        <v>-</v>
      </c>
      <c r="H46" s="27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7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8" t="str">
        <f t="shared" si="11"/>
        <v>-</v>
      </c>
      <c r="K46" s="28" t="str">
        <f t="shared" si="12"/>
        <v>-</v>
      </c>
      <c r="L46" s="297" t="str">
        <f t="shared" si="13"/>
        <v>-</v>
      </c>
      <c r="M46" s="297" t="str">
        <f t="shared" si="14"/>
        <v>-</v>
      </c>
      <c r="N46" s="28" t="str">
        <f t="shared" ca="1" si="15"/>
        <v>-</v>
      </c>
      <c r="O46" s="28" t="str">
        <f t="shared" ca="1" si="16"/>
        <v>-</v>
      </c>
      <c r="T46" s="1"/>
    </row>
    <row r="47" spans="2:20" x14ac:dyDescent="0.25">
      <c r="B47" s="26"/>
      <c r="D47" s="305" t="str">
        <f ca="1">IFERROR(IF(ISBLANK($A47),"-",SLOPE(INDIRECT("B" &amp; _xlfn.IFNA(MATCH($A47-$B$3,$A:$A,1),7)):B47,INDIRECT("A" &amp; _xlfn.IFNA(MATCH($A47-$B$3,$A:$A,1),7)):$A47)),"-")</f>
        <v>-</v>
      </c>
      <c r="E47" s="305" t="str">
        <f ca="1">IFERROR(IF(ISBLANK($A47),"-",SLOPE(INDIRECT("C" &amp; _xlfn.IFNA(MATCH($A47-$B$3,$A:$A,1),7)):C47,INDIRECT("A" &amp; _xlfn.IFNA(MATCH($A47-$B$3,$A:$A,1),7)):$A47)),"-")</f>
        <v>-</v>
      </c>
      <c r="F47" s="27" t="str">
        <f t="shared" si="9"/>
        <v>-</v>
      </c>
      <c r="G47" s="27" t="str">
        <f t="shared" si="10"/>
        <v>-</v>
      </c>
      <c r="H47" s="27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7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8" t="str">
        <f t="shared" si="11"/>
        <v>-</v>
      </c>
      <c r="K47" s="28" t="str">
        <f t="shared" si="12"/>
        <v>-</v>
      </c>
      <c r="L47" s="297" t="str">
        <f t="shared" si="13"/>
        <v>-</v>
      </c>
      <c r="M47" s="297" t="str">
        <f t="shared" si="14"/>
        <v>-</v>
      </c>
      <c r="N47" s="28" t="str">
        <f t="shared" ca="1" si="15"/>
        <v>-</v>
      </c>
      <c r="O47" s="28" t="str">
        <f t="shared" ca="1" si="16"/>
        <v>-</v>
      </c>
      <c r="T47" s="1"/>
    </row>
    <row r="48" spans="2:20" x14ac:dyDescent="0.25">
      <c r="B48" s="26"/>
      <c r="D48" s="305" t="str">
        <f ca="1">IFERROR(IF(ISBLANK($A48),"-",SLOPE(INDIRECT("B" &amp; _xlfn.IFNA(MATCH($A48-$B$3,$A:$A,1),7)):B48,INDIRECT("A" &amp; _xlfn.IFNA(MATCH($A48-$B$3,$A:$A,1),7)):$A48)),"-")</f>
        <v>-</v>
      </c>
      <c r="E48" s="305" t="str">
        <f ca="1">IFERROR(IF(ISBLANK($A48),"-",SLOPE(INDIRECT("C" &amp; _xlfn.IFNA(MATCH($A48-$B$3,$A:$A,1),7)):C48,INDIRECT("A" &amp; _xlfn.IFNA(MATCH($A48-$B$3,$A:$A,1),7)):$A48)),"-")</f>
        <v>-</v>
      </c>
      <c r="F48" s="27" t="str">
        <f t="shared" si="9"/>
        <v>-</v>
      </c>
      <c r="G48" s="27" t="str">
        <f t="shared" si="10"/>
        <v>-</v>
      </c>
      <c r="H48" s="27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7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8" t="str">
        <f t="shared" si="11"/>
        <v>-</v>
      </c>
      <c r="K48" s="28" t="str">
        <f t="shared" si="12"/>
        <v>-</v>
      </c>
      <c r="L48" s="297" t="str">
        <f t="shared" si="13"/>
        <v>-</v>
      </c>
      <c r="M48" s="297" t="str">
        <f t="shared" si="14"/>
        <v>-</v>
      </c>
      <c r="N48" s="28" t="str">
        <f t="shared" ca="1" si="15"/>
        <v>-</v>
      </c>
      <c r="O48" s="28" t="str">
        <f t="shared" ca="1" si="16"/>
        <v>-</v>
      </c>
      <c r="T48" s="1"/>
    </row>
    <row r="49" spans="2:20" x14ac:dyDescent="0.25">
      <c r="B49" s="26"/>
      <c r="D49" s="305" t="str">
        <f ca="1">IFERROR(IF(ISBLANK($A49),"-",SLOPE(INDIRECT("B" &amp; _xlfn.IFNA(MATCH($A49-$B$3,$A:$A,1),7)):B49,INDIRECT("A" &amp; _xlfn.IFNA(MATCH($A49-$B$3,$A:$A,1),7)):$A49)),"-")</f>
        <v>-</v>
      </c>
      <c r="E49" s="305" t="str">
        <f ca="1">IFERROR(IF(ISBLANK($A49),"-",SLOPE(INDIRECT("C" &amp; _xlfn.IFNA(MATCH($A49-$B$3,$A:$A,1),7)):C49,INDIRECT("A" &amp; _xlfn.IFNA(MATCH($A49-$B$3,$A:$A,1),7)):$A49)),"-")</f>
        <v>-</v>
      </c>
      <c r="F49" s="27" t="str">
        <f t="shared" si="9"/>
        <v>-</v>
      </c>
      <c r="G49" s="27" t="str">
        <f t="shared" si="10"/>
        <v>-</v>
      </c>
      <c r="H49" s="27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7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8" t="str">
        <f t="shared" si="11"/>
        <v>-</v>
      </c>
      <c r="K49" s="28" t="str">
        <f t="shared" si="12"/>
        <v>-</v>
      </c>
      <c r="L49" s="297" t="str">
        <f t="shared" si="13"/>
        <v>-</v>
      </c>
      <c r="M49" s="297" t="str">
        <f t="shared" si="14"/>
        <v>-</v>
      </c>
      <c r="N49" s="28" t="str">
        <f t="shared" ca="1" si="15"/>
        <v>-</v>
      </c>
      <c r="O49" s="28" t="str">
        <f t="shared" ca="1" si="16"/>
        <v>-</v>
      </c>
      <c r="T49" s="1"/>
    </row>
    <row r="50" spans="2:20" x14ac:dyDescent="0.25">
      <c r="B50" s="26"/>
      <c r="D50" s="305" t="str">
        <f ca="1">IFERROR(IF(ISBLANK($A50),"-",SLOPE(INDIRECT("B" &amp; _xlfn.IFNA(MATCH($A50-$B$3,$A:$A,1),7)):B50,INDIRECT("A" &amp; _xlfn.IFNA(MATCH($A50-$B$3,$A:$A,1),7)):$A50)),"-")</f>
        <v>-</v>
      </c>
      <c r="E50" s="305" t="str">
        <f ca="1">IFERROR(IF(ISBLANK($A50),"-",SLOPE(INDIRECT("C" &amp; _xlfn.IFNA(MATCH($A50-$B$3,$A:$A,1),7)):C50,INDIRECT("A" &amp; _xlfn.IFNA(MATCH($A50-$B$3,$A:$A,1),7)):$A50)),"-")</f>
        <v>-</v>
      </c>
      <c r="F50" s="27" t="str">
        <f t="shared" si="9"/>
        <v>-</v>
      </c>
      <c r="G50" s="27" t="str">
        <f t="shared" si="10"/>
        <v>-</v>
      </c>
      <c r="H50" s="27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7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8" t="str">
        <f t="shared" si="11"/>
        <v>-</v>
      </c>
      <c r="K50" s="28" t="str">
        <f t="shared" si="12"/>
        <v>-</v>
      </c>
      <c r="L50" s="297" t="str">
        <f t="shared" si="13"/>
        <v>-</v>
      </c>
      <c r="M50" s="297" t="str">
        <f t="shared" si="14"/>
        <v>-</v>
      </c>
      <c r="N50" s="28" t="str">
        <f t="shared" ca="1" si="15"/>
        <v>-</v>
      </c>
      <c r="O50" s="28" t="str">
        <f t="shared" ca="1" si="16"/>
        <v>-</v>
      </c>
      <c r="T50" s="1"/>
    </row>
    <row r="51" spans="2:20" x14ac:dyDescent="0.25">
      <c r="B51" s="26"/>
      <c r="D51" s="305" t="str">
        <f ca="1">IFERROR(IF(ISBLANK($A51),"-",SLOPE(INDIRECT("B" &amp; _xlfn.IFNA(MATCH($A51-$B$3,$A:$A,1),7)):B51,INDIRECT("A" &amp; _xlfn.IFNA(MATCH($A51-$B$3,$A:$A,1),7)):$A51)),"-")</f>
        <v>-</v>
      </c>
      <c r="E51" s="305" t="str">
        <f ca="1">IFERROR(IF(ISBLANK($A51),"-",SLOPE(INDIRECT("C" &amp; _xlfn.IFNA(MATCH($A51-$B$3,$A:$A,1),7)):C51,INDIRECT("A" &amp; _xlfn.IFNA(MATCH($A51-$B$3,$A:$A,1),7)):$A51)),"-")</f>
        <v>-</v>
      </c>
      <c r="F51" s="27" t="str">
        <f t="shared" si="9"/>
        <v>-</v>
      </c>
      <c r="G51" s="27" t="str">
        <f t="shared" si="10"/>
        <v>-</v>
      </c>
      <c r="H51" s="27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7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8" t="str">
        <f t="shared" si="11"/>
        <v>-</v>
      </c>
      <c r="K51" s="28" t="str">
        <f t="shared" si="12"/>
        <v>-</v>
      </c>
      <c r="L51" s="297" t="str">
        <f t="shared" si="13"/>
        <v>-</v>
      </c>
      <c r="M51" s="297" t="str">
        <f t="shared" si="14"/>
        <v>-</v>
      </c>
      <c r="N51" s="28" t="str">
        <f t="shared" ca="1" si="15"/>
        <v>-</v>
      </c>
      <c r="O51" s="28" t="str">
        <f t="shared" ca="1" si="16"/>
        <v>-</v>
      </c>
      <c r="T51" s="1"/>
    </row>
    <row r="52" spans="2:20" x14ac:dyDescent="0.25">
      <c r="B52" s="26"/>
      <c r="D52" s="305" t="str">
        <f ca="1">IFERROR(IF(ISBLANK($A52),"-",SLOPE(INDIRECT("B" &amp; _xlfn.IFNA(MATCH($A52-$B$3,$A:$A,1),7)):B52,INDIRECT("A" &amp; _xlfn.IFNA(MATCH($A52-$B$3,$A:$A,1),7)):$A52)),"-")</f>
        <v>-</v>
      </c>
      <c r="E52" s="305" t="str">
        <f ca="1">IFERROR(IF(ISBLANK($A52),"-",SLOPE(INDIRECT("C" &amp; _xlfn.IFNA(MATCH($A52-$B$3,$A:$A,1),7)):C52,INDIRECT("A" &amp; _xlfn.IFNA(MATCH($A52-$B$3,$A:$A,1),7)):$A52)),"-")</f>
        <v>-</v>
      </c>
      <c r="F52" s="27" t="str">
        <f t="shared" si="9"/>
        <v>-</v>
      </c>
      <c r="G52" s="27" t="str">
        <f t="shared" si="10"/>
        <v>-</v>
      </c>
      <c r="H52" s="27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7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8" t="str">
        <f t="shared" si="11"/>
        <v>-</v>
      </c>
      <c r="K52" s="28" t="str">
        <f t="shared" si="12"/>
        <v>-</v>
      </c>
      <c r="L52" s="297" t="str">
        <f t="shared" si="13"/>
        <v>-</v>
      </c>
      <c r="M52" s="297" t="str">
        <f t="shared" si="14"/>
        <v>-</v>
      </c>
      <c r="N52" s="28" t="str">
        <f t="shared" ca="1" si="15"/>
        <v>-</v>
      </c>
      <c r="O52" s="28" t="str">
        <f t="shared" ca="1" si="16"/>
        <v>-</v>
      </c>
      <c r="T52" s="1"/>
    </row>
    <row r="53" spans="2:20" x14ac:dyDescent="0.25">
      <c r="B53" s="26"/>
      <c r="D53" s="305" t="str">
        <f ca="1">IFERROR(IF(ISBLANK($A53),"-",SLOPE(INDIRECT("B" &amp; _xlfn.IFNA(MATCH($A53-$B$3,$A:$A,1),7)):B53,INDIRECT("A" &amp; _xlfn.IFNA(MATCH($A53-$B$3,$A:$A,1),7)):$A53)),"-")</f>
        <v>-</v>
      </c>
      <c r="E53" s="305" t="str">
        <f ca="1">IFERROR(IF(ISBLANK($A53),"-",SLOPE(INDIRECT("C" &amp; _xlfn.IFNA(MATCH($A53-$B$3,$A:$A,1),7)):C53,INDIRECT("A" &amp; _xlfn.IFNA(MATCH($A53-$B$3,$A:$A,1),7)):$A53)),"-")</f>
        <v>-</v>
      </c>
      <c r="F53" s="27" t="str">
        <f t="shared" si="9"/>
        <v>-</v>
      </c>
      <c r="G53" s="27" t="str">
        <f t="shared" si="10"/>
        <v>-</v>
      </c>
      <c r="H53" s="27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7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8" t="str">
        <f t="shared" si="11"/>
        <v>-</v>
      </c>
      <c r="K53" s="28" t="str">
        <f t="shared" si="12"/>
        <v>-</v>
      </c>
      <c r="L53" s="297" t="str">
        <f t="shared" si="13"/>
        <v>-</v>
      </c>
      <c r="M53" s="297" t="str">
        <f t="shared" si="14"/>
        <v>-</v>
      </c>
      <c r="N53" s="28" t="str">
        <f t="shared" ca="1" si="15"/>
        <v>-</v>
      </c>
      <c r="O53" s="28" t="str">
        <f t="shared" ca="1" si="16"/>
        <v>-</v>
      </c>
      <c r="T53" s="1"/>
    </row>
    <row r="54" spans="2:20" x14ac:dyDescent="0.25">
      <c r="B54" s="26"/>
      <c r="D54" s="305" t="str">
        <f ca="1">IFERROR(IF(ISBLANK($A54),"-",SLOPE(INDIRECT("B" &amp; _xlfn.IFNA(MATCH($A54-$B$3,$A:$A,1),7)):B54,INDIRECT("A" &amp; _xlfn.IFNA(MATCH($A54-$B$3,$A:$A,1),7)):$A54)),"-")</f>
        <v>-</v>
      </c>
      <c r="E54" s="305" t="str">
        <f ca="1">IFERROR(IF(ISBLANK($A54),"-",SLOPE(INDIRECT("C" &amp; _xlfn.IFNA(MATCH($A54-$B$3,$A:$A,1),7)):C54,INDIRECT("A" &amp; _xlfn.IFNA(MATCH($A54-$B$3,$A:$A,1),7)):$A54)),"-")</f>
        <v>-</v>
      </c>
      <c r="F54" s="27" t="str">
        <f t="shared" si="9"/>
        <v>-</v>
      </c>
      <c r="G54" s="27" t="str">
        <f t="shared" si="10"/>
        <v>-</v>
      </c>
      <c r="H54" s="27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7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8" t="str">
        <f t="shared" si="11"/>
        <v>-</v>
      </c>
      <c r="K54" s="28" t="str">
        <f t="shared" si="12"/>
        <v>-</v>
      </c>
      <c r="L54" s="297" t="str">
        <f t="shared" si="13"/>
        <v>-</v>
      </c>
      <c r="M54" s="297" t="str">
        <f t="shared" si="14"/>
        <v>-</v>
      </c>
      <c r="N54" s="28" t="str">
        <f t="shared" ca="1" si="15"/>
        <v>-</v>
      </c>
      <c r="O54" s="28" t="str">
        <f t="shared" ca="1" si="16"/>
        <v>-</v>
      </c>
      <c r="T54" s="1"/>
    </row>
    <row r="55" spans="2:20" x14ac:dyDescent="0.25">
      <c r="B55" s="26"/>
      <c r="D55" s="305" t="str">
        <f ca="1">IFERROR(IF(ISBLANK($A55),"-",SLOPE(INDIRECT("B" &amp; _xlfn.IFNA(MATCH($A55-$B$3,$A:$A,1),7)):B55,INDIRECT("A" &amp; _xlfn.IFNA(MATCH($A55-$B$3,$A:$A,1),7)):$A55)),"-")</f>
        <v>-</v>
      </c>
      <c r="E55" s="305" t="str">
        <f ca="1">IFERROR(IF(ISBLANK($A55),"-",SLOPE(INDIRECT("C" &amp; _xlfn.IFNA(MATCH($A55-$B$3,$A:$A,1),7)):C55,INDIRECT("A" &amp; _xlfn.IFNA(MATCH($A55-$B$3,$A:$A,1),7)):$A55)),"-")</f>
        <v>-</v>
      </c>
      <c r="F55" s="27" t="str">
        <f t="shared" si="9"/>
        <v>-</v>
      </c>
      <c r="G55" s="27" t="str">
        <f t="shared" si="10"/>
        <v>-</v>
      </c>
      <c r="H55" s="27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7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8" t="str">
        <f t="shared" si="11"/>
        <v>-</v>
      </c>
      <c r="K55" s="28" t="str">
        <f t="shared" si="12"/>
        <v>-</v>
      </c>
      <c r="L55" s="297" t="str">
        <f t="shared" si="13"/>
        <v>-</v>
      </c>
      <c r="M55" s="297" t="str">
        <f t="shared" si="14"/>
        <v>-</v>
      </c>
      <c r="N55" s="28" t="str">
        <f t="shared" ca="1" si="15"/>
        <v>-</v>
      </c>
      <c r="O55" s="28" t="str">
        <f t="shared" ca="1" si="16"/>
        <v>-</v>
      </c>
      <c r="T55" s="1"/>
    </row>
    <row r="56" spans="2:20" x14ac:dyDescent="0.25">
      <c r="B56" s="26"/>
      <c r="D56" s="305" t="str">
        <f ca="1">IFERROR(IF(ISBLANK($A56),"-",SLOPE(INDIRECT("B" &amp; _xlfn.IFNA(MATCH($A56-$B$3,$A:$A,1),7)):B56,INDIRECT("A" &amp; _xlfn.IFNA(MATCH($A56-$B$3,$A:$A,1),7)):$A56)),"-")</f>
        <v>-</v>
      </c>
      <c r="E56" s="305" t="str">
        <f ca="1">IFERROR(IF(ISBLANK($A56),"-",SLOPE(INDIRECT("C" &amp; _xlfn.IFNA(MATCH($A56-$B$3,$A:$A,1),7)):C56,INDIRECT("A" &amp; _xlfn.IFNA(MATCH($A56-$B$3,$A:$A,1),7)):$A56)),"-")</f>
        <v>-</v>
      </c>
      <c r="F56" s="27" t="str">
        <f t="shared" si="9"/>
        <v>-</v>
      </c>
      <c r="G56" s="27" t="str">
        <f t="shared" si="10"/>
        <v>-</v>
      </c>
      <c r="H56" s="27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7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8" t="str">
        <f t="shared" si="11"/>
        <v>-</v>
      </c>
      <c r="K56" s="28" t="str">
        <f t="shared" si="12"/>
        <v>-</v>
      </c>
      <c r="L56" s="297" t="str">
        <f t="shared" si="13"/>
        <v>-</v>
      </c>
      <c r="M56" s="297" t="str">
        <f t="shared" si="14"/>
        <v>-</v>
      </c>
      <c r="N56" s="28" t="str">
        <f t="shared" ca="1" si="15"/>
        <v>-</v>
      </c>
      <c r="O56" s="28" t="str">
        <f t="shared" ca="1" si="16"/>
        <v>-</v>
      </c>
      <c r="T56" s="1"/>
    </row>
    <row r="57" spans="2:20" x14ac:dyDescent="0.25">
      <c r="B57" s="26"/>
      <c r="D57" s="305" t="str">
        <f ca="1">IFERROR(IF(ISBLANK($A57),"-",SLOPE(INDIRECT("B" &amp; _xlfn.IFNA(MATCH($A57-$B$3,$A:$A,1),7)):B57,INDIRECT("A" &amp; _xlfn.IFNA(MATCH($A57-$B$3,$A:$A,1),7)):$A57)),"-")</f>
        <v>-</v>
      </c>
      <c r="E57" s="305" t="str">
        <f ca="1">IFERROR(IF(ISBLANK($A57),"-",SLOPE(INDIRECT("C" &amp; _xlfn.IFNA(MATCH($A57-$B$3,$A:$A,1),7)):C57,INDIRECT("A" &amp; _xlfn.IFNA(MATCH($A57-$B$3,$A:$A,1),7)):$A57)),"-")</f>
        <v>-</v>
      </c>
      <c r="F57" s="27" t="str">
        <f t="shared" si="9"/>
        <v>-</v>
      </c>
      <c r="G57" s="27" t="str">
        <f t="shared" si="10"/>
        <v>-</v>
      </c>
      <c r="H57" s="27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7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8" t="str">
        <f t="shared" si="11"/>
        <v>-</v>
      </c>
      <c r="K57" s="28" t="str">
        <f t="shared" si="12"/>
        <v>-</v>
      </c>
      <c r="L57" s="297" t="str">
        <f t="shared" si="13"/>
        <v>-</v>
      </c>
      <c r="M57" s="297" t="str">
        <f t="shared" si="14"/>
        <v>-</v>
      </c>
      <c r="N57" s="28" t="str">
        <f t="shared" ca="1" si="15"/>
        <v>-</v>
      </c>
      <c r="O57" s="28" t="str">
        <f t="shared" ca="1" si="16"/>
        <v>-</v>
      </c>
      <c r="T57" s="1"/>
    </row>
    <row r="58" spans="2:20" x14ac:dyDescent="0.25">
      <c r="B58" s="26"/>
      <c r="D58" s="305" t="str">
        <f ca="1">IFERROR(IF(ISBLANK($A58),"-",SLOPE(INDIRECT("B" &amp; _xlfn.IFNA(MATCH($A58-$B$3,$A:$A,1),7)):B58,INDIRECT("A" &amp; _xlfn.IFNA(MATCH($A58-$B$3,$A:$A,1),7)):$A58)),"-")</f>
        <v>-</v>
      </c>
      <c r="E58" s="305" t="str">
        <f ca="1">IFERROR(IF(ISBLANK($A58),"-",SLOPE(INDIRECT("C" &amp; _xlfn.IFNA(MATCH($A58-$B$3,$A:$A,1),7)):C58,INDIRECT("A" &amp; _xlfn.IFNA(MATCH($A58-$B$3,$A:$A,1),7)):$A58)),"-")</f>
        <v>-</v>
      </c>
      <c r="F58" s="27" t="str">
        <f t="shared" si="9"/>
        <v>-</v>
      </c>
      <c r="G58" s="27" t="str">
        <f t="shared" si="10"/>
        <v>-</v>
      </c>
      <c r="H58" s="27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7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8" t="str">
        <f t="shared" si="11"/>
        <v>-</v>
      </c>
      <c r="K58" s="28" t="str">
        <f t="shared" si="12"/>
        <v>-</v>
      </c>
      <c r="L58" s="297" t="str">
        <f t="shared" si="13"/>
        <v>-</v>
      </c>
      <c r="M58" s="297" t="str">
        <f t="shared" si="14"/>
        <v>-</v>
      </c>
      <c r="N58" s="28" t="str">
        <f t="shared" ca="1" si="15"/>
        <v>-</v>
      </c>
      <c r="O58" s="28" t="str">
        <f t="shared" ca="1" si="16"/>
        <v>-</v>
      </c>
      <c r="T58" s="1"/>
    </row>
    <row r="59" spans="2:20" x14ac:dyDescent="0.25">
      <c r="B59" s="26"/>
      <c r="D59" s="305" t="str">
        <f ca="1">IFERROR(IF(ISBLANK($A59),"-",SLOPE(INDIRECT("B" &amp; _xlfn.IFNA(MATCH($A59-$B$3,$A:$A,1),7)):B59,INDIRECT("A" &amp; _xlfn.IFNA(MATCH($A59-$B$3,$A:$A,1),7)):$A59)),"-")</f>
        <v>-</v>
      </c>
      <c r="E59" s="305" t="str">
        <f ca="1">IFERROR(IF(ISBLANK($A59),"-",SLOPE(INDIRECT("C" &amp; _xlfn.IFNA(MATCH($A59-$B$3,$A:$A,1),7)):C59,INDIRECT("A" &amp; _xlfn.IFNA(MATCH($A59-$B$3,$A:$A,1),7)):$A59)),"-")</f>
        <v>-</v>
      </c>
      <c r="F59" s="27" t="str">
        <f t="shared" si="9"/>
        <v>-</v>
      </c>
      <c r="G59" s="27" t="str">
        <f t="shared" si="10"/>
        <v>-</v>
      </c>
      <c r="H59" s="27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7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8" t="str">
        <f t="shared" si="11"/>
        <v>-</v>
      </c>
      <c r="K59" s="28" t="str">
        <f t="shared" si="12"/>
        <v>-</v>
      </c>
      <c r="L59" s="297" t="str">
        <f t="shared" si="13"/>
        <v>-</v>
      </c>
      <c r="M59" s="297" t="str">
        <f t="shared" si="14"/>
        <v>-</v>
      </c>
      <c r="N59" s="28" t="str">
        <f t="shared" ca="1" si="15"/>
        <v>-</v>
      </c>
      <c r="O59" s="28" t="str">
        <f t="shared" ca="1" si="16"/>
        <v>-</v>
      </c>
      <c r="T59" s="1"/>
    </row>
    <row r="60" spans="2:20" x14ac:dyDescent="0.25">
      <c r="B60" s="26"/>
      <c r="D60" s="305" t="str">
        <f ca="1">IFERROR(IF(ISBLANK($A60),"-",SLOPE(INDIRECT("B" &amp; _xlfn.IFNA(MATCH($A60-$B$3,$A:$A,1),7)):B60,INDIRECT("A" &amp; _xlfn.IFNA(MATCH($A60-$B$3,$A:$A,1),7)):$A60)),"-")</f>
        <v>-</v>
      </c>
      <c r="E60" s="305" t="str">
        <f ca="1">IFERROR(IF(ISBLANK($A60),"-",SLOPE(INDIRECT("C" &amp; _xlfn.IFNA(MATCH($A60-$B$3,$A:$A,1),7)):C60,INDIRECT("A" &amp; _xlfn.IFNA(MATCH($A60-$B$3,$A:$A,1),7)):$A60)),"-")</f>
        <v>-</v>
      </c>
      <c r="F60" s="27" t="str">
        <f t="shared" si="9"/>
        <v>-</v>
      </c>
      <c r="G60" s="27" t="str">
        <f t="shared" si="10"/>
        <v>-</v>
      </c>
      <c r="H60" s="27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7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8" t="str">
        <f t="shared" si="11"/>
        <v>-</v>
      </c>
      <c r="K60" s="28" t="str">
        <f t="shared" si="12"/>
        <v>-</v>
      </c>
      <c r="L60" s="297" t="str">
        <f t="shared" si="13"/>
        <v>-</v>
      </c>
      <c r="M60" s="297" t="str">
        <f t="shared" si="14"/>
        <v>-</v>
      </c>
      <c r="N60" s="28" t="str">
        <f t="shared" ca="1" si="15"/>
        <v>-</v>
      </c>
      <c r="O60" s="28" t="str">
        <f t="shared" ca="1" si="16"/>
        <v>-</v>
      </c>
      <c r="T60" s="1"/>
    </row>
    <row r="61" spans="2:20" x14ac:dyDescent="0.25">
      <c r="B61" s="26"/>
      <c r="D61" s="305" t="str">
        <f ca="1">IFERROR(IF(ISBLANK($A61),"-",SLOPE(INDIRECT("B" &amp; _xlfn.IFNA(MATCH($A61-$B$3,$A:$A,1),7)):B61,INDIRECT("A" &amp; _xlfn.IFNA(MATCH($A61-$B$3,$A:$A,1),7)):$A61)),"-")</f>
        <v>-</v>
      </c>
      <c r="E61" s="305" t="str">
        <f ca="1">IFERROR(IF(ISBLANK($A61),"-",SLOPE(INDIRECT("C" &amp; _xlfn.IFNA(MATCH($A61-$B$3,$A:$A,1),7)):C61,INDIRECT("A" &amp; _xlfn.IFNA(MATCH($A61-$B$3,$A:$A,1),7)):$A61)),"-")</f>
        <v>-</v>
      </c>
      <c r="F61" s="27" t="str">
        <f t="shared" si="9"/>
        <v>-</v>
      </c>
      <c r="G61" s="27" t="str">
        <f t="shared" si="10"/>
        <v>-</v>
      </c>
      <c r="H61" s="27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7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8" t="str">
        <f t="shared" si="11"/>
        <v>-</v>
      </c>
      <c r="K61" s="28" t="str">
        <f t="shared" si="12"/>
        <v>-</v>
      </c>
      <c r="L61" s="297" t="str">
        <f t="shared" si="13"/>
        <v>-</v>
      </c>
      <c r="M61" s="297" t="str">
        <f t="shared" si="14"/>
        <v>-</v>
      </c>
      <c r="N61" s="28" t="str">
        <f t="shared" ca="1" si="15"/>
        <v>-</v>
      </c>
      <c r="O61" s="28" t="str">
        <f t="shared" ca="1" si="16"/>
        <v>-</v>
      </c>
      <c r="T61" s="1"/>
    </row>
    <row r="62" spans="2:20" x14ac:dyDescent="0.25">
      <c r="B62" s="26"/>
      <c r="D62" s="305" t="str">
        <f ca="1">IFERROR(IF(ISBLANK($A62),"-",SLOPE(INDIRECT("B" &amp; _xlfn.IFNA(MATCH($A62-$B$3,$A:$A,1),7)):B62,INDIRECT("A" &amp; _xlfn.IFNA(MATCH($A62-$B$3,$A:$A,1),7)):$A62)),"-")</f>
        <v>-</v>
      </c>
      <c r="E62" s="305" t="str">
        <f ca="1">IFERROR(IF(ISBLANK($A62),"-",SLOPE(INDIRECT("C" &amp; _xlfn.IFNA(MATCH($A62-$B$3,$A:$A,1),7)):C62,INDIRECT("A" &amp; _xlfn.IFNA(MATCH($A62-$B$3,$A:$A,1),7)):$A62)),"-")</f>
        <v>-</v>
      </c>
      <c r="F62" s="27" t="str">
        <f t="shared" si="9"/>
        <v>-</v>
      </c>
      <c r="G62" s="27" t="str">
        <f t="shared" si="10"/>
        <v>-</v>
      </c>
      <c r="H62" s="27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7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8" t="str">
        <f t="shared" si="11"/>
        <v>-</v>
      </c>
      <c r="K62" s="28" t="str">
        <f t="shared" si="12"/>
        <v>-</v>
      </c>
      <c r="L62" s="297" t="str">
        <f t="shared" si="13"/>
        <v>-</v>
      </c>
      <c r="M62" s="297" t="str">
        <f t="shared" si="14"/>
        <v>-</v>
      </c>
      <c r="N62" s="28" t="str">
        <f t="shared" ca="1" si="15"/>
        <v>-</v>
      </c>
      <c r="O62" s="28" t="str">
        <f t="shared" ca="1" si="16"/>
        <v>-</v>
      </c>
      <c r="T62" s="1"/>
    </row>
    <row r="63" spans="2:20" x14ac:dyDescent="0.25">
      <c r="B63" s="26"/>
      <c r="D63" s="305" t="str">
        <f ca="1">IFERROR(IF(ISBLANK($A63),"-",SLOPE(INDIRECT("B" &amp; _xlfn.IFNA(MATCH($A63-$B$3,$A:$A,1),7)):B63,INDIRECT("A" &amp; _xlfn.IFNA(MATCH($A63-$B$3,$A:$A,1),7)):$A63)),"-")</f>
        <v>-</v>
      </c>
      <c r="E63" s="305" t="str">
        <f ca="1">IFERROR(IF(ISBLANK($A63),"-",SLOPE(INDIRECT("C" &amp; _xlfn.IFNA(MATCH($A63-$B$3,$A:$A,1),7)):C63,INDIRECT("A" &amp; _xlfn.IFNA(MATCH($A63-$B$3,$A:$A,1),7)):$A63)),"-")</f>
        <v>-</v>
      </c>
      <c r="F63" s="27" t="str">
        <f t="shared" si="9"/>
        <v>-</v>
      </c>
      <c r="G63" s="27" t="str">
        <f t="shared" si="10"/>
        <v>-</v>
      </c>
      <c r="H63" s="27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7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8" t="str">
        <f t="shared" si="11"/>
        <v>-</v>
      </c>
      <c r="K63" s="28" t="str">
        <f t="shared" si="12"/>
        <v>-</v>
      </c>
      <c r="L63" s="297" t="str">
        <f t="shared" si="13"/>
        <v>-</v>
      </c>
      <c r="M63" s="297" t="str">
        <f t="shared" si="14"/>
        <v>-</v>
      </c>
      <c r="N63" s="28" t="str">
        <f t="shared" ca="1" si="15"/>
        <v>-</v>
      </c>
      <c r="O63" s="28" t="str">
        <f t="shared" ca="1" si="16"/>
        <v>-</v>
      </c>
      <c r="T63" s="1"/>
    </row>
    <row r="64" spans="2:20" x14ac:dyDescent="0.25">
      <c r="B64" s="26"/>
      <c r="D64" s="305" t="str">
        <f ca="1">IFERROR(IF(ISBLANK($A64),"-",SLOPE(INDIRECT("B" &amp; _xlfn.IFNA(MATCH($A64-$B$3,$A:$A,1),7)):B64,INDIRECT("A" &amp; _xlfn.IFNA(MATCH($A64-$B$3,$A:$A,1),7)):$A64)),"-")</f>
        <v>-</v>
      </c>
      <c r="E64" s="305" t="str">
        <f ca="1">IFERROR(IF(ISBLANK($A64),"-",SLOPE(INDIRECT("C" &amp; _xlfn.IFNA(MATCH($A64-$B$3,$A:$A,1),7)):C64,INDIRECT("A" &amp; _xlfn.IFNA(MATCH($A64-$B$3,$A:$A,1),7)):$A64)),"-")</f>
        <v>-</v>
      </c>
      <c r="F64" s="27" t="str">
        <f t="shared" si="9"/>
        <v>-</v>
      </c>
      <c r="G64" s="27" t="str">
        <f t="shared" si="10"/>
        <v>-</v>
      </c>
      <c r="H64" s="27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7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8" t="str">
        <f t="shared" si="11"/>
        <v>-</v>
      </c>
      <c r="K64" s="28" t="str">
        <f t="shared" si="12"/>
        <v>-</v>
      </c>
      <c r="L64" s="297" t="str">
        <f t="shared" si="13"/>
        <v>-</v>
      </c>
      <c r="M64" s="297" t="str">
        <f t="shared" si="14"/>
        <v>-</v>
      </c>
      <c r="N64" s="28" t="str">
        <f t="shared" ca="1" si="15"/>
        <v>-</v>
      </c>
      <c r="O64" s="28" t="str">
        <f t="shared" ca="1" si="16"/>
        <v>-</v>
      </c>
      <c r="T64" s="1"/>
    </row>
    <row r="65" spans="2:20" x14ac:dyDescent="0.25">
      <c r="B65" s="26"/>
      <c r="D65" s="305" t="str">
        <f ca="1">IFERROR(IF(ISBLANK($A65),"-",SLOPE(INDIRECT("B" &amp; _xlfn.IFNA(MATCH($A65-$B$3,$A:$A,1),7)):B65,INDIRECT("A" &amp; _xlfn.IFNA(MATCH($A65-$B$3,$A:$A,1),7)):$A65)),"-")</f>
        <v>-</v>
      </c>
      <c r="E65" s="305" t="str">
        <f ca="1">IFERROR(IF(ISBLANK($A65),"-",SLOPE(INDIRECT("C" &amp; _xlfn.IFNA(MATCH($A65-$B$3,$A:$A,1),7)):C65,INDIRECT("A" &amp; _xlfn.IFNA(MATCH($A65-$B$3,$A:$A,1),7)):$A65)),"-")</f>
        <v>-</v>
      </c>
      <c r="F65" s="27" t="str">
        <f t="shared" si="9"/>
        <v>-</v>
      </c>
      <c r="G65" s="27" t="str">
        <f t="shared" si="10"/>
        <v>-</v>
      </c>
      <c r="H65" s="27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7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8" t="str">
        <f t="shared" si="11"/>
        <v>-</v>
      </c>
      <c r="K65" s="28" t="str">
        <f t="shared" si="12"/>
        <v>-</v>
      </c>
      <c r="L65" s="297" t="str">
        <f t="shared" si="13"/>
        <v>-</v>
      </c>
      <c r="M65" s="297" t="str">
        <f t="shared" si="14"/>
        <v>-</v>
      </c>
      <c r="N65" s="28" t="str">
        <f t="shared" ca="1" si="15"/>
        <v>-</v>
      </c>
      <c r="O65" s="28" t="str">
        <f t="shared" ca="1" si="16"/>
        <v>-</v>
      </c>
      <c r="T65" s="1"/>
    </row>
    <row r="66" spans="2:20" x14ac:dyDescent="0.25">
      <c r="B66" s="26"/>
      <c r="D66" s="305" t="str">
        <f ca="1">IFERROR(IF(ISBLANK($A66),"-",SLOPE(INDIRECT("B" &amp; _xlfn.IFNA(MATCH($A66-$B$3,$A:$A,1),7)):B66,INDIRECT("A" &amp; _xlfn.IFNA(MATCH($A66-$B$3,$A:$A,1),7)):$A66)),"-")</f>
        <v>-</v>
      </c>
      <c r="E66" s="305" t="str">
        <f ca="1">IFERROR(IF(ISBLANK($A66),"-",SLOPE(INDIRECT("C" &amp; _xlfn.IFNA(MATCH($A66-$B$3,$A:$A,1),7)):C66,INDIRECT("A" &amp; _xlfn.IFNA(MATCH($A66-$B$3,$A:$A,1),7)):$A66)),"-")</f>
        <v>-</v>
      </c>
      <c r="F66" s="27" t="str">
        <f t="shared" si="9"/>
        <v>-</v>
      </c>
      <c r="G66" s="27" t="str">
        <f t="shared" si="10"/>
        <v>-</v>
      </c>
      <c r="H66" s="27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7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8" t="str">
        <f t="shared" si="11"/>
        <v>-</v>
      </c>
      <c r="K66" s="28" t="str">
        <f t="shared" si="12"/>
        <v>-</v>
      </c>
      <c r="L66" s="297" t="str">
        <f t="shared" si="13"/>
        <v>-</v>
      </c>
      <c r="M66" s="297" t="str">
        <f t="shared" si="14"/>
        <v>-</v>
      </c>
      <c r="N66" s="28" t="str">
        <f t="shared" ca="1" si="15"/>
        <v>-</v>
      </c>
      <c r="O66" s="28" t="str">
        <f t="shared" ca="1" si="16"/>
        <v>-</v>
      </c>
      <c r="T66" s="1"/>
    </row>
    <row r="67" spans="2:20" x14ac:dyDescent="0.25">
      <c r="B67" s="26"/>
      <c r="D67" s="305" t="str">
        <f ca="1">IFERROR(IF(ISBLANK($A67),"-",SLOPE(INDIRECT("B" &amp; _xlfn.IFNA(MATCH($A67-$B$3,$A:$A,1),7)):B67,INDIRECT("A" &amp; _xlfn.IFNA(MATCH($A67-$B$3,$A:$A,1),7)):$A67)),"-")</f>
        <v>-</v>
      </c>
      <c r="E67" s="305" t="str">
        <f ca="1">IFERROR(IF(ISBLANK($A67),"-",SLOPE(INDIRECT("C" &amp; _xlfn.IFNA(MATCH($A67-$B$3,$A:$A,1),7)):C67,INDIRECT("A" &amp; _xlfn.IFNA(MATCH($A67-$B$3,$A:$A,1),7)):$A67)),"-")</f>
        <v>-</v>
      </c>
      <c r="F67" s="27" t="str">
        <f t="shared" si="9"/>
        <v>-</v>
      </c>
      <c r="G67" s="27" t="str">
        <f t="shared" si="10"/>
        <v>-</v>
      </c>
      <c r="H67" s="27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7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8" t="str">
        <f t="shared" si="11"/>
        <v>-</v>
      </c>
      <c r="K67" s="28" t="str">
        <f t="shared" si="12"/>
        <v>-</v>
      </c>
      <c r="L67" s="297" t="str">
        <f t="shared" si="13"/>
        <v>-</v>
      </c>
      <c r="M67" s="297" t="str">
        <f t="shared" si="14"/>
        <v>-</v>
      </c>
      <c r="N67" s="28" t="str">
        <f t="shared" ca="1" si="15"/>
        <v>-</v>
      </c>
      <c r="O67" s="28" t="str">
        <f t="shared" ca="1" si="16"/>
        <v>-</v>
      </c>
      <c r="T67" s="1"/>
    </row>
    <row r="68" spans="2:20" x14ac:dyDescent="0.25">
      <c r="B68" s="26"/>
      <c r="D68" s="305" t="str">
        <f ca="1">IFERROR(IF(ISBLANK($A68),"-",SLOPE(INDIRECT("B" &amp; _xlfn.IFNA(MATCH($A68-$B$3,$A:$A,1),7)):B68,INDIRECT("A" &amp; _xlfn.IFNA(MATCH($A68-$B$3,$A:$A,1),7)):$A68)),"-")</f>
        <v>-</v>
      </c>
      <c r="E68" s="305" t="str">
        <f ca="1">IFERROR(IF(ISBLANK($A68),"-",SLOPE(INDIRECT("C" &amp; _xlfn.IFNA(MATCH($A68-$B$3,$A:$A,1),7)):C68,INDIRECT("A" &amp; _xlfn.IFNA(MATCH($A68-$B$3,$A:$A,1),7)):$A68)),"-")</f>
        <v>-</v>
      </c>
      <c r="F68" s="27" t="str">
        <f t="shared" si="9"/>
        <v>-</v>
      </c>
      <c r="G68" s="27" t="str">
        <f t="shared" si="10"/>
        <v>-</v>
      </c>
      <c r="H68" s="27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7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8" t="str">
        <f t="shared" si="11"/>
        <v>-</v>
      </c>
      <c r="K68" s="28" t="str">
        <f t="shared" si="12"/>
        <v>-</v>
      </c>
      <c r="L68" s="297" t="str">
        <f t="shared" si="13"/>
        <v>-</v>
      </c>
      <c r="M68" s="297" t="str">
        <f t="shared" si="14"/>
        <v>-</v>
      </c>
      <c r="N68" s="28" t="str">
        <f t="shared" ca="1" si="15"/>
        <v>-</v>
      </c>
      <c r="O68" s="28" t="str">
        <f t="shared" ca="1" si="16"/>
        <v>-</v>
      </c>
      <c r="T68" s="1"/>
    </row>
    <row r="69" spans="2:20" x14ac:dyDescent="0.25">
      <c r="B69" s="26"/>
      <c r="D69" s="305" t="str">
        <f ca="1">IFERROR(IF(ISBLANK($A69),"-",SLOPE(INDIRECT("B" &amp; _xlfn.IFNA(MATCH($A69-$B$3,$A:$A,1),7)):B69,INDIRECT("A" &amp; _xlfn.IFNA(MATCH($A69-$B$3,$A:$A,1),7)):$A69)),"-")</f>
        <v>-</v>
      </c>
      <c r="E69" s="305" t="str">
        <f ca="1">IFERROR(IF(ISBLANK($A69),"-",SLOPE(INDIRECT("C" &amp; _xlfn.IFNA(MATCH($A69-$B$3,$A:$A,1),7)):C69,INDIRECT("A" &amp; _xlfn.IFNA(MATCH($A69-$B$3,$A:$A,1),7)):$A69)),"-")</f>
        <v>-</v>
      </c>
      <c r="F69" s="27" t="str">
        <f t="shared" si="9"/>
        <v>-</v>
      </c>
      <c r="G69" s="27" t="str">
        <f t="shared" si="10"/>
        <v>-</v>
      </c>
      <c r="H69" s="27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7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8" t="str">
        <f t="shared" si="11"/>
        <v>-</v>
      </c>
      <c r="K69" s="28" t="str">
        <f t="shared" si="12"/>
        <v>-</v>
      </c>
      <c r="L69" s="297" t="str">
        <f t="shared" si="13"/>
        <v>-</v>
      </c>
      <c r="M69" s="297" t="str">
        <f t="shared" si="14"/>
        <v>-</v>
      </c>
      <c r="N69" s="28" t="str">
        <f t="shared" ca="1" si="15"/>
        <v>-</v>
      </c>
      <c r="O69" s="28" t="str">
        <f t="shared" ca="1" si="16"/>
        <v>-</v>
      </c>
      <c r="T69" s="1"/>
    </row>
    <row r="70" spans="2:20" x14ac:dyDescent="0.25">
      <c r="B70" s="26"/>
      <c r="D70" s="305" t="str">
        <f ca="1">IFERROR(IF(ISBLANK($A70),"-",SLOPE(INDIRECT("B" &amp; _xlfn.IFNA(MATCH($A70-$B$3,$A:$A,1),7)):B70,INDIRECT("A" &amp; _xlfn.IFNA(MATCH($A70-$B$3,$A:$A,1),7)):$A70)),"-")</f>
        <v>-</v>
      </c>
      <c r="E70" s="305" t="str">
        <f ca="1">IFERROR(IF(ISBLANK($A70),"-",SLOPE(INDIRECT("C" &amp; _xlfn.IFNA(MATCH($A70-$B$3,$A:$A,1),7)):C70,INDIRECT("A" &amp; _xlfn.IFNA(MATCH($A70-$B$3,$A:$A,1),7)):$A70)),"-")</f>
        <v>-</v>
      </c>
      <c r="F70" s="27" t="str">
        <f t="shared" si="9"/>
        <v>-</v>
      </c>
      <c r="G70" s="27" t="str">
        <f t="shared" si="10"/>
        <v>-</v>
      </c>
      <c r="H70" s="27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7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8" t="str">
        <f t="shared" si="11"/>
        <v>-</v>
      </c>
      <c r="K70" s="28" t="str">
        <f t="shared" si="12"/>
        <v>-</v>
      </c>
      <c r="L70" s="297" t="str">
        <f t="shared" si="13"/>
        <v>-</v>
      </c>
      <c r="M70" s="297" t="str">
        <f t="shared" si="14"/>
        <v>-</v>
      </c>
      <c r="N70" s="28" t="str">
        <f t="shared" ca="1" si="15"/>
        <v>-</v>
      </c>
      <c r="O70" s="28" t="str">
        <f t="shared" ca="1" si="16"/>
        <v>-</v>
      </c>
      <c r="T70" s="1"/>
    </row>
    <row r="71" spans="2:20" x14ac:dyDescent="0.25">
      <c r="B71" s="26"/>
      <c r="D71" s="305" t="str">
        <f ca="1">IFERROR(IF(ISBLANK($A71),"-",SLOPE(INDIRECT("B" &amp; _xlfn.IFNA(MATCH($A71-$B$3,$A:$A,1),7)):B71,INDIRECT("A" &amp; _xlfn.IFNA(MATCH($A71-$B$3,$A:$A,1),7)):$A71)),"-")</f>
        <v>-</v>
      </c>
      <c r="E71" s="305" t="str">
        <f ca="1">IFERROR(IF(ISBLANK($A71),"-",SLOPE(INDIRECT("C" &amp; _xlfn.IFNA(MATCH($A71-$B$3,$A:$A,1),7)):C71,INDIRECT("A" &amp; _xlfn.IFNA(MATCH($A71-$B$3,$A:$A,1),7)):$A71)),"-")</f>
        <v>-</v>
      </c>
      <c r="F71" s="27" t="str">
        <f t="shared" ref="F71:F77" si="17">IF($A71&gt;RAID_TIME_START,$L$2*($A71-RAID_TIME_START)/$F$2,"-")</f>
        <v>-</v>
      </c>
      <c r="G71" s="27" t="str">
        <f t="shared" ref="G71:G77" si="18">IF($A71&gt;RAID_TIME_START,$L$3*($A71-RAID_TIME_START)/$F$2,"-")</f>
        <v>-</v>
      </c>
      <c r="H71" s="27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7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8" t="str">
        <f t="shared" ref="J71:J77" si="19">IFERROR(B71-F71,"-")</f>
        <v>-</v>
      </c>
      <c r="K71" s="28" t="str">
        <f t="shared" ref="K71:K77" si="20">IFERROR(C71-G71,"-")</f>
        <v>-</v>
      </c>
      <c r="L71" s="297" t="str">
        <f t="shared" ref="L71:L77" si="21">IFERROR(J71/F71,"-")</f>
        <v>-</v>
      </c>
      <c r="M71" s="297" t="str">
        <f t="shared" ref="M71:M77" si="22">IFERROR(K71/G71,"-")</f>
        <v>-</v>
      </c>
      <c r="N71" s="28" t="str">
        <f t="shared" ref="N71:N77" ca="1" si="23">IFERROR(H71 - RAID_GOAL_EMBLEM,"-")</f>
        <v>-</v>
      </c>
      <c r="O71" s="28" t="str">
        <f t="shared" ref="O71:O77" ca="1" si="24">IFERROR(I71 - RAID_GOAL_BLAZON,"-")</f>
        <v>-</v>
      </c>
      <c r="T71" s="1"/>
    </row>
    <row r="72" spans="2:20" x14ac:dyDescent="0.25">
      <c r="B72" s="26"/>
      <c r="D72" s="305" t="str">
        <f ca="1">IFERROR(IF(ISBLANK($A72),"-",SLOPE(INDIRECT("B" &amp; _xlfn.IFNA(MATCH($A72-$B$3,$A:$A,1),7)):B72,INDIRECT("A" &amp; _xlfn.IFNA(MATCH($A72-$B$3,$A:$A,1),7)):$A72)),"-")</f>
        <v>-</v>
      </c>
      <c r="E72" s="305" t="str">
        <f ca="1">IFERROR(IF(ISBLANK($A72),"-",SLOPE(INDIRECT("C" &amp; _xlfn.IFNA(MATCH($A72-$B$3,$A:$A,1),7)):C72,INDIRECT("A" &amp; _xlfn.IFNA(MATCH($A72-$B$3,$A:$A,1),7)):$A72)),"-")</f>
        <v>-</v>
      </c>
      <c r="F72" s="27" t="str">
        <f t="shared" si="17"/>
        <v>-</v>
      </c>
      <c r="G72" s="27" t="str">
        <f t="shared" si="18"/>
        <v>-</v>
      </c>
      <c r="H72" s="27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7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8" t="str">
        <f t="shared" si="19"/>
        <v>-</v>
      </c>
      <c r="K72" s="28" t="str">
        <f t="shared" si="20"/>
        <v>-</v>
      </c>
      <c r="L72" s="297" t="str">
        <f t="shared" si="21"/>
        <v>-</v>
      </c>
      <c r="M72" s="297" t="str">
        <f t="shared" si="22"/>
        <v>-</v>
      </c>
      <c r="N72" s="28" t="str">
        <f t="shared" ca="1" si="23"/>
        <v>-</v>
      </c>
      <c r="O72" s="28" t="str">
        <f t="shared" ca="1" si="24"/>
        <v>-</v>
      </c>
      <c r="T72" s="1"/>
    </row>
    <row r="73" spans="2:20" x14ac:dyDescent="0.25">
      <c r="B73" s="26"/>
      <c r="D73" s="305" t="str">
        <f ca="1">IFERROR(IF(ISBLANK($A73),"-",SLOPE(INDIRECT("B" &amp; _xlfn.IFNA(MATCH($A73-$B$3,$A:$A,1),7)):B73,INDIRECT("A" &amp; _xlfn.IFNA(MATCH($A73-$B$3,$A:$A,1),7)):$A73)),"-")</f>
        <v>-</v>
      </c>
      <c r="E73" s="305" t="str">
        <f ca="1">IFERROR(IF(ISBLANK($A73),"-",SLOPE(INDIRECT("C" &amp; _xlfn.IFNA(MATCH($A73-$B$3,$A:$A,1),7)):C73,INDIRECT("A" &amp; _xlfn.IFNA(MATCH($A73-$B$3,$A:$A,1),7)):$A73)),"-")</f>
        <v>-</v>
      </c>
      <c r="F73" s="27" t="str">
        <f t="shared" si="17"/>
        <v>-</v>
      </c>
      <c r="G73" s="27" t="str">
        <f t="shared" si="18"/>
        <v>-</v>
      </c>
      <c r="H73" s="27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7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8" t="str">
        <f t="shared" si="19"/>
        <v>-</v>
      </c>
      <c r="K73" s="28" t="str">
        <f t="shared" si="20"/>
        <v>-</v>
      </c>
      <c r="L73" s="297" t="str">
        <f t="shared" si="21"/>
        <v>-</v>
      </c>
      <c r="M73" s="297" t="str">
        <f t="shared" si="22"/>
        <v>-</v>
      </c>
      <c r="N73" s="28" t="str">
        <f t="shared" ca="1" si="23"/>
        <v>-</v>
      </c>
      <c r="O73" s="28" t="str">
        <f t="shared" ca="1" si="24"/>
        <v>-</v>
      </c>
      <c r="T73" s="1"/>
    </row>
    <row r="74" spans="2:20" x14ac:dyDescent="0.25">
      <c r="B74" s="26"/>
      <c r="D74" s="305" t="str">
        <f ca="1">IFERROR(IF(ISBLANK($A74),"-",SLOPE(INDIRECT("B" &amp; _xlfn.IFNA(MATCH($A74-$B$3,$A:$A,1),7)):B74,INDIRECT("A" &amp; _xlfn.IFNA(MATCH($A74-$B$3,$A:$A,1),7)):$A74)),"-")</f>
        <v>-</v>
      </c>
      <c r="E74" s="305" t="str">
        <f ca="1">IFERROR(IF(ISBLANK($A74),"-",SLOPE(INDIRECT("C" &amp; _xlfn.IFNA(MATCH($A74-$B$3,$A:$A,1),7)):C74,INDIRECT("A" &amp; _xlfn.IFNA(MATCH($A74-$B$3,$A:$A,1),7)):$A74)),"-")</f>
        <v>-</v>
      </c>
      <c r="F74" s="27" t="str">
        <f t="shared" si="17"/>
        <v>-</v>
      </c>
      <c r="G74" s="27" t="str">
        <f t="shared" si="18"/>
        <v>-</v>
      </c>
      <c r="H74" s="27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7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8" t="str">
        <f t="shared" si="19"/>
        <v>-</v>
      </c>
      <c r="K74" s="28" t="str">
        <f t="shared" si="20"/>
        <v>-</v>
      </c>
      <c r="L74" s="297" t="str">
        <f t="shared" si="21"/>
        <v>-</v>
      </c>
      <c r="M74" s="297" t="str">
        <f t="shared" si="22"/>
        <v>-</v>
      </c>
      <c r="N74" s="28" t="str">
        <f t="shared" ca="1" si="23"/>
        <v>-</v>
      </c>
      <c r="O74" s="28" t="str">
        <f t="shared" ca="1" si="24"/>
        <v>-</v>
      </c>
      <c r="T74" s="1"/>
    </row>
    <row r="75" spans="2:20" x14ac:dyDescent="0.25">
      <c r="B75" s="26"/>
      <c r="D75" s="305" t="str">
        <f ca="1">IFERROR(IF(ISBLANK($A75),"-",SLOPE(INDIRECT("B" &amp; _xlfn.IFNA(MATCH($A75-$B$3,$A:$A,1),7)):B75,INDIRECT("A" &amp; _xlfn.IFNA(MATCH($A75-$B$3,$A:$A,1),7)):$A75)),"-")</f>
        <v>-</v>
      </c>
      <c r="E75" s="305" t="str">
        <f ca="1">IFERROR(IF(ISBLANK($A75),"-",SLOPE(INDIRECT("C" &amp; _xlfn.IFNA(MATCH($A75-$B$3,$A:$A,1),7)):C75,INDIRECT("A" &amp; _xlfn.IFNA(MATCH($A75-$B$3,$A:$A,1),7)):$A75)),"-")</f>
        <v>-</v>
      </c>
      <c r="F75" s="27" t="str">
        <f t="shared" si="17"/>
        <v>-</v>
      </c>
      <c r="G75" s="27" t="str">
        <f t="shared" si="18"/>
        <v>-</v>
      </c>
      <c r="H75" s="27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7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8" t="str">
        <f t="shared" si="19"/>
        <v>-</v>
      </c>
      <c r="K75" s="28" t="str">
        <f t="shared" si="20"/>
        <v>-</v>
      </c>
      <c r="L75" s="297" t="str">
        <f t="shared" si="21"/>
        <v>-</v>
      </c>
      <c r="M75" s="297" t="str">
        <f t="shared" si="22"/>
        <v>-</v>
      </c>
      <c r="N75" s="28" t="str">
        <f t="shared" ca="1" si="23"/>
        <v>-</v>
      </c>
      <c r="O75" s="28" t="str">
        <f t="shared" ca="1" si="24"/>
        <v>-</v>
      </c>
      <c r="T75" s="1"/>
    </row>
    <row r="76" spans="2:20" x14ac:dyDescent="0.25">
      <c r="B76" s="26"/>
      <c r="D76" s="305" t="str">
        <f ca="1">IFERROR(IF(ISBLANK($A76),"-",SLOPE(INDIRECT("B" &amp; _xlfn.IFNA(MATCH($A76-$B$3,$A:$A,1),7)):B76,INDIRECT("A" &amp; _xlfn.IFNA(MATCH($A76-$B$3,$A:$A,1),7)):$A76)),"-")</f>
        <v>-</v>
      </c>
      <c r="E76" s="305" t="str">
        <f ca="1">IFERROR(IF(ISBLANK($A76),"-",SLOPE(INDIRECT("C" &amp; _xlfn.IFNA(MATCH($A76-$B$3,$A:$A,1),7)):C76,INDIRECT("A" &amp; _xlfn.IFNA(MATCH($A76-$B$3,$A:$A,1),7)):$A76)),"-")</f>
        <v>-</v>
      </c>
      <c r="F76" s="27" t="str">
        <f t="shared" si="17"/>
        <v>-</v>
      </c>
      <c r="G76" s="27" t="str">
        <f t="shared" si="18"/>
        <v>-</v>
      </c>
      <c r="H76" s="27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7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8" t="str">
        <f t="shared" si="19"/>
        <v>-</v>
      </c>
      <c r="K76" s="28" t="str">
        <f t="shared" si="20"/>
        <v>-</v>
      </c>
      <c r="L76" s="297" t="str">
        <f t="shared" si="21"/>
        <v>-</v>
      </c>
      <c r="M76" s="297" t="str">
        <f t="shared" si="22"/>
        <v>-</v>
      </c>
      <c r="N76" s="28" t="str">
        <f t="shared" ca="1" si="23"/>
        <v>-</v>
      </c>
      <c r="O76" s="28" t="str">
        <f t="shared" ca="1" si="24"/>
        <v>-</v>
      </c>
      <c r="T76" s="1"/>
    </row>
    <row r="77" spans="2:20" x14ac:dyDescent="0.25">
      <c r="B77" s="26"/>
      <c r="D77" s="305" t="str">
        <f ca="1">IFERROR(IF(ISBLANK($A77),"-",SLOPE(INDIRECT("B" &amp; _xlfn.IFNA(MATCH($A77-$B$3,$A:$A,1),7)):B77,INDIRECT("A" &amp; _xlfn.IFNA(MATCH($A77-$B$3,$A:$A,1),7)):$A77)),"-")</f>
        <v>-</v>
      </c>
      <c r="E77" s="305" t="str">
        <f ca="1">IFERROR(IF(ISBLANK($A77),"-",SLOPE(INDIRECT("C" &amp; _xlfn.IFNA(MATCH($A77-$B$3,$A:$A,1),7)):C77,INDIRECT("A" &amp; _xlfn.IFNA(MATCH($A77-$B$3,$A:$A,1),7)):$A77)),"-")</f>
        <v>-</v>
      </c>
      <c r="F77" s="27" t="str">
        <f t="shared" si="17"/>
        <v>-</v>
      </c>
      <c r="G77" s="27" t="str">
        <f t="shared" si="18"/>
        <v>-</v>
      </c>
      <c r="H77" s="27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7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8" t="str">
        <f t="shared" si="19"/>
        <v>-</v>
      </c>
      <c r="K77" s="28" t="str">
        <f t="shared" si="20"/>
        <v>-</v>
      </c>
      <c r="L77" s="297" t="str">
        <f t="shared" si="21"/>
        <v>-</v>
      </c>
      <c r="M77" s="297" t="str">
        <f t="shared" si="22"/>
        <v>-</v>
      </c>
      <c r="N77" s="28" t="str">
        <f t="shared" ca="1" si="23"/>
        <v>-</v>
      </c>
      <c r="O77" s="28" t="str">
        <f t="shared" ca="1" si="24"/>
        <v>-</v>
      </c>
      <c r="T77" s="1"/>
    </row>
    <row r="78" spans="2:20" x14ac:dyDescent="0.25">
      <c r="B78" s="26"/>
      <c r="E78" s="27"/>
      <c r="F78" s="27"/>
      <c r="T78" s="1"/>
    </row>
    <row r="79" spans="2:20" x14ac:dyDescent="0.25">
      <c r="B79" s="26"/>
      <c r="E79" s="27"/>
      <c r="F79" s="27"/>
      <c r="T79" s="1"/>
    </row>
    <row r="80" spans="2:20" x14ac:dyDescent="0.25">
      <c r="B80" s="26"/>
      <c r="E80" s="27"/>
      <c r="F80" s="27"/>
    </row>
    <row r="81" spans="2:6" x14ac:dyDescent="0.25">
      <c r="B81" s="26"/>
      <c r="E81" s="27"/>
      <c r="F81" s="27"/>
    </row>
    <row r="82" spans="2:6" x14ac:dyDescent="0.25">
      <c r="E82" s="27"/>
      <c r="F82" s="27"/>
    </row>
    <row r="83" spans="2:6" x14ac:dyDescent="0.25">
      <c r="E83" s="27"/>
      <c r="F83" s="27"/>
    </row>
    <row r="84" spans="2:6" x14ac:dyDescent="0.25">
      <c r="E84" s="27"/>
      <c r="F84" s="27"/>
    </row>
    <row r="85" spans="2:6" x14ac:dyDescent="0.25">
      <c r="E85" s="27"/>
      <c r="F85" s="27"/>
    </row>
    <row r="86" spans="2:6" x14ac:dyDescent="0.25">
      <c r="E86" s="27"/>
      <c r="F86" s="27"/>
    </row>
    <row r="87" spans="2:6" x14ac:dyDescent="0.25">
      <c r="E87" s="27"/>
      <c r="F87" s="27"/>
    </row>
    <row r="88" spans="2:6" x14ac:dyDescent="0.25">
      <c r="E88" s="27"/>
      <c r="F88" s="27"/>
    </row>
    <row r="89" spans="2:6" x14ac:dyDescent="0.25">
      <c r="E89" s="27"/>
      <c r="F89" s="27"/>
    </row>
    <row r="90" spans="2:6" x14ac:dyDescent="0.25">
      <c r="E90" s="27"/>
      <c r="F90" s="27"/>
    </row>
    <row r="91" spans="2:6" x14ac:dyDescent="0.25">
      <c r="E91" s="27"/>
      <c r="F91" s="27"/>
    </row>
    <row r="92" spans="2:6" x14ac:dyDescent="0.25">
      <c r="E92" s="27"/>
      <c r="F92" s="27"/>
    </row>
    <row r="93" spans="2:6" x14ac:dyDescent="0.25">
      <c r="E93" s="27"/>
      <c r="F93" s="27"/>
    </row>
    <row r="94" spans="2:6" x14ac:dyDescent="0.25">
      <c r="E94" s="27"/>
      <c r="F94" s="27"/>
    </row>
    <row r="95" spans="2:6" x14ac:dyDescent="0.25">
      <c r="E95" s="27"/>
      <c r="F95" s="27"/>
    </row>
    <row r="96" spans="2:6" x14ac:dyDescent="0.25">
      <c r="E96" s="27"/>
      <c r="F96" s="27"/>
    </row>
    <row r="97" spans="5:6" x14ac:dyDescent="0.25">
      <c r="E97" s="27"/>
      <c r="F97" s="27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H16"/>
  <sheetViews>
    <sheetView workbookViewId="0">
      <selection activeCell="C12" sqref="C12"/>
    </sheetView>
  </sheetViews>
  <sheetFormatPr defaultColWidth="8.28515625" defaultRowHeight="15" x14ac:dyDescent="0.25"/>
  <cols>
    <col min="1" max="1" width="4.85546875" style="33" customWidth="1"/>
    <col min="2" max="2" width="6.140625" style="33" customWidth="1"/>
    <col min="3" max="3" width="7.5703125" style="59" customWidth="1"/>
    <col min="4" max="4" width="6.85546875" style="100" customWidth="1"/>
    <col min="5" max="5" width="6.5703125" style="100" customWidth="1"/>
    <col min="6" max="6" width="6.28515625" style="100" hidden="1" customWidth="1"/>
    <col min="7" max="8" width="6.28515625" style="33" hidden="1" customWidth="1"/>
    <col min="9" max="9" width="7.5703125" style="33" customWidth="1"/>
    <col min="10" max="10" width="5.5703125" style="33" customWidth="1"/>
    <col min="11" max="11" width="7.7109375" style="100" customWidth="1"/>
    <col min="12" max="12" width="6.85546875" style="100" customWidth="1"/>
    <col min="13" max="13" width="10.140625" style="100" customWidth="1"/>
    <col min="14" max="14" width="6.7109375" style="57" customWidth="1"/>
    <col min="15" max="15" width="23.7109375" style="33" customWidth="1"/>
    <col min="16" max="16" width="6.28515625" style="33" customWidth="1"/>
    <col min="17" max="17" width="6.85546875" style="33" customWidth="1"/>
    <col min="18" max="18" width="7.5703125" style="33" customWidth="1"/>
    <col min="19" max="19" width="8.28515625" style="33" customWidth="1"/>
    <col min="20" max="20" width="7.140625" style="130" customWidth="1"/>
    <col min="21" max="21" width="8.28515625" style="33"/>
    <col min="22" max="37" width="7.140625" style="33" customWidth="1"/>
    <col min="38" max="16384" width="8.28515625" style="33"/>
  </cols>
  <sheetData>
    <row r="1" spans="1:34" ht="15" customHeight="1" x14ac:dyDescent="0.25">
      <c r="A1" s="377"/>
      <c r="B1" s="378"/>
      <c r="C1" s="379" t="s">
        <v>22</v>
      </c>
      <c r="D1" s="155" t="s">
        <v>106</v>
      </c>
      <c r="E1" s="155" t="s">
        <v>107</v>
      </c>
      <c r="F1" s="156" t="s">
        <v>92</v>
      </c>
      <c r="G1" s="157" t="s">
        <v>93</v>
      </c>
      <c r="H1" s="157" t="s">
        <v>94</v>
      </c>
      <c r="I1" s="158" t="s">
        <v>61</v>
      </c>
      <c r="J1" s="159" t="s">
        <v>95</v>
      </c>
      <c r="K1" s="155" t="s">
        <v>105</v>
      </c>
      <c r="L1" s="155" t="s">
        <v>106</v>
      </c>
      <c r="M1" s="155" t="s">
        <v>107</v>
      </c>
      <c r="N1" s="364" t="s">
        <v>23</v>
      </c>
      <c r="O1" s="365" t="s">
        <v>24</v>
      </c>
      <c r="P1" s="154" t="s">
        <v>25</v>
      </c>
      <c r="Q1" s="160" t="s">
        <v>62</v>
      </c>
      <c r="R1" s="154" t="s">
        <v>27</v>
      </c>
      <c r="S1" s="154" t="s">
        <v>28</v>
      </c>
      <c r="T1" s="161" t="s">
        <v>29</v>
      </c>
      <c r="V1" s="67"/>
      <c r="W1" s="39" t="s">
        <v>27</v>
      </c>
      <c r="X1" s="39" t="s">
        <v>88</v>
      </c>
      <c r="Y1" s="39" t="s">
        <v>90</v>
      </c>
      <c r="Z1" s="39" t="s">
        <v>89</v>
      </c>
      <c r="AA1" s="39" t="s">
        <v>100</v>
      </c>
      <c r="AB1" s="39" t="s">
        <v>101</v>
      </c>
      <c r="AC1" s="39" t="s">
        <v>102</v>
      </c>
    </row>
    <row r="2" spans="1:34" ht="15" customHeight="1" x14ac:dyDescent="0.25">
      <c r="A2" s="487" t="s">
        <v>14</v>
      </c>
      <c r="B2" s="312" t="s">
        <v>90</v>
      </c>
      <c r="C2" s="380">
        <v>61634</v>
      </c>
      <c r="D2" s="148">
        <f>(C2-MIN(DATA_IO_OWNED_SMALL))/(MAX(DATA_IO_OWNED_SMALL)-MIN(DATA_IO_OWNED_SMALL))</f>
        <v>1</v>
      </c>
      <c r="E2" s="145">
        <f>C2-MAX(DATA_IO_OWNED_SMALL)</f>
        <v>0</v>
      </c>
      <c r="F2" s="146">
        <f>VLOOKUP($W$9,DATA_IO,5,TRUE)+VLOOKUP($W$10,DATA_IO,5,TRUE)+VLOOKUP($AC$9,DATA_IO,5,TRUE)+VLOOKUP($AC$10,DATA_IO,5,TRUE)</f>
        <v>0</v>
      </c>
      <c r="G2" s="147">
        <f t="shared" ref="G2:G11" si="0">H2-N2</f>
        <v>10040</v>
      </c>
      <c r="H2" s="147">
        <f>IO_MAX_SMALL_EMBLEM*4</f>
        <v>10040</v>
      </c>
      <c r="I2" s="145">
        <f t="shared" ref="I2:I11" si="1">IF(F2-C2 &lt;= 0,ABS(F2-C2),0)</f>
        <v>61634</v>
      </c>
      <c r="J2" s="145">
        <f>IFERROR(FLOOR(I2/IO_WEAPON_434,1),0)</f>
        <v>246</v>
      </c>
      <c r="K2" s="145">
        <f>I2+I3*IO_EXCHANGE_BIG_TO_SMALL</f>
        <v>145376</v>
      </c>
      <c r="L2" s="148">
        <f>(K2-MIN(DATA_IO_EXTRA_EXCHANGED_SMALL))/(MAX(DATA_IO_EXTRA_EXCHANGED_SMALL)-MIN(DATA_IO_EXTRA_EXCHANGED_SMALL))</f>
        <v>1</v>
      </c>
      <c r="M2" s="145">
        <f>K2-MAX(DATA_IO_EXTRA_EXCHANGED_SMALL)</f>
        <v>0</v>
      </c>
      <c r="N2" s="366">
        <f t="shared" ref="N2:N11" si="2">IF(F2-C2 &lt; 0,0,F2-C2)</f>
        <v>0</v>
      </c>
      <c r="O2" s="369">
        <f t="shared" ref="O2:O16" si="3">(G2+I2)/H2</f>
        <v>7.1388446215139441</v>
      </c>
      <c r="P2" s="149">
        <f t="shared" ref="P2:P9" si="4">IFERROR(ROUND(N2/S2,0),0)</f>
        <v>0</v>
      </c>
      <c r="Q2" s="149">
        <f>IFERROR(ROUND(N2/$S$12,0),0)</f>
        <v>0</v>
      </c>
      <c r="R2" s="150">
        <f>Q2/(WINGS_RECOVER_NUM/WINGS_CONSUME_IO)*WINGS_RECOVER_DIAMS</f>
        <v>0</v>
      </c>
      <c r="S2" s="151">
        <f>IFERROR(SUMPRODUCT(D迎擊!A:A,D迎擊!C:C)/SUM(D迎擊!C:C),0)</f>
        <v>10.379310344827585</v>
      </c>
      <c r="T2" s="152">
        <f>SUM(D迎擊!C:C)</f>
        <v>29</v>
      </c>
      <c r="V2" s="39" t="s">
        <v>44</v>
      </c>
      <c r="W2" s="74">
        <v>132435</v>
      </c>
      <c r="X2" s="74">
        <v>2</v>
      </c>
      <c r="Y2" s="74">
        <v>206</v>
      </c>
      <c r="Z2" s="74">
        <v>384</v>
      </c>
      <c r="AA2" s="74">
        <v>5820</v>
      </c>
      <c r="AB2" s="74">
        <v>6243</v>
      </c>
      <c r="AC2" s="74">
        <v>77053</v>
      </c>
      <c r="AD2" s="388"/>
      <c r="AE2" s="389"/>
    </row>
    <row r="3" spans="1:34" ht="15" customHeight="1" x14ac:dyDescent="0.25">
      <c r="A3" s="488"/>
      <c r="B3" s="132" t="s">
        <v>89</v>
      </c>
      <c r="C3" s="381">
        <v>27914</v>
      </c>
      <c r="D3" s="136">
        <f>(C3-MIN(DATA_IO_OWNED_BIG))/(MAX(DATA_IO_OWNED_BIG)-MIN(DATA_IO_OWNED_BIG))</f>
        <v>1</v>
      </c>
      <c r="E3" s="133">
        <f>C3-MAX(DATA_IO_OWNED_BIG)</f>
        <v>0</v>
      </c>
      <c r="F3" s="134">
        <f>VLOOKUP($W$9,DATA_IO,6,TRUE)+VLOOKUP($W$10,DATA_IO,6,TRUE)+VLOOKUP($AC$9,DATA_IO,6,TRUE)+VLOOKUP($AC$10,DATA_IO,6,TRUE)</f>
        <v>0</v>
      </c>
      <c r="G3" s="135">
        <f t="shared" si="0"/>
        <v>2560</v>
      </c>
      <c r="H3" s="135">
        <f>IO_MAX_BIG_EMBLEM*4</f>
        <v>2560</v>
      </c>
      <c r="I3" s="133">
        <f t="shared" si="1"/>
        <v>27914</v>
      </c>
      <c r="J3" s="133">
        <f>IFERROR(FLOOR(I3/IO_WEAPON_530,1),0)</f>
        <v>139</v>
      </c>
      <c r="K3" s="133">
        <f>I3+I2*IO_EXCHANGE_SMALL_TO_BIG</f>
        <v>38186.333333333328</v>
      </c>
      <c r="L3" s="136">
        <f>(K3-MIN(DATA_IO_EXTRA_EXCHANGED_BIG))/(MAX(DATA_IO_EXTRA_EXCHANGED_BIG)-MIN(DATA_IO_EXTRA_EXCHANGED_BIG))</f>
        <v>1</v>
      </c>
      <c r="M3" s="133">
        <f>K3-MAX(DATA_IO_EXTRA_EXCHANGED_BIG)</f>
        <v>0</v>
      </c>
      <c r="N3" s="368">
        <f t="shared" si="2"/>
        <v>0</v>
      </c>
      <c r="O3" s="369">
        <f t="shared" si="3"/>
        <v>11.90390625</v>
      </c>
      <c r="P3" s="137">
        <f t="shared" si="4"/>
        <v>0</v>
      </c>
      <c r="Q3" s="137">
        <f>IFERROR(ROUND(N3/$S$13,0),0)</f>
        <v>0</v>
      </c>
      <c r="R3" s="138">
        <f t="shared" ref="R3:R11" si="5">Q3/(WINGS_RECOVER_NUM/WINGS_CONSUME_IO)*WINGS_RECOVER_DIAMS</f>
        <v>0</v>
      </c>
      <c r="S3" s="139">
        <f>IFERROR(SUMPRODUCT(D迎擊!D:D,D迎擊!F:F)/$T3,0)</f>
        <v>4.4827586206896548</v>
      </c>
      <c r="T3" s="153">
        <f>SUM(D迎擊!F:F)</f>
        <v>29</v>
      </c>
      <c r="V3" s="39" t="s">
        <v>45</v>
      </c>
      <c r="W3" s="74">
        <v>132435</v>
      </c>
      <c r="X3" s="74">
        <v>2</v>
      </c>
      <c r="Y3" s="74">
        <v>206</v>
      </c>
      <c r="Z3" s="74">
        <v>384</v>
      </c>
      <c r="AA3" s="74">
        <v>5820</v>
      </c>
      <c r="AB3" s="74">
        <v>6243</v>
      </c>
      <c r="AC3" s="74">
        <v>77053</v>
      </c>
    </row>
    <row r="4" spans="1:34" x14ac:dyDescent="0.25">
      <c r="A4" s="493" t="s">
        <v>12</v>
      </c>
      <c r="B4" s="162" t="s">
        <v>90</v>
      </c>
      <c r="C4" s="380">
        <v>18949</v>
      </c>
      <c r="D4" s="148">
        <f>(C4-MIN(DATA_IO_OWNED_SMALL))/(MAX(DATA_IO_OWNED_SMALL)-MIN(DATA_IO_OWNED_SMALL))</f>
        <v>0.13981419906091933</v>
      </c>
      <c r="E4" s="145">
        <f>C4-MAX(DATA_IO_OWNED_SMALL)</f>
        <v>-42685</v>
      </c>
      <c r="F4" s="146">
        <f>VLOOKUP($W$11,DATA_IO,5,TRUE)+VLOOKUP($W$12,DATA_IO,5,TRUE)+VLOOKUP($AC$11,DATA_IO,5,TRUE)+VLOOKUP($AC$12,DATA_IO,5,TRUE)</f>
        <v>0</v>
      </c>
      <c r="G4" s="147">
        <f t="shared" si="0"/>
        <v>10040</v>
      </c>
      <c r="H4" s="147">
        <f>IO_MAX_SMALL_EMBLEM*4</f>
        <v>10040</v>
      </c>
      <c r="I4" s="145">
        <f t="shared" si="1"/>
        <v>18949</v>
      </c>
      <c r="J4" s="145">
        <f>IFERROR(FLOOR(I4/IO_WEAPON_434,1),0)</f>
        <v>75</v>
      </c>
      <c r="K4" s="145">
        <f>I4+I5*IO_EXCHANGE_BIG_TO_SMALL</f>
        <v>46549</v>
      </c>
      <c r="L4" s="148">
        <f>(K4-MIN(DATA_IO_EXTRA_EXCHANGED_SMALL))/(MAX(DATA_IO_EXTRA_EXCHANGED_SMALL)-MIN(DATA_IO_EXTRA_EXCHANGED_SMALL))</f>
        <v>0.1590121943955137</v>
      </c>
      <c r="M4" s="145">
        <f>K4-MAX(DATA_IO_EXTRA_EXCHANGED_SMALL)</f>
        <v>-98827</v>
      </c>
      <c r="N4" s="366">
        <f t="shared" si="2"/>
        <v>0</v>
      </c>
      <c r="O4" s="367">
        <f t="shared" si="3"/>
        <v>2.8873505976095619</v>
      </c>
      <c r="P4" s="163">
        <f t="shared" si="4"/>
        <v>0</v>
      </c>
      <c r="Q4" s="163">
        <f>IFERROR(ROUND(N4/$S$12,0),0)</f>
        <v>0</v>
      </c>
      <c r="R4" s="164">
        <f>Q4/(WINGS_RECOVER_NUM/WINGS_CONSUME_IO)*WINGS_RECOVER_DIAMS</f>
        <v>0</v>
      </c>
      <c r="S4" s="165">
        <f>IFERROR(SUMPRODUCT(D迎擊!G:G,D迎擊!I:I)/SUM(D迎擊!I:I),0)</f>
        <v>10.555555555555555</v>
      </c>
      <c r="T4" s="166">
        <f>SUM(D迎擊!I:I)</f>
        <v>18</v>
      </c>
    </row>
    <row r="5" spans="1:34" x14ac:dyDescent="0.25">
      <c r="A5" s="494"/>
      <c r="B5" s="167" t="s">
        <v>89</v>
      </c>
      <c r="C5" s="381">
        <v>9200</v>
      </c>
      <c r="D5" s="136">
        <f>(C5-MIN(DATA_IO_OWNED_BIG))/(MAX(DATA_IO_OWNED_BIG)-MIN(DATA_IO_OWNED_BIG))</f>
        <v>0.17304463102076889</v>
      </c>
      <c r="E5" s="133">
        <f>C5-MAX(DATA_IO_OWNED_BIG)</f>
        <v>-18714</v>
      </c>
      <c r="F5" s="134">
        <f>VLOOKUP($W$11,DATA_IO,6,TRUE)+VLOOKUP($W$12,DATA_IO,6,TRUE)+VLOOKUP($AC$11,DATA_IO,6,TRUE)+VLOOKUP($AC$12,DATA_IO,6,TRUE)</f>
        <v>0</v>
      </c>
      <c r="G5" s="135">
        <f t="shared" si="0"/>
        <v>2560</v>
      </c>
      <c r="H5" s="135">
        <f>IO_MAX_BIG_EMBLEM*4</f>
        <v>2560</v>
      </c>
      <c r="I5" s="133">
        <f t="shared" si="1"/>
        <v>9200</v>
      </c>
      <c r="J5" s="133">
        <f>IFERROR(FLOOR(I5/IO_WEAPON_530,1),0)</f>
        <v>46</v>
      </c>
      <c r="K5" s="133">
        <f>I5+I4*IO_EXCHANGE_SMALL_TO_BIG</f>
        <v>12358.166666666666</v>
      </c>
      <c r="L5" s="136">
        <f>(K5-MIN(DATA_IO_EXTRA_EXCHANGED_BIG))/(MAX(DATA_IO_EXTRA_EXCHANGED_BIG)-MIN(DATA_IO_EXTRA_EXCHANGED_BIG))</f>
        <v>0.16415052615114104</v>
      </c>
      <c r="M5" s="133">
        <f>K5-MAX(DATA_IO_EXTRA_EXCHANGED_BIG)</f>
        <v>-25828.166666666664</v>
      </c>
      <c r="N5" s="368">
        <f t="shared" si="2"/>
        <v>0</v>
      </c>
      <c r="O5" s="369">
        <f t="shared" si="3"/>
        <v>4.59375</v>
      </c>
      <c r="P5" s="168">
        <f t="shared" si="4"/>
        <v>0</v>
      </c>
      <c r="Q5" s="168">
        <f>IFERROR(ROUND(N5/$S$13,0),0)</f>
        <v>0</v>
      </c>
      <c r="R5" s="169">
        <f t="shared" si="5"/>
        <v>0</v>
      </c>
      <c r="S5" s="170">
        <f>IFERROR(SUMPRODUCT(D迎擊!J:J,D迎擊!L:L)/$T5,0)</f>
        <v>4.5555555555555554</v>
      </c>
      <c r="T5" s="171">
        <f>SUM(D迎擊!L:L)</f>
        <v>18</v>
      </c>
      <c r="V5" s="39" t="s">
        <v>25</v>
      </c>
      <c r="X5" s="39" t="s">
        <v>51</v>
      </c>
      <c r="Y5" s="16">
        <f>(Y3-Y2)/$AE$5</f>
        <v>0</v>
      </c>
      <c r="Z5" s="16">
        <f t="shared" ref="Z5:AC5" si="6">(Z3-Z2)/$AE$5</f>
        <v>0</v>
      </c>
      <c r="AA5" s="16">
        <f t="shared" si="6"/>
        <v>0</v>
      </c>
      <c r="AB5" s="16">
        <f t="shared" si="6"/>
        <v>0</v>
      </c>
      <c r="AC5" s="16">
        <f t="shared" si="6"/>
        <v>0</v>
      </c>
      <c r="AD5" s="280" t="s">
        <v>164</v>
      </c>
      <c r="AE5" s="33">
        <v>1</v>
      </c>
    </row>
    <row r="6" spans="1:34" ht="15.75" x14ac:dyDescent="0.25">
      <c r="A6" s="489" t="s">
        <v>11</v>
      </c>
      <c r="B6" s="172" t="s">
        <v>90</v>
      </c>
      <c r="C6" s="380">
        <v>12011</v>
      </c>
      <c r="D6" s="148">
        <f>(C6-MIN(DATA_IO_OWNED_SMALL))/(MAX(DATA_IO_OWNED_SMALL)-MIN(DATA_IO_OWNED_SMALL))</f>
        <v>0</v>
      </c>
      <c r="E6" s="145">
        <f>C6-MAX(DATA_IO_OWNED_SMALL)</f>
        <v>-49623</v>
      </c>
      <c r="F6" s="146">
        <f>VLOOKUP($W$13,DATA_IO,5,TRUE)+VLOOKUP($W$14,DATA_IO,5,TRUE)+VLOOKUP($AC$13,DATA_IO,5,TRUE)+VLOOKUP($AC$14,DATA_IO,5,TRUE)</f>
        <v>0</v>
      </c>
      <c r="G6" s="147">
        <f t="shared" si="0"/>
        <v>10040</v>
      </c>
      <c r="H6" s="147">
        <f>IO_MAX_SMALL_EMBLEM*4</f>
        <v>10040</v>
      </c>
      <c r="I6" s="145">
        <f t="shared" si="1"/>
        <v>12011</v>
      </c>
      <c r="J6" s="145">
        <f>IFERROR(FLOOR(I6/IO_WEAPON_434,1),0)</f>
        <v>48</v>
      </c>
      <c r="K6" s="145">
        <f>I6+I7*IO_EXCHANGE_BIG_TO_SMALL</f>
        <v>27863</v>
      </c>
      <c r="L6" s="148">
        <f>(K6-MIN(DATA_IO_EXTRA_EXCHANGED_SMALL))/(MAX(DATA_IO_EXTRA_EXCHANGED_SMALL)-MIN(DATA_IO_EXTRA_EXCHANGED_SMALL))</f>
        <v>0</v>
      </c>
      <c r="M6" s="145">
        <f>K6-MAX(DATA_IO_EXTRA_EXCHANGED_SMALL)</f>
        <v>-117513</v>
      </c>
      <c r="N6" s="366">
        <f t="shared" si="2"/>
        <v>0</v>
      </c>
      <c r="O6" s="367">
        <f t="shared" si="3"/>
        <v>2.1963147410358568</v>
      </c>
      <c r="P6" s="173">
        <f t="shared" si="4"/>
        <v>0</v>
      </c>
      <c r="Q6" s="173">
        <f>IFERROR(ROUND(N6/$S$12,0),0)</f>
        <v>0</v>
      </c>
      <c r="R6" s="174">
        <f>Q6/(WINGS_RECOVER_NUM/WINGS_CONSUME_IO)*WINGS_RECOVER_DIAMS</f>
        <v>0</v>
      </c>
      <c r="S6" s="175">
        <f>IFERROR(SUMPRODUCT(D迎擊!M:M,D迎擊!O:O)/SUM(D迎擊!O:O),0)</f>
        <v>10.683495145631069</v>
      </c>
      <c r="T6" s="176">
        <f>SUM(D迎擊!O:O)</f>
        <v>515</v>
      </c>
      <c r="V6" s="66">
        <f>(W2-W3)/WINGS_RECOVER_DIAMS*6 + (X2-X3)/WINGS_CONSUME_VOID</f>
        <v>0</v>
      </c>
      <c r="X6" s="39" t="s">
        <v>28</v>
      </c>
      <c r="Y6" s="16" t="str">
        <f>IFERROR(Y5/$V$6,"")</f>
        <v/>
      </c>
      <c r="Z6" s="16" t="str">
        <f>IFERROR(Z5/$V$6,"")</f>
        <v/>
      </c>
      <c r="AA6" s="16" t="str">
        <f>IFERROR(AA5/$V$6,"")</f>
        <v/>
      </c>
      <c r="AB6" s="16" t="str">
        <f>IFERROR(AB5/$V$6,"")</f>
        <v/>
      </c>
      <c r="AC6" s="16" t="str">
        <f>IFERROR(AC5/$V$6,"")</f>
        <v/>
      </c>
    </row>
    <row r="7" spans="1:34" x14ac:dyDescent="0.25">
      <c r="A7" s="490"/>
      <c r="B7" s="177" t="s">
        <v>89</v>
      </c>
      <c r="C7" s="381">
        <v>5284</v>
      </c>
      <c r="D7" s="136">
        <f>(C7-MIN(DATA_IO_OWNED_BIG))/(MAX(DATA_IO_OWNED_BIG)-MIN(DATA_IO_OWNED_BIG))</f>
        <v>0</v>
      </c>
      <c r="E7" s="133">
        <f>C7-MAX(DATA_IO_OWNED_BIG)</f>
        <v>-22630</v>
      </c>
      <c r="F7" s="134">
        <f>VLOOKUP($W$13,DATA_IO,6,TRUE)+VLOOKUP($W$14,DATA_IO,6,TRUE)+VLOOKUP($AC$13,DATA_IO,6,TRUE)+VLOOKUP($AC$14,DATA_IO,6,TRUE)</f>
        <v>0</v>
      </c>
      <c r="G7" s="135">
        <f t="shared" si="0"/>
        <v>2560</v>
      </c>
      <c r="H7" s="135">
        <f>IO_MAX_BIG_EMBLEM*4</f>
        <v>2560</v>
      </c>
      <c r="I7" s="133">
        <f t="shared" si="1"/>
        <v>5284</v>
      </c>
      <c r="J7" s="133">
        <f>IFERROR(FLOOR(I7/IO_WEAPON_530,1),0)</f>
        <v>26</v>
      </c>
      <c r="K7" s="133">
        <f>I7+I6*IO_EXCHANGE_SMALL_TO_BIG</f>
        <v>7285.833333333333</v>
      </c>
      <c r="L7" s="136">
        <f>(K7-MIN(DATA_IO_EXTRA_EXCHANGED_BIG))/(MAX(DATA_IO_EXTRA_EXCHANGED_BIG)-MIN(DATA_IO_EXTRA_EXCHANGED_BIG))</f>
        <v>0</v>
      </c>
      <c r="M7" s="133">
        <f>K7-MAX(DATA_IO_EXTRA_EXCHANGED_BIG)</f>
        <v>-30900.499999999996</v>
      </c>
      <c r="N7" s="368">
        <f t="shared" si="2"/>
        <v>0</v>
      </c>
      <c r="O7" s="369">
        <f t="shared" si="3"/>
        <v>3.0640624999999999</v>
      </c>
      <c r="P7" s="178">
        <f t="shared" si="4"/>
        <v>0</v>
      </c>
      <c r="Q7" s="178">
        <f>IFERROR(ROUND(N7/$S$13,0),0)</f>
        <v>0</v>
      </c>
      <c r="R7" s="179">
        <f t="shared" si="5"/>
        <v>0</v>
      </c>
      <c r="S7" s="180">
        <f>IFERROR(SUMPRODUCT(D迎擊!P:P,D迎擊!R:R)/$T7,0)</f>
        <v>4.6660194174757281</v>
      </c>
      <c r="T7" s="181">
        <f>SUM(D迎擊!R:R)</f>
        <v>515</v>
      </c>
      <c r="AH7" s="54"/>
    </row>
    <row r="8" spans="1:34" x14ac:dyDescent="0.25">
      <c r="A8" s="495" t="s">
        <v>9</v>
      </c>
      <c r="B8" s="182" t="s">
        <v>90</v>
      </c>
      <c r="C8" s="380">
        <v>30308</v>
      </c>
      <c r="D8" s="148">
        <f>(C8-MIN(DATA_IO_OWNED_SMALL))/(MAX(DATA_IO_OWNED_SMALL)-MIN(DATA_IO_OWNED_SMALL))</f>
        <v>0.3687201499304758</v>
      </c>
      <c r="E8" s="145">
        <f>C8-MAX(DATA_IO_OWNED_SMALL)</f>
        <v>-31326</v>
      </c>
      <c r="F8" s="146">
        <f>VLOOKUP($W$15,DATA_IO,5,TRUE)+VLOOKUP($W$16,DATA_IO,5,TRUE)</f>
        <v>0</v>
      </c>
      <c r="G8" s="147">
        <f t="shared" si="0"/>
        <v>5020</v>
      </c>
      <c r="H8" s="147">
        <f>IO_MAX_SMALL_EMBLEM*2</f>
        <v>5020</v>
      </c>
      <c r="I8" s="145">
        <f t="shared" si="1"/>
        <v>30308</v>
      </c>
      <c r="J8" s="145">
        <f>IFERROR(FLOOR(I8/IO_WEAPON_434,1),0)</f>
        <v>121</v>
      </c>
      <c r="K8" s="145">
        <f>I8+I9*IO_EXCHANGE_BIG_TO_SMALL</f>
        <v>71153</v>
      </c>
      <c r="L8" s="148">
        <f>(K8-MIN(DATA_IO_EXTRA_EXCHANGED_SMALL))/(MAX(DATA_IO_EXTRA_EXCHANGED_SMALL)-MIN(DATA_IO_EXTRA_EXCHANGED_SMALL))</f>
        <v>0.36838477445048634</v>
      </c>
      <c r="M8" s="145">
        <f>K8-MAX(DATA_IO_EXTRA_EXCHANGED_SMALL)</f>
        <v>-74223</v>
      </c>
      <c r="N8" s="366">
        <f t="shared" si="2"/>
        <v>0</v>
      </c>
      <c r="O8" s="367">
        <f t="shared" si="3"/>
        <v>7.037450199203187</v>
      </c>
      <c r="P8" s="183">
        <f t="shared" si="4"/>
        <v>0</v>
      </c>
      <c r="Q8" s="183">
        <f>IFERROR(ROUND(N8/$S$12,0),0)</f>
        <v>0</v>
      </c>
      <c r="R8" s="184">
        <f>Q8/(WINGS_RECOVER_NUM/WINGS_CONSUME_IO)*WINGS_RECOVER_DIAMS</f>
        <v>0</v>
      </c>
      <c r="S8" s="185">
        <f>IFERROR(SUMPRODUCT(D迎擊!S:S,D迎擊!U:U)/T$8,0)</f>
        <v>10.529411764705882</v>
      </c>
      <c r="T8" s="186">
        <f>SUM(D迎擊!U:U)</f>
        <v>204</v>
      </c>
      <c r="V8" s="39" t="s">
        <v>18</v>
      </c>
      <c r="W8" s="68" t="s">
        <v>16</v>
      </c>
      <c r="X8" s="503" t="s">
        <v>17</v>
      </c>
      <c r="Y8" s="503"/>
      <c r="Z8" s="5" t="s">
        <v>19</v>
      </c>
      <c r="AA8" s="39" t="s">
        <v>20</v>
      </c>
      <c r="AB8" s="15" t="s">
        <v>18</v>
      </c>
      <c r="AC8" s="68" t="s">
        <v>16</v>
      </c>
      <c r="AD8" s="41" t="s">
        <v>17</v>
      </c>
      <c r="AE8" s="42"/>
      <c r="AF8" s="5" t="s">
        <v>19</v>
      </c>
      <c r="AG8" s="49" t="s">
        <v>20</v>
      </c>
      <c r="AH8" s="54"/>
    </row>
    <row r="9" spans="1:34" x14ac:dyDescent="0.25">
      <c r="A9" s="496"/>
      <c r="B9" s="187" t="s">
        <v>89</v>
      </c>
      <c r="C9" s="381">
        <v>13615</v>
      </c>
      <c r="D9" s="136">
        <f>(C9-MIN(DATA_IO_OWNED_BIG))/(MAX(DATA_IO_OWNED_BIG)-MIN(DATA_IO_OWNED_BIG))</f>
        <v>0.36813963764913832</v>
      </c>
      <c r="E9" s="133">
        <f>C9-MAX(DATA_IO_OWNED_BIG)</f>
        <v>-14299</v>
      </c>
      <c r="F9" s="134">
        <f>VLOOKUP($W$15,DATA_IO,6,TRUE)+VLOOKUP($W$16,DATA_IO,6,TRUE)</f>
        <v>0</v>
      </c>
      <c r="G9" s="135">
        <f t="shared" si="0"/>
        <v>1280</v>
      </c>
      <c r="H9" s="135">
        <f>IO_MAX_BIG_EMBLEM*2</f>
        <v>1280</v>
      </c>
      <c r="I9" s="133">
        <f t="shared" si="1"/>
        <v>13615</v>
      </c>
      <c r="J9" s="133">
        <f>IFERROR(FLOOR(I9/IO_WEAPON_530,1),0)</f>
        <v>68</v>
      </c>
      <c r="K9" s="133">
        <f>I9+I8*IO_EXCHANGE_SMALL_TO_BIG</f>
        <v>18666.333333333332</v>
      </c>
      <c r="L9" s="136">
        <f>(K9-MIN(DATA_IO_EXTRA_EXCHANGED_BIG))/(MAX(DATA_IO_EXTRA_EXCHANGED_BIG)-MIN(DATA_IO_EXTRA_EXCHANGED_BIG))</f>
        <v>0.36829501140758242</v>
      </c>
      <c r="M9" s="133">
        <f>K9-MAX(DATA_IO_EXTRA_EXCHANGED_BIG)</f>
        <v>-19519.999999999996</v>
      </c>
      <c r="N9" s="368">
        <f t="shared" si="2"/>
        <v>0</v>
      </c>
      <c r="O9" s="369">
        <f t="shared" si="3"/>
        <v>11.63671875</v>
      </c>
      <c r="P9" s="188">
        <f t="shared" si="4"/>
        <v>0</v>
      </c>
      <c r="Q9" s="188">
        <f>IFERROR(ROUND(N9/$S$13,0),0)</f>
        <v>0</v>
      </c>
      <c r="R9" s="189">
        <f t="shared" si="5"/>
        <v>0</v>
      </c>
      <c r="S9" s="190">
        <f>IFERROR(SUMPRODUCT(D迎擊!V:V,D迎擊!X:X)/T$9,0)</f>
        <v>4.5147058823529411</v>
      </c>
      <c r="T9" s="191">
        <f>SUM(D迎擊!X:X)</f>
        <v>204</v>
      </c>
      <c r="V9" s="501" t="s">
        <v>174</v>
      </c>
      <c r="W9" s="69">
        <v>35</v>
      </c>
      <c r="X9" s="46" t="s">
        <v>1</v>
      </c>
      <c r="Y9" s="6">
        <f>VLOOKUP(W9,DATA_IO,7)+VLOOKUP(W10,DATA_IO,7)</f>
        <v>30</v>
      </c>
      <c r="Z9" s="75" t="str">
        <f t="shared" ref="Z9:Z16" si="7">IF(VLOOKUP(W9,DATA_IO,10)=0,"",VLOOKUP(W9,DATA_IO,10))</f>
        <v/>
      </c>
      <c r="AA9" s="40" t="str">
        <f t="shared" ref="AA9:AA16" si="8">IFERROR(Z9*BOOST_PRICE,"")</f>
        <v/>
      </c>
      <c r="AB9" s="502" t="s">
        <v>13</v>
      </c>
      <c r="AC9" s="69">
        <v>35</v>
      </c>
      <c r="AD9" s="46" t="s">
        <v>1</v>
      </c>
      <c r="AE9" s="6">
        <f>VLOOKUP(AC9,DATA_IO,7)+VLOOKUP(AC10,DATA_IO,7)</f>
        <v>30</v>
      </c>
      <c r="AF9" s="75" t="str">
        <f t="shared" ref="AF9:AF16" si="9">IF(VLOOKUP(AC9,DATA_IO,10)=0,"",VLOOKUP(AC9,DATA_IO,10))</f>
        <v/>
      </c>
      <c r="AG9" s="50" t="str">
        <f t="shared" ref="AG9:AG16" si="10">IFERROR(AF9*BOOST_PRICE,"")</f>
        <v/>
      </c>
      <c r="AH9" s="54"/>
    </row>
    <row r="10" spans="1:34" x14ac:dyDescent="0.25">
      <c r="A10" s="491" t="s">
        <v>8</v>
      </c>
      <c r="B10" s="311" t="s">
        <v>90</v>
      </c>
      <c r="C10" s="380">
        <v>20072</v>
      </c>
      <c r="D10" s="148">
        <f>(C10-MIN(DATA_IO_OWNED_SMALL))/(MAX(DATA_IO_OWNED_SMALL)-MIN(DATA_IO_OWNED_SMALL))</f>
        <v>0.16244483404872739</v>
      </c>
      <c r="E10" s="145">
        <f>C10-MAX(DATA_IO_OWNED_SMALL)</f>
        <v>-41562</v>
      </c>
      <c r="F10" s="146">
        <f>VLOOKUP($AC$15,DATA_IO,5,TRUE)+VLOOKUP($AC$16,DATA_IO,5,TRUE)</f>
        <v>0</v>
      </c>
      <c r="G10" s="147">
        <f t="shared" si="0"/>
        <v>5020</v>
      </c>
      <c r="H10" s="147">
        <f>IO_MAX_SMALL_EMBLEM*2</f>
        <v>5020</v>
      </c>
      <c r="I10" s="145">
        <f t="shared" si="1"/>
        <v>20072</v>
      </c>
      <c r="J10" s="145">
        <f>IFERROR(FLOOR(I10/IO_WEAPON_434,1),0)</f>
        <v>80</v>
      </c>
      <c r="K10" s="145">
        <f>I10+I11*IO_EXCHANGE_BIG_TO_SMALL</f>
        <v>47801</v>
      </c>
      <c r="L10" s="148">
        <f>(K10-MIN(DATA_IO_EXTRA_EXCHANGED_SMALL))/(MAX(DATA_IO_EXTRA_EXCHANGED_SMALL)-MIN(DATA_IO_EXTRA_EXCHANGED_SMALL))</f>
        <v>0.1696663347884915</v>
      </c>
      <c r="M10" s="145">
        <f>K10-MAX(DATA_IO_EXTRA_EXCHANGED_SMALL)</f>
        <v>-97575</v>
      </c>
      <c r="N10" s="366">
        <f t="shared" si="2"/>
        <v>0</v>
      </c>
      <c r="O10" s="367">
        <f t="shared" si="3"/>
        <v>4.9984063745019922</v>
      </c>
      <c r="P10" s="192">
        <f>IFERROR(ROUND(N10/S10,0),0)</f>
        <v>0</v>
      </c>
      <c r="Q10" s="192">
        <f>IFERROR(ROUND(N10/$S$12,0),0)</f>
        <v>0</v>
      </c>
      <c r="R10" s="193">
        <f>Q10/(WINGS_RECOVER_NUM/WINGS_CONSUME_IO)*WINGS_RECOVER_DIAMS</f>
        <v>0</v>
      </c>
      <c r="S10" s="194">
        <f>IFERROR(SUMPRODUCT(D迎擊!Y:Y,D迎擊!AA:AA)/T$10,0)</f>
        <v>0</v>
      </c>
      <c r="T10" s="195">
        <f>SUM(D迎擊!AA:AA)</f>
        <v>0</v>
      </c>
      <c r="V10" s="501"/>
      <c r="W10" s="69">
        <v>35</v>
      </c>
      <c r="X10" s="46" t="s">
        <v>0</v>
      </c>
      <c r="Y10" s="6">
        <f>VLOOKUP(W9,DATA_IO,8)+VLOOKUP(W10,DATA_IO,8)</f>
        <v>30</v>
      </c>
      <c r="Z10" s="75" t="str">
        <f t="shared" si="7"/>
        <v/>
      </c>
      <c r="AA10" s="40" t="str">
        <f t="shared" si="8"/>
        <v/>
      </c>
      <c r="AB10" s="502"/>
      <c r="AC10" s="69">
        <v>35</v>
      </c>
      <c r="AD10" s="46" t="s">
        <v>0</v>
      </c>
      <c r="AE10" s="6">
        <f>VLOOKUP(AC9,DATA_IO,8)+VLOOKUP(AC10,DATA_IO,8)</f>
        <v>30</v>
      </c>
      <c r="AF10" s="76" t="str">
        <f t="shared" si="9"/>
        <v/>
      </c>
      <c r="AG10" s="50" t="str">
        <f t="shared" si="10"/>
        <v/>
      </c>
      <c r="AH10" s="54"/>
    </row>
    <row r="11" spans="1:34" x14ac:dyDescent="0.25">
      <c r="A11" s="492"/>
      <c r="B11" s="196" t="s">
        <v>89</v>
      </c>
      <c r="C11" s="381">
        <v>9243</v>
      </c>
      <c r="D11" s="136">
        <f>(C11-MIN(DATA_IO_OWNED_BIG))/(MAX(DATA_IO_OWNED_BIG)-MIN(DATA_IO_OWNED_BIG))</f>
        <v>0.1749447635881573</v>
      </c>
      <c r="E11" s="133">
        <f>C11-MAX(DATA_IO_OWNED_BIG)</f>
        <v>-18671</v>
      </c>
      <c r="F11" s="134">
        <f>VLOOKUP($AC$15,DATA_IO,6,TRUE)+VLOOKUP($AC$16,DATA_IO,6,TRUE)</f>
        <v>0</v>
      </c>
      <c r="G11" s="135">
        <f t="shared" si="0"/>
        <v>1280</v>
      </c>
      <c r="H11" s="135">
        <f>IO_MAX_BIG_EMBLEM*2</f>
        <v>1280</v>
      </c>
      <c r="I11" s="133">
        <f t="shared" si="1"/>
        <v>9243</v>
      </c>
      <c r="J11" s="133">
        <f>IFERROR(FLOOR(I11/IO_WEAPON_530,1),0)</f>
        <v>46</v>
      </c>
      <c r="K11" s="133">
        <f>I11+I10*IO_EXCHANGE_SMALL_TO_BIG</f>
        <v>12588.333333333332</v>
      </c>
      <c r="L11" s="136">
        <f>(K11-MIN(DATA_IO_EXTRA_EXCHANGED_BIG))/(MAX(DATA_IO_EXTRA_EXCHANGED_BIG)-MIN(DATA_IO_EXTRA_EXCHANGED_BIG))</f>
        <v>0.171599165062054</v>
      </c>
      <c r="M11" s="133">
        <f>K11-MAX(DATA_IO_EXTRA_EXCHANGED_BIG)</f>
        <v>-25597.999999999996</v>
      </c>
      <c r="N11" s="368">
        <f t="shared" si="2"/>
        <v>0</v>
      </c>
      <c r="O11" s="369">
        <f t="shared" si="3"/>
        <v>8.2210937499999996</v>
      </c>
      <c r="P11" s="197">
        <f>IFERROR(ROUND(N11/S11,0),0)</f>
        <v>0</v>
      </c>
      <c r="Q11" s="197">
        <f>IFERROR(ROUND(N11/$S$13,0),0)</f>
        <v>0</v>
      </c>
      <c r="R11" s="198">
        <f t="shared" si="5"/>
        <v>0</v>
      </c>
      <c r="S11" s="199">
        <f>IFERROR(SUMPRODUCT(D迎擊!AB:AB,D迎擊!AD:AD)/T$11,0)</f>
        <v>0</v>
      </c>
      <c r="T11" s="200">
        <f>SUM(D迎擊!AD:AD)</f>
        <v>0</v>
      </c>
      <c r="V11" s="500" t="s">
        <v>10</v>
      </c>
      <c r="W11" s="70">
        <v>35</v>
      </c>
      <c r="X11" s="45" t="s">
        <v>1</v>
      </c>
      <c r="Y11" s="7">
        <f>VLOOKUP(W11,DATA_IO,7)+VLOOKUP(W12,DATA_IO,7)</f>
        <v>30</v>
      </c>
      <c r="Z11" s="77" t="str">
        <f t="shared" si="7"/>
        <v/>
      </c>
      <c r="AA11" s="38" t="str">
        <f t="shared" si="8"/>
        <v/>
      </c>
      <c r="AB11" s="504" t="s">
        <v>7</v>
      </c>
      <c r="AC11" s="70">
        <v>35</v>
      </c>
      <c r="AD11" s="45" t="s">
        <v>1</v>
      </c>
      <c r="AE11" s="7">
        <f>VLOOKUP(AC11,DATA_IO,7)+VLOOKUP(AC12,DATA_IO,7)</f>
        <v>30</v>
      </c>
      <c r="AF11" s="77" t="str">
        <f t="shared" si="9"/>
        <v/>
      </c>
      <c r="AG11" s="51" t="str">
        <f t="shared" si="10"/>
        <v/>
      </c>
      <c r="AH11" s="54"/>
    </row>
    <row r="12" spans="1:34" x14ac:dyDescent="0.25">
      <c r="A12" s="477" t="s">
        <v>6</v>
      </c>
      <c r="B12" s="201" t="s">
        <v>90</v>
      </c>
      <c r="C12" s="382">
        <f t="shared" ref="C12:N13" si="11">SUM(C2,C4,C6,C8,C10)</f>
        <v>142974</v>
      </c>
      <c r="D12" s="318" t="s">
        <v>163</v>
      </c>
      <c r="E12" s="318" t="s">
        <v>163</v>
      </c>
      <c r="F12" s="146">
        <f t="shared" si="11"/>
        <v>0</v>
      </c>
      <c r="G12" s="147">
        <f t="shared" si="11"/>
        <v>40160</v>
      </c>
      <c r="H12" s="147">
        <f t="shared" si="11"/>
        <v>40160</v>
      </c>
      <c r="I12" s="203">
        <f t="shared" si="11"/>
        <v>142974</v>
      </c>
      <c r="J12" s="203">
        <f t="shared" si="11"/>
        <v>570</v>
      </c>
      <c r="K12" s="202">
        <f>I12+I13*IO_EXCHANGE_BIG_TO_SMALL</f>
        <v>338742</v>
      </c>
      <c r="L12" s="318" t="s">
        <v>163</v>
      </c>
      <c r="M12" s="318" t="s">
        <v>163</v>
      </c>
      <c r="N12" s="370">
        <f t="shared" si="11"/>
        <v>0</v>
      </c>
      <c r="O12" s="367">
        <f t="shared" si="3"/>
        <v>4.5601095617529879</v>
      </c>
      <c r="P12" s="486">
        <f>MAX(SUM(P2,P4,P6,P8,P10),SUM(P3,P5,P7,P9,P11),P14,P15,P16)</f>
        <v>0</v>
      </c>
      <c r="Q12" s="486">
        <f>MAX(SUM(Q2,Q4,Q6,Q8,Q10),SUM(Q3,Q5,Q7,Q9,Q11),P14,P15,P16)</f>
        <v>0</v>
      </c>
      <c r="R12" s="506">
        <f>MAX(SUM(R2,R4,R6,R8,R10),SUM(R3,R5,R7,R9,R11),R14,R15,R16)</f>
        <v>0</v>
      </c>
      <c r="S12" s="204">
        <f>IF(T$12=0,0,(S2*T2+S4*T4+S6*T6+S8*T8+S10*T10) / T$12)</f>
        <v>10.627937336814622</v>
      </c>
      <c r="T12" s="205">
        <f>SUM(T2,T4,T6,T8,T10)</f>
        <v>766</v>
      </c>
      <c r="V12" s="500"/>
      <c r="W12" s="70">
        <v>35</v>
      </c>
      <c r="X12" s="45" t="s">
        <v>0</v>
      </c>
      <c r="Y12" s="7">
        <f>VLOOKUP(W11,DATA_IO,8)+VLOOKUP(W12,DATA_IO,8)</f>
        <v>30</v>
      </c>
      <c r="Z12" s="77" t="str">
        <f t="shared" si="7"/>
        <v/>
      </c>
      <c r="AA12" s="38" t="str">
        <f t="shared" si="8"/>
        <v/>
      </c>
      <c r="AB12" s="504"/>
      <c r="AC12" s="70">
        <v>35</v>
      </c>
      <c r="AD12" s="45" t="s">
        <v>0</v>
      </c>
      <c r="AE12" s="7">
        <f>VLOOKUP(AC11,DATA_IO,8)+VLOOKUP(AC12,DATA_IO,8)</f>
        <v>30</v>
      </c>
      <c r="AF12" s="77" t="str">
        <f t="shared" si="9"/>
        <v/>
      </c>
      <c r="AG12" s="51" t="str">
        <f t="shared" si="10"/>
        <v/>
      </c>
      <c r="AH12" s="54"/>
    </row>
    <row r="13" spans="1:34" x14ac:dyDescent="0.25">
      <c r="A13" s="478"/>
      <c r="B13" s="49" t="s">
        <v>89</v>
      </c>
      <c r="C13" s="383">
        <f t="shared" si="11"/>
        <v>65256</v>
      </c>
      <c r="D13" s="319" t="s">
        <v>163</v>
      </c>
      <c r="E13" s="319" t="s">
        <v>163</v>
      </c>
      <c r="F13" s="140">
        <f t="shared" si="11"/>
        <v>0</v>
      </c>
      <c r="G13" s="141">
        <f t="shared" si="11"/>
        <v>10240</v>
      </c>
      <c r="H13" s="141">
        <f t="shared" si="11"/>
        <v>10240</v>
      </c>
      <c r="I13" s="143">
        <f t="shared" si="11"/>
        <v>65256</v>
      </c>
      <c r="J13" s="143">
        <f t="shared" si="11"/>
        <v>325</v>
      </c>
      <c r="K13" s="142">
        <f>I13+I12*IO_EXCHANGE_SMALL_TO_BIG</f>
        <v>89085</v>
      </c>
      <c r="L13" s="319" t="s">
        <v>163</v>
      </c>
      <c r="M13" s="319" t="s">
        <v>163</v>
      </c>
      <c r="N13" s="371">
        <f t="shared" si="11"/>
        <v>0</v>
      </c>
      <c r="O13" s="372">
        <f t="shared" si="3"/>
        <v>7.3726562500000004</v>
      </c>
      <c r="P13" s="481"/>
      <c r="Q13" s="481"/>
      <c r="R13" s="507"/>
      <c r="S13" s="144">
        <f>IF(T$13=0,0,(S3*T3+S5*T5+S7*T7+S9*T9+S11*T11) / T$13)</f>
        <v>4.6161879895561357</v>
      </c>
      <c r="T13" s="206">
        <f>SUM(T3,T5,T7,T9,T11)</f>
        <v>766</v>
      </c>
      <c r="V13" s="499" t="s">
        <v>5</v>
      </c>
      <c r="W13" s="71">
        <v>35</v>
      </c>
      <c r="X13" s="44" t="s">
        <v>1</v>
      </c>
      <c r="Y13" s="8">
        <f>VLOOKUP(W13,DATA_IO,7)+VLOOKUP(W14,DATA_IO,7)</f>
        <v>30</v>
      </c>
      <c r="Z13" s="78" t="str">
        <f t="shared" si="7"/>
        <v/>
      </c>
      <c r="AA13" s="37" t="str">
        <f t="shared" si="8"/>
        <v/>
      </c>
      <c r="AB13" s="505" t="s">
        <v>4</v>
      </c>
      <c r="AC13" s="71">
        <v>35</v>
      </c>
      <c r="AD13" s="44" t="s">
        <v>1</v>
      </c>
      <c r="AE13" s="8">
        <f>VLOOKUP(AC13,DATA_IO,7)+VLOOKUP(AC14,DATA_IO,7)</f>
        <v>30</v>
      </c>
      <c r="AF13" s="78" t="str">
        <f t="shared" si="9"/>
        <v/>
      </c>
      <c r="AG13" s="52" t="str">
        <f t="shared" si="10"/>
        <v/>
      </c>
      <c r="AH13" s="54"/>
    </row>
    <row r="14" spans="1:34" x14ac:dyDescent="0.25">
      <c r="A14" s="478"/>
      <c r="B14" s="321" t="s">
        <v>100</v>
      </c>
      <c r="C14" s="384">
        <v>44255</v>
      </c>
      <c r="D14" s="322" t="s">
        <v>163</v>
      </c>
      <c r="E14" s="322" t="s">
        <v>163</v>
      </c>
      <c r="F14" s="323">
        <f>SUM(VLOOKUP($W$9,DATA_IO,4,TRUE),VLOOKUP($W$10,DATA_IO,4,TRUE),VLOOKUP($W$11,DATA_IO,4,TRUE),VLOOKUP($W$12,DATA_IO,4,TRUE),VLOOKUP($W$13,DATA_IO,4,TRUE),VLOOKUP($W$14,DATA_IO,4,TRUE),VLOOKUP($W$15,DATA_IO,4,TRUE),VLOOKUP($W$16,DATA_IO,4,TRUE),VLOOKUP($AC$9,DATA_IO,4,TRUE),VLOOKUP($AC$10,DATA_IO,4,TRUE),VLOOKUP($AC$11,DATA_IO,4,TRUE),VLOOKUP($AC$12,DATA_IO,4,TRUE),VLOOKUP($AC$13,DATA_IO,4,TRUE),VLOOKUP($AC$14,DATA_IO,4,TRUE),VLOOKUP($AC$15,DATA_IO,4,TRUE),VLOOKUP($AC$16,DATA_IO,4,TRUE))</f>
        <v>0</v>
      </c>
      <c r="G14" s="324">
        <f>H14-N14</f>
        <v>21600</v>
      </c>
      <c r="H14" s="324">
        <f>IO_MAX_GOLD_COIN*16</f>
        <v>21600</v>
      </c>
      <c r="I14" s="325">
        <f>IF(F14-C14 &lt;= 0,ABS(F14-C14),0)</f>
        <v>44255</v>
      </c>
      <c r="J14" s="325" t="s">
        <v>163</v>
      </c>
      <c r="K14" s="326" t="s">
        <v>163</v>
      </c>
      <c r="L14" s="322" t="s">
        <v>163</v>
      </c>
      <c r="M14" s="322" t="s">
        <v>163</v>
      </c>
      <c r="N14" s="373">
        <f>IF(F14-C14 &lt; 0,0,F14-C14)</f>
        <v>0</v>
      </c>
      <c r="O14" s="374">
        <f t="shared" si="3"/>
        <v>3.0488425925925924</v>
      </c>
      <c r="P14" s="480">
        <f>IFERROR(ROUND(N14/S14,0),0)</f>
        <v>0</v>
      </c>
      <c r="Q14" s="480"/>
      <c r="R14" s="327">
        <f>_xlfn.CEILING.MATH(P14/(WINGS_RECOVER_NUM/WINGS_CONSUME_IO)*WINGS_RECOVER_DIAMS)</f>
        <v>0</v>
      </c>
      <c r="S14" s="328">
        <f>IFERROR(SUMPRODUCT(D迎擊!AE:AE,D迎擊!AK:AK)/T$14,0)</f>
        <v>3.597911227154047</v>
      </c>
      <c r="T14" s="483">
        <f>SUM(D迎擊!AK:AK)</f>
        <v>766</v>
      </c>
      <c r="V14" s="499"/>
      <c r="W14" s="71">
        <v>35</v>
      </c>
      <c r="X14" s="44" t="s">
        <v>0</v>
      </c>
      <c r="Y14" s="8">
        <f>VLOOKUP(W13,DATA_IO,8)+VLOOKUP(W14,DATA_IO,8)</f>
        <v>30</v>
      </c>
      <c r="Z14" s="78" t="str">
        <f t="shared" si="7"/>
        <v/>
      </c>
      <c r="AA14" s="37" t="str">
        <f t="shared" si="8"/>
        <v/>
      </c>
      <c r="AB14" s="505"/>
      <c r="AC14" s="71">
        <v>35</v>
      </c>
      <c r="AD14" s="44" t="s">
        <v>0</v>
      </c>
      <c r="AE14" s="8">
        <f>VLOOKUP(AC13,DATA_IO,8)+VLOOKUP(AC14,DATA_IO,8)</f>
        <v>30</v>
      </c>
      <c r="AF14" s="78" t="str">
        <f t="shared" si="9"/>
        <v/>
      </c>
      <c r="AG14" s="52" t="str">
        <f t="shared" si="10"/>
        <v/>
      </c>
      <c r="AH14" s="54"/>
    </row>
    <row r="15" spans="1:34" x14ac:dyDescent="0.25">
      <c r="A15" s="478"/>
      <c r="B15" s="49" t="s">
        <v>101</v>
      </c>
      <c r="C15" s="385">
        <v>51987</v>
      </c>
      <c r="D15" s="319" t="s">
        <v>163</v>
      </c>
      <c r="E15" s="319" t="s">
        <v>163</v>
      </c>
      <c r="F15" s="140">
        <f>SUM(VLOOKUP($W$9,DATA_IO,3,TRUE),VLOOKUP($W$10,DATA_IO,3,TRUE),VLOOKUP($W$11,DATA_IO,3,TRUE),VLOOKUP($W$12,DATA_IO,3,TRUE),VLOOKUP($W$13,DATA_IO,3,TRUE),VLOOKUP($W$14,DATA_IO,3,TRUE),VLOOKUP($W$15,DATA_IO,3,TRUE),VLOOKUP($W$16,DATA_IO,3,TRUE),VLOOKUP($AC$9,DATA_IO,3,TRUE),VLOOKUP($AC$10,DATA_IO,3,TRUE),VLOOKUP($AC$11,DATA_IO,3,TRUE),VLOOKUP($AC$12,DATA_IO,3,TRUE),VLOOKUP($AC$13,DATA_IO,3,TRUE),VLOOKUP($AC$14,DATA_IO,3,TRUE),VLOOKUP($AC$15,DATA_IO,3,TRUE),VLOOKUP($AC$16,DATA_IO,3,TRUE))</f>
        <v>0</v>
      </c>
      <c r="G15" s="141">
        <f>H15-N15</f>
        <v>20080</v>
      </c>
      <c r="H15" s="141">
        <f>IO_MAX_SILVER_COIN*16</f>
        <v>20080</v>
      </c>
      <c r="I15" s="143">
        <f>IF(F15-C15 &lt;= 0,ABS(F15-C15),0)</f>
        <v>51987</v>
      </c>
      <c r="J15" s="143" t="s">
        <v>163</v>
      </c>
      <c r="K15" s="142" t="s">
        <v>163</v>
      </c>
      <c r="L15" s="319" t="s">
        <v>163</v>
      </c>
      <c r="M15" s="319" t="s">
        <v>163</v>
      </c>
      <c r="N15" s="371">
        <f>IF(F15-C15 &lt; 0,0,F15-C15)</f>
        <v>0</v>
      </c>
      <c r="O15" s="372">
        <f t="shared" si="3"/>
        <v>3.5889940239043825</v>
      </c>
      <c r="P15" s="481">
        <f>IFERROR(ROUND(N15/S15,0),0)</f>
        <v>0</v>
      </c>
      <c r="Q15" s="481"/>
      <c r="R15" s="309">
        <f>_xlfn.CEILING.MATH(P15/(WINGS_RECOVER_NUM/WINGS_CONSUME_IO)*WINGS_RECOVER_DIAMS)</f>
        <v>0</v>
      </c>
      <c r="S15" s="144">
        <f>IFERROR(SUMPRODUCT(D迎擊!AG:AG,D迎擊!AK:AK)/T$14,0)</f>
        <v>1.9033942558746737</v>
      </c>
      <c r="T15" s="484"/>
      <c r="V15" s="498" t="s">
        <v>3</v>
      </c>
      <c r="W15" s="72">
        <v>35</v>
      </c>
      <c r="X15" s="14" t="s">
        <v>1</v>
      </c>
      <c r="Y15" s="9">
        <f>VLOOKUP(W15,DATA_IO,7)+VLOOKUP(W16,DATA_IO,7)</f>
        <v>30</v>
      </c>
      <c r="Z15" s="79" t="str">
        <f t="shared" si="7"/>
        <v/>
      </c>
      <c r="AA15" s="36" t="str">
        <f t="shared" si="8"/>
        <v/>
      </c>
      <c r="AB15" s="497" t="s">
        <v>2</v>
      </c>
      <c r="AC15" s="73">
        <v>35</v>
      </c>
      <c r="AD15" s="43" t="s">
        <v>1</v>
      </c>
      <c r="AE15" s="10">
        <f>VLOOKUP(AC15,DATA_IO,7)+VLOOKUP(AC16,DATA_IO,7)</f>
        <v>30</v>
      </c>
      <c r="AF15" s="80" t="str">
        <f t="shared" si="9"/>
        <v/>
      </c>
      <c r="AG15" s="53" t="str">
        <f t="shared" si="10"/>
        <v/>
      </c>
      <c r="AH15" s="54"/>
    </row>
    <row r="16" spans="1:34" ht="15.75" thickBot="1" x14ac:dyDescent="0.3">
      <c r="A16" s="479"/>
      <c r="B16" s="386" t="s">
        <v>102</v>
      </c>
      <c r="C16" s="387">
        <v>94319</v>
      </c>
      <c r="D16" s="320" t="s">
        <v>163</v>
      </c>
      <c r="E16" s="320" t="s">
        <v>163</v>
      </c>
      <c r="F16" s="134">
        <f>SUM(VLOOKUP($W$9,DATA_IO,2,TRUE),VLOOKUP($W$10,DATA_IO,2,TRUE),VLOOKUP($W$11,DATA_IO,2,TRUE),VLOOKUP($W$12,DATA_IO,2,TRUE),VLOOKUP($W$13,DATA_IO,2,TRUE),VLOOKUP($W$14,DATA_IO,2,TRUE),VLOOKUP($W$15,DATA_IO,2,TRUE),VLOOKUP($W$16,DATA_IO,2,TRUE),VLOOKUP($AC$9,DATA_IO,2,TRUE),VLOOKUP($AC$10,DATA_IO,2,TRUE),VLOOKUP($AC$11,DATA_IO,2,TRUE),VLOOKUP($AC$12,DATA_IO,2,TRUE),VLOOKUP($AC$13,DATA_IO,2,TRUE),VLOOKUP($AC$14,DATA_IO,2,TRUE),VLOOKUP($AC$15,DATA_IO,2,TRUE),VLOOKUP($AC$16,DATA_IO,2,TRUE))</f>
        <v>0</v>
      </c>
      <c r="G16" s="135">
        <f>H16-N16</f>
        <v>73280</v>
      </c>
      <c r="H16" s="135">
        <f>IO_MAX_BRONZE_COIN*16</f>
        <v>73280</v>
      </c>
      <c r="I16" s="208">
        <f>IF(F16-C16 &lt;= 0,ABS(F16-C16),0)</f>
        <v>94319</v>
      </c>
      <c r="J16" s="208" t="s">
        <v>163</v>
      </c>
      <c r="K16" s="207" t="s">
        <v>163</v>
      </c>
      <c r="L16" s="320" t="s">
        <v>163</v>
      </c>
      <c r="M16" s="320" t="s">
        <v>163</v>
      </c>
      <c r="N16" s="375">
        <f>IF(F16-C16 &lt; 0,0,F16-C16)</f>
        <v>0</v>
      </c>
      <c r="O16" s="376">
        <f t="shared" si="3"/>
        <v>2.2871042576419214</v>
      </c>
      <c r="P16" s="482">
        <f>IFERROR(ROUND(N16/S16,0),0)</f>
        <v>0</v>
      </c>
      <c r="Q16" s="482"/>
      <c r="R16" s="310">
        <f>_xlfn.CEILING.MATH(Q16/(WINGS_RECOVER_NUM/WINGS_CONSUME_IO)*WINGS_RECOVER_DIAMS)</f>
        <v>0</v>
      </c>
      <c r="S16" s="209">
        <f>IFERROR(SUMPRODUCT(D迎擊!AI:AI,D迎擊!AK:AK)/T$14,0)</f>
        <v>12.639686684073107</v>
      </c>
      <c r="T16" s="485"/>
      <c r="V16" s="498"/>
      <c r="W16" s="72">
        <v>35</v>
      </c>
      <c r="X16" s="14" t="s">
        <v>0</v>
      </c>
      <c r="Y16" s="9">
        <f>VLOOKUP(W15,DATA_IO,8)+VLOOKUP(W16,DATA_IO,8)</f>
        <v>30</v>
      </c>
      <c r="Z16" s="79" t="str">
        <f t="shared" si="7"/>
        <v/>
      </c>
      <c r="AA16" s="36" t="str">
        <f t="shared" si="8"/>
        <v/>
      </c>
      <c r="AB16" s="497"/>
      <c r="AC16" s="73">
        <v>35</v>
      </c>
      <c r="AD16" s="43" t="s">
        <v>0</v>
      </c>
      <c r="AE16" s="10">
        <f>VLOOKUP(AC15,DATA_IO,8)+VLOOKUP(AC16,DATA_IO,8)</f>
        <v>30</v>
      </c>
      <c r="AF16" s="80" t="str">
        <f t="shared" si="9"/>
        <v/>
      </c>
      <c r="AG16" s="53" t="str">
        <f t="shared" si="10"/>
        <v/>
      </c>
    </row>
  </sheetData>
  <mergeCells count="22">
    <mergeCell ref="X8:Y8"/>
    <mergeCell ref="AB11:AB12"/>
    <mergeCell ref="AB13:AB14"/>
    <mergeCell ref="R12:R13"/>
    <mergeCell ref="Q12:Q13"/>
    <mergeCell ref="AB15:AB16"/>
    <mergeCell ref="V15:V16"/>
    <mergeCell ref="V13:V14"/>
    <mergeCell ref="V11:V12"/>
    <mergeCell ref="V9:V10"/>
    <mergeCell ref="AB9:AB10"/>
    <mergeCell ref="A2:A3"/>
    <mergeCell ref="A6:A7"/>
    <mergeCell ref="A10:A11"/>
    <mergeCell ref="A4:A5"/>
    <mergeCell ref="A8:A9"/>
    <mergeCell ref="A12:A16"/>
    <mergeCell ref="P14:Q14"/>
    <mergeCell ref="P15:Q15"/>
    <mergeCell ref="P16:Q16"/>
    <mergeCell ref="T14:T16"/>
    <mergeCell ref="P12:P13"/>
  </mergeCells>
  <conditionalFormatting sqref="O3">
    <cfRule type="dataBar" priority="27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O4:O5">
    <cfRule type="dataBar" priority="2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O5:O7">
    <cfRule type="dataBar" priority="2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O7:O9">
    <cfRule type="dataBar" priority="3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O9:O12">
    <cfRule type="dataBar" priority="3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O12:O15">
    <cfRule type="dataBar" priority="26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O2">
    <cfRule type="dataBar" priority="2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O16">
    <cfRule type="dataBar" priority="5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conditionalFormatting sqref="O1:O1048576">
    <cfRule type="cellIs" dxfId="5" priority="2" operator="lessThan">
      <formula>1</formula>
    </cfRule>
    <cfRule type="cellIs" dxfId="4" priority="3" operator="greaterThan">
      <formula>2</formula>
    </cfRule>
    <cfRule type="cellIs" dxfId="3" priority="4" operator="between">
      <formula>1</formula>
      <formula>2</formula>
    </cfRule>
  </conditionalFormatting>
  <conditionalFormatting sqref="O2">
    <cfRule type="dataBar" priority="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{5B6C71F9-4E8A-41D3-9D98-83426B9EA72A}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O4:O5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O5:O7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O7:O9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B6C71F9-4E8A-41D3-9D98-83426B9EA72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workbookViewId="0">
      <selection sqref="A1:B1"/>
    </sheetView>
  </sheetViews>
  <sheetFormatPr defaultColWidth="9.140625" defaultRowHeight="15" x14ac:dyDescent="0.25"/>
  <cols>
    <col min="1" max="1" width="6.85546875" style="345" customWidth="1"/>
    <col min="2" max="2" width="4.85546875" style="108" customWidth="1"/>
    <col min="3" max="3" width="4.85546875" style="61" customWidth="1"/>
    <col min="4" max="4" width="6.85546875" style="56" customWidth="1"/>
    <col min="5" max="5" width="4.85546875" style="108" customWidth="1"/>
    <col min="6" max="6" width="4.85546875" style="61" customWidth="1"/>
    <col min="7" max="7" width="6.85546875" style="341" customWidth="1"/>
    <col min="8" max="8" width="4.85546875" style="113" customWidth="1"/>
    <col min="9" max="9" width="4.85546875" style="62" customWidth="1"/>
    <col min="10" max="10" width="6.85546875" style="343" customWidth="1"/>
    <col min="11" max="11" width="4.85546875" style="3" customWidth="1"/>
    <col min="12" max="12" width="4.85546875" style="62" customWidth="1"/>
    <col min="13" max="13" width="6.85546875" style="339" customWidth="1"/>
    <col min="14" max="14" width="4.85546875" style="106" customWidth="1"/>
    <col min="15" max="15" width="4.85546875" style="63" customWidth="1"/>
    <col min="16" max="16" width="6.85546875" style="339" customWidth="1"/>
    <col min="17" max="17" width="4.85546875" style="106" customWidth="1"/>
    <col min="18" max="18" width="4.85546875" style="63" customWidth="1"/>
    <col min="19" max="19" width="6.85546875" style="334" customWidth="1"/>
    <col min="20" max="20" width="4.85546875" style="104" customWidth="1"/>
    <col min="21" max="21" width="4.85546875" style="64" customWidth="1"/>
    <col min="22" max="22" width="6.85546875" style="334" customWidth="1"/>
    <col min="23" max="23" width="4.85546875" style="104" customWidth="1"/>
    <col min="24" max="24" width="4.85546875" style="64" customWidth="1"/>
    <col min="25" max="25" width="6.85546875" style="336" customWidth="1"/>
    <col min="26" max="26" width="4.85546875" style="115" customWidth="1"/>
    <col min="27" max="27" width="4.85546875" style="65" customWidth="1"/>
    <col min="28" max="28" width="6.85546875" style="336" customWidth="1"/>
    <col min="29" max="29" width="4.85546875" style="115" customWidth="1"/>
    <col min="30" max="30" width="4.85546875" style="65" customWidth="1"/>
    <col min="31" max="31" width="6.85546875" style="110" customWidth="1"/>
    <col min="32" max="32" width="4.85546875" style="117" customWidth="1"/>
    <col min="33" max="33" width="6.85546875" style="99" customWidth="1"/>
    <col min="34" max="34" width="4.85546875" style="119" customWidth="1"/>
    <col min="35" max="35" width="7.7109375" style="102" customWidth="1"/>
    <col min="36" max="36" width="4.85546875" style="121" customWidth="1"/>
    <col min="37" max="37" width="4.85546875" style="131" customWidth="1"/>
    <col min="38" max="38" width="3.42578125" customWidth="1"/>
    <col min="39" max="39" width="4.28515625" style="314" customWidth="1"/>
    <col min="40" max="46" width="5.42578125" style="54" customWidth="1"/>
    <col min="47" max="47" width="9.42578125" style="317" customWidth="1"/>
    <col min="48" max="48" width="8.28515625" style="317" hidden="1" customWidth="1"/>
    <col min="49" max="49" width="4.28515625" style="313" customWidth="1"/>
    <col min="50" max="56" width="5.42578125" style="308" customWidth="1"/>
    <col min="57" max="57" width="9.42578125" style="315" customWidth="1"/>
    <col min="58" max="58" width="9.140625" style="316"/>
    <col min="59" max="16384" width="9.140625" style="55"/>
  </cols>
  <sheetData>
    <row r="1" spans="1:57" x14ac:dyDescent="0.25">
      <c r="A1" s="517" t="s">
        <v>90</v>
      </c>
      <c r="B1" s="517"/>
      <c r="C1" s="512" t="s">
        <v>26</v>
      </c>
      <c r="D1" s="512" t="s">
        <v>89</v>
      </c>
      <c r="E1" s="512"/>
      <c r="F1" s="512" t="s">
        <v>26</v>
      </c>
      <c r="G1" s="524" t="s">
        <v>90</v>
      </c>
      <c r="H1" s="524"/>
      <c r="I1" s="511" t="s">
        <v>26</v>
      </c>
      <c r="J1" s="511" t="s">
        <v>89</v>
      </c>
      <c r="K1" s="511"/>
      <c r="L1" s="511" t="s">
        <v>26</v>
      </c>
      <c r="M1" s="523" t="s">
        <v>90</v>
      </c>
      <c r="N1" s="523"/>
      <c r="O1" s="522" t="s">
        <v>26</v>
      </c>
      <c r="P1" s="522" t="s">
        <v>89</v>
      </c>
      <c r="Q1" s="522"/>
      <c r="R1" s="522" t="s">
        <v>26</v>
      </c>
      <c r="S1" s="516" t="s">
        <v>90</v>
      </c>
      <c r="T1" s="516"/>
      <c r="U1" s="515" t="s">
        <v>26</v>
      </c>
      <c r="V1" s="515" t="s">
        <v>89</v>
      </c>
      <c r="W1" s="515"/>
      <c r="X1" s="515" t="s">
        <v>26</v>
      </c>
      <c r="Y1" s="514" t="s">
        <v>90</v>
      </c>
      <c r="Z1" s="514"/>
      <c r="AA1" s="513" t="s">
        <v>26</v>
      </c>
      <c r="AB1" s="513" t="s">
        <v>89</v>
      </c>
      <c r="AC1" s="513"/>
      <c r="AD1" s="513" t="s">
        <v>26</v>
      </c>
      <c r="AE1" s="520" t="s">
        <v>100</v>
      </c>
      <c r="AF1" s="520"/>
      <c r="AG1" s="521" t="s">
        <v>101</v>
      </c>
      <c r="AH1" s="521"/>
      <c r="AI1" s="518" t="s">
        <v>102</v>
      </c>
      <c r="AJ1" s="518"/>
      <c r="AK1" s="519" t="s">
        <v>26</v>
      </c>
      <c r="AM1" s="508" t="s">
        <v>161</v>
      </c>
      <c r="AN1" s="509"/>
      <c r="AO1" s="509"/>
      <c r="AP1" s="509"/>
      <c r="AQ1" s="509"/>
      <c r="AR1" s="509"/>
      <c r="AS1" s="509"/>
      <c r="AT1" s="509"/>
      <c r="AU1" s="510"/>
      <c r="AV1" s="308"/>
      <c r="AW1" s="508" t="s">
        <v>58</v>
      </c>
      <c r="AX1" s="509"/>
      <c r="AY1" s="509"/>
      <c r="AZ1" s="509"/>
      <c r="BA1" s="509"/>
      <c r="BB1" s="509"/>
      <c r="BC1" s="509"/>
      <c r="BD1" s="509"/>
      <c r="BE1" s="510"/>
    </row>
    <row r="2" spans="1:57" x14ac:dyDescent="0.25">
      <c r="A2" s="344" t="s">
        <v>28</v>
      </c>
      <c r="B2" s="111" t="s">
        <v>99</v>
      </c>
      <c r="C2" s="512"/>
      <c r="D2" s="109" t="s">
        <v>28</v>
      </c>
      <c r="E2" s="111" t="s">
        <v>99</v>
      </c>
      <c r="F2" s="512"/>
      <c r="G2" s="340" t="s">
        <v>28</v>
      </c>
      <c r="H2" s="112" t="s">
        <v>99</v>
      </c>
      <c r="I2" s="511"/>
      <c r="J2" s="342" t="s">
        <v>28</v>
      </c>
      <c r="K2" s="107" t="s">
        <v>99</v>
      </c>
      <c r="L2" s="511"/>
      <c r="M2" s="338" t="s">
        <v>28</v>
      </c>
      <c r="N2" s="105" t="s">
        <v>99</v>
      </c>
      <c r="O2" s="522"/>
      <c r="P2" s="338" t="s">
        <v>28</v>
      </c>
      <c r="Q2" s="105" t="s">
        <v>99</v>
      </c>
      <c r="R2" s="522"/>
      <c r="S2" s="333" t="s">
        <v>28</v>
      </c>
      <c r="T2" s="103" t="s">
        <v>99</v>
      </c>
      <c r="U2" s="515"/>
      <c r="V2" s="333" t="s">
        <v>28</v>
      </c>
      <c r="W2" s="103" t="s">
        <v>99</v>
      </c>
      <c r="X2" s="515"/>
      <c r="Y2" s="335" t="s">
        <v>28</v>
      </c>
      <c r="Z2" s="114" t="s">
        <v>99</v>
      </c>
      <c r="AA2" s="513"/>
      <c r="AB2" s="335" t="s">
        <v>28</v>
      </c>
      <c r="AC2" s="114" t="s">
        <v>99</v>
      </c>
      <c r="AD2" s="513"/>
      <c r="AE2" s="97" t="s">
        <v>28</v>
      </c>
      <c r="AF2" s="116" t="s">
        <v>99</v>
      </c>
      <c r="AG2" s="98" t="s">
        <v>28</v>
      </c>
      <c r="AH2" s="118" t="s">
        <v>99</v>
      </c>
      <c r="AI2" s="101" t="s">
        <v>28</v>
      </c>
      <c r="AJ2" s="120" t="s">
        <v>99</v>
      </c>
      <c r="AK2" s="519"/>
      <c r="AM2" s="331" t="s">
        <v>16</v>
      </c>
      <c r="AN2" s="188" t="s">
        <v>102</v>
      </c>
      <c r="AO2" s="188" t="s">
        <v>101</v>
      </c>
      <c r="AP2" s="188" t="s">
        <v>100</v>
      </c>
      <c r="AQ2" s="178" t="s">
        <v>15</v>
      </c>
      <c r="AR2" s="178" t="s">
        <v>79</v>
      </c>
      <c r="AS2" s="347" t="s">
        <v>1</v>
      </c>
      <c r="AT2" s="347" t="s">
        <v>0</v>
      </c>
      <c r="AU2" s="350" t="s">
        <v>21</v>
      </c>
      <c r="AW2" s="331" t="s">
        <v>16</v>
      </c>
      <c r="AX2" s="188" t="s">
        <v>102</v>
      </c>
      <c r="AY2" s="188" t="s">
        <v>101</v>
      </c>
      <c r="AZ2" s="188" t="s">
        <v>100</v>
      </c>
      <c r="BA2" s="178" t="s">
        <v>15</v>
      </c>
      <c r="BB2" s="178" t="s">
        <v>79</v>
      </c>
      <c r="BC2" s="347" t="s">
        <v>1</v>
      </c>
      <c r="BD2" s="347" t="s">
        <v>0</v>
      </c>
      <c r="BE2" s="354" t="s">
        <v>162</v>
      </c>
    </row>
    <row r="3" spans="1:57" x14ac:dyDescent="0.25">
      <c r="A3" s="345">
        <f t="shared" ref="A3" si="0">B3/C3</f>
        <v>10.379310344827585</v>
      </c>
      <c r="B3" s="108">
        <v>301</v>
      </c>
      <c r="C3" s="61">
        <v>29</v>
      </c>
      <c r="D3" s="345">
        <f t="shared" ref="D3" si="1">E3/F3</f>
        <v>4.4827586206896548</v>
      </c>
      <c r="E3" s="4">
        <v>130</v>
      </c>
      <c r="F3" s="61">
        <v>29</v>
      </c>
      <c r="G3" s="341">
        <f t="shared" ref="G3" si="2">H3/I3</f>
        <v>10.555555555555555</v>
      </c>
      <c r="H3" s="113">
        <v>190</v>
      </c>
      <c r="I3" s="62">
        <v>18</v>
      </c>
      <c r="J3" s="341">
        <f t="shared" ref="J3" si="3">K3/L3</f>
        <v>4.5555555555555554</v>
      </c>
      <c r="K3" s="3">
        <v>82</v>
      </c>
      <c r="L3" s="62">
        <v>18</v>
      </c>
      <c r="M3" s="339">
        <f t="shared" ref="M3:M4" si="4">N3/O3</f>
        <v>10.810810810810811</v>
      </c>
      <c r="N3" s="106">
        <v>2000</v>
      </c>
      <c r="O3" s="63">
        <v>185</v>
      </c>
      <c r="P3" s="339">
        <f t="shared" ref="P3:P4" si="5">Q3/R3</f>
        <v>4.9081081081081077</v>
      </c>
      <c r="Q3" s="106">
        <v>908</v>
      </c>
      <c r="R3" s="63">
        <v>185</v>
      </c>
      <c r="S3" s="334">
        <f t="shared" ref="S3:S6" si="6">T3/U3</f>
        <v>10.536585365853659</v>
      </c>
      <c r="T3" s="104">
        <v>432</v>
      </c>
      <c r="U3" s="64">
        <v>41</v>
      </c>
      <c r="V3" s="334">
        <f>W3/X3</f>
        <v>4.5121951219512191</v>
      </c>
      <c r="W3" s="104">
        <v>185</v>
      </c>
      <c r="X3" s="64">
        <v>41</v>
      </c>
      <c r="AA3" s="47"/>
      <c r="AE3" s="110">
        <f t="shared" ref="AE3:AE10" si="7">AF3/AK3</f>
        <v>3.5365853658536586</v>
      </c>
      <c r="AF3" s="117">
        <v>145</v>
      </c>
      <c r="AG3" s="99">
        <f t="shared" ref="AG3:AG10" si="8">AH3/AK3</f>
        <v>1.9512195121951219</v>
      </c>
      <c r="AH3" s="119">
        <v>80</v>
      </c>
      <c r="AI3" s="102">
        <f t="shared" ref="AI3:AI10" si="9">AJ3/AK3</f>
        <v>12.487804878048781</v>
      </c>
      <c r="AJ3" s="121">
        <v>512</v>
      </c>
      <c r="AK3" s="131">
        <v>41</v>
      </c>
      <c r="AM3" s="329">
        <v>1</v>
      </c>
      <c r="AN3" s="183">
        <f>SUM(AX4:AX$37)</f>
        <v>4580</v>
      </c>
      <c r="AO3" s="183">
        <f>SUM(AY4:AY$37)</f>
        <v>1255</v>
      </c>
      <c r="AP3" s="183">
        <f>SUM(AZ4:AZ$37)</f>
        <v>1350</v>
      </c>
      <c r="AQ3" s="173">
        <f>SUM(BA4:BA$37)</f>
        <v>2510</v>
      </c>
      <c r="AR3" s="173">
        <f>SUM(BB4:BB$37)</f>
        <v>640</v>
      </c>
      <c r="AS3" s="348">
        <v>3</v>
      </c>
      <c r="AT3" s="348">
        <v>3</v>
      </c>
      <c r="AU3" s="351" t="str">
        <f>FLOOR(SUM(BE4:BE$37)/24, 1) &amp; " D " &amp; MOD(SUM(BE4:BE$37),24) &amp; " H"</f>
        <v>38 D 4.5 H</v>
      </c>
      <c r="AV3" s="330">
        <f>SUM(BE4:BE$37)/24</f>
        <v>38.1875</v>
      </c>
      <c r="AW3" s="329">
        <v>1</v>
      </c>
      <c r="AX3" s="183">
        <v>0</v>
      </c>
      <c r="AY3" s="183">
        <v>0</v>
      </c>
      <c r="AZ3" s="183">
        <v>0</v>
      </c>
      <c r="BA3" s="173">
        <v>0</v>
      </c>
      <c r="BB3" s="173">
        <v>0</v>
      </c>
      <c r="BC3" s="348">
        <v>3</v>
      </c>
      <c r="BD3" s="348">
        <v>3</v>
      </c>
      <c r="BE3" s="355">
        <v>0</v>
      </c>
    </row>
    <row r="4" spans="1:57" x14ac:dyDescent="0.25">
      <c r="E4" s="4"/>
      <c r="M4" s="339">
        <f t="shared" si="4"/>
        <v>10.612121212121211</v>
      </c>
      <c r="N4" s="106">
        <v>3502</v>
      </c>
      <c r="O4" s="63">
        <v>330</v>
      </c>
      <c r="P4" s="339">
        <f t="shared" si="5"/>
        <v>4.5303030303030303</v>
      </c>
      <c r="Q4" s="106">
        <v>1495</v>
      </c>
      <c r="R4" s="63">
        <v>330</v>
      </c>
      <c r="S4" s="334">
        <f t="shared" si="6"/>
        <v>10.5</v>
      </c>
      <c r="T4" s="104">
        <v>462</v>
      </c>
      <c r="U4" s="64">
        <v>44</v>
      </c>
      <c r="V4" s="334">
        <f>W4/X4</f>
        <v>4.5</v>
      </c>
      <c r="W4" s="104">
        <v>198</v>
      </c>
      <c r="X4" s="64">
        <v>44</v>
      </c>
      <c r="AA4" s="47"/>
      <c r="AD4" s="129"/>
      <c r="AE4" s="110">
        <f t="shared" si="7"/>
        <v>3.5227272727272729</v>
      </c>
      <c r="AF4" s="117">
        <v>155</v>
      </c>
      <c r="AG4" s="99">
        <f t="shared" si="8"/>
        <v>1.9090909090909092</v>
      </c>
      <c r="AH4" s="119">
        <v>84</v>
      </c>
      <c r="AI4" s="102">
        <f t="shared" si="9"/>
        <v>12.5</v>
      </c>
      <c r="AJ4" s="121">
        <v>550</v>
      </c>
      <c r="AK4" s="131">
        <v>44</v>
      </c>
      <c r="AM4" s="313">
        <v>2</v>
      </c>
      <c r="AN4" s="346">
        <f>SUM(AX5:AX$37)</f>
        <v>4570</v>
      </c>
      <c r="AO4" s="346">
        <f>SUM(AY5:AY$37)</f>
        <v>1255</v>
      </c>
      <c r="AP4" s="346">
        <f>SUM(AZ5:AZ$37)</f>
        <v>1350</v>
      </c>
      <c r="AQ4" s="52">
        <f>SUM(BA5:BA$37)</f>
        <v>2510</v>
      </c>
      <c r="AR4" s="52">
        <f>SUM(BB5:BB$37)</f>
        <v>640</v>
      </c>
      <c r="AS4" s="349">
        <v>3.5</v>
      </c>
      <c r="AT4" s="349">
        <v>3</v>
      </c>
      <c r="AU4" s="352" t="str">
        <f>FLOOR(SUM(BE5:BE$37)/24, 1) &amp; " D " &amp; MOD(SUM(BE5:BE$37),24) &amp; " H"</f>
        <v>38 D 4 H</v>
      </c>
      <c r="AV4" s="317">
        <f>SUM(BE5:BE$37)/24</f>
        <v>38.166666666666664</v>
      </c>
      <c r="AW4" s="313">
        <v>2</v>
      </c>
      <c r="AX4" s="346">
        <v>10</v>
      </c>
      <c r="AY4" s="346">
        <v>0</v>
      </c>
      <c r="AZ4" s="346">
        <v>0</v>
      </c>
      <c r="BA4" s="52">
        <v>0</v>
      </c>
      <c r="BB4" s="52">
        <v>0</v>
      </c>
      <c r="BC4" s="349">
        <v>3.5</v>
      </c>
      <c r="BD4" s="349">
        <v>3</v>
      </c>
      <c r="BE4" s="356">
        <v>0.5</v>
      </c>
    </row>
    <row r="5" spans="1:57" x14ac:dyDescent="0.25">
      <c r="E5" s="4"/>
      <c r="S5" s="334">
        <f t="shared" si="6"/>
        <v>10.555555555555555</v>
      </c>
      <c r="T5" s="104">
        <v>1045</v>
      </c>
      <c r="U5" s="64">
        <v>99</v>
      </c>
      <c r="V5" s="334">
        <f>W5/X5</f>
        <v>4.5151515151515156</v>
      </c>
      <c r="W5" s="104">
        <v>447</v>
      </c>
      <c r="X5" s="64">
        <v>99</v>
      </c>
      <c r="AA5" s="47"/>
      <c r="AD5" s="129"/>
      <c r="AE5" s="110">
        <f t="shared" si="7"/>
        <v>3.5151515151515151</v>
      </c>
      <c r="AF5" s="117">
        <v>348</v>
      </c>
      <c r="AG5" s="99">
        <f t="shared" si="8"/>
        <v>1.898989898989899</v>
      </c>
      <c r="AH5" s="119">
        <v>188</v>
      </c>
      <c r="AI5" s="102">
        <f t="shared" si="9"/>
        <v>12.464646464646465</v>
      </c>
      <c r="AJ5" s="121">
        <v>1234</v>
      </c>
      <c r="AK5" s="131">
        <v>99</v>
      </c>
      <c r="AM5" s="313">
        <v>3</v>
      </c>
      <c r="AN5" s="346">
        <f>SUM(AX6:AX$37)</f>
        <v>4560</v>
      </c>
      <c r="AO5" s="346">
        <f>SUM(AY6:AY$37)</f>
        <v>1255</v>
      </c>
      <c r="AP5" s="346">
        <f>SUM(AZ6:AZ$37)</f>
        <v>1350</v>
      </c>
      <c r="AQ5" s="52">
        <f>SUM(BA6:BA$37)</f>
        <v>2510</v>
      </c>
      <c r="AR5" s="52">
        <f>SUM(BB6:BB$37)</f>
        <v>640</v>
      </c>
      <c r="AS5" s="349">
        <v>3.5</v>
      </c>
      <c r="AT5" s="349">
        <v>3.5</v>
      </c>
      <c r="AU5" s="352" t="str">
        <f>FLOOR(SUM(BE6:BE$37)/24, 1) &amp; " D " &amp; MOD(SUM(BE6:BE$37),24) &amp; " H"</f>
        <v>38 D 3 H</v>
      </c>
      <c r="AV5" s="317">
        <f>SUM(BE6:BE$37)/24</f>
        <v>38.125</v>
      </c>
      <c r="AW5" s="313">
        <v>3</v>
      </c>
      <c r="AX5" s="346">
        <v>10</v>
      </c>
      <c r="AY5" s="346">
        <v>0</v>
      </c>
      <c r="AZ5" s="346">
        <v>0</v>
      </c>
      <c r="BA5" s="52">
        <v>0</v>
      </c>
      <c r="BB5" s="52">
        <v>0</v>
      </c>
      <c r="BC5" s="349">
        <v>3.5</v>
      </c>
      <c r="BD5" s="349">
        <v>3.5</v>
      </c>
      <c r="BE5" s="356">
        <v>1</v>
      </c>
    </row>
    <row r="6" spans="1:57" x14ac:dyDescent="0.25">
      <c r="E6" s="4"/>
      <c r="S6" s="334">
        <f t="shared" si="6"/>
        <v>10.45</v>
      </c>
      <c r="T6" s="104">
        <v>209</v>
      </c>
      <c r="U6" s="64">
        <v>20</v>
      </c>
      <c r="V6" s="334">
        <f>W6/X6</f>
        <v>4.55</v>
      </c>
      <c r="W6" s="104">
        <v>91</v>
      </c>
      <c r="X6" s="64">
        <v>20</v>
      </c>
      <c r="AA6" s="47"/>
      <c r="AB6" s="337"/>
      <c r="AC6" s="2"/>
      <c r="AD6" s="129"/>
      <c r="AE6" s="110">
        <f t="shared" si="7"/>
        <v>3.5</v>
      </c>
      <c r="AF6" s="117">
        <v>70</v>
      </c>
      <c r="AG6" s="99">
        <f t="shared" si="8"/>
        <v>1.9</v>
      </c>
      <c r="AH6" s="119">
        <v>38</v>
      </c>
      <c r="AI6" s="102">
        <f t="shared" si="9"/>
        <v>12.65</v>
      </c>
      <c r="AJ6" s="121">
        <v>253</v>
      </c>
      <c r="AK6" s="131">
        <v>20</v>
      </c>
      <c r="AM6" s="313">
        <v>4</v>
      </c>
      <c r="AN6" s="346">
        <f>SUM(AX7:AX$37)</f>
        <v>4550</v>
      </c>
      <c r="AO6" s="346">
        <f>SUM(AY7:AY$37)</f>
        <v>1255</v>
      </c>
      <c r="AP6" s="346">
        <f>SUM(AZ7:AZ$37)</f>
        <v>1350</v>
      </c>
      <c r="AQ6" s="52">
        <f>SUM(BA7:BA$37)</f>
        <v>2510</v>
      </c>
      <c r="AR6" s="52">
        <f>SUM(BB7:BB$37)</f>
        <v>640</v>
      </c>
      <c r="AS6" s="349">
        <v>4</v>
      </c>
      <c r="AT6" s="349">
        <v>3.5</v>
      </c>
      <c r="AU6" s="352" t="str">
        <f>FLOOR(SUM(BE7:BE$37)/24, 1) &amp; " D " &amp; MOD(SUM(BE7:BE$37),24) &amp; " H"</f>
        <v>38 D 1 H</v>
      </c>
      <c r="AV6" s="317">
        <f>SUM(BE7:BE$37)/24</f>
        <v>38.041666666666664</v>
      </c>
      <c r="AW6" s="313">
        <v>4</v>
      </c>
      <c r="AX6" s="346">
        <v>10</v>
      </c>
      <c r="AY6" s="346">
        <v>0</v>
      </c>
      <c r="AZ6" s="346">
        <v>0</v>
      </c>
      <c r="BA6" s="52">
        <v>0</v>
      </c>
      <c r="BB6" s="52">
        <v>0</v>
      </c>
      <c r="BC6" s="349">
        <v>4</v>
      </c>
      <c r="BD6" s="349">
        <v>3.5</v>
      </c>
      <c r="BE6" s="356">
        <v>2</v>
      </c>
    </row>
    <row r="7" spans="1:57" x14ac:dyDescent="0.25">
      <c r="E7" s="4"/>
      <c r="AB7" s="337"/>
      <c r="AE7" s="110">
        <f t="shared" si="7"/>
        <v>3.8378378378378377</v>
      </c>
      <c r="AF7" s="117">
        <v>710</v>
      </c>
      <c r="AG7" s="99">
        <f t="shared" si="8"/>
        <v>1.9297297297297298</v>
      </c>
      <c r="AH7" s="119">
        <v>357</v>
      </c>
      <c r="AI7" s="102">
        <f t="shared" si="9"/>
        <v>12.891891891891891</v>
      </c>
      <c r="AJ7" s="121">
        <v>2385</v>
      </c>
      <c r="AK7" s="131">
        <v>185</v>
      </c>
      <c r="AM7" s="331">
        <v>5</v>
      </c>
      <c r="AN7" s="188">
        <f>SUM(AX8:AX$37)</f>
        <v>4540</v>
      </c>
      <c r="AO7" s="188">
        <f>SUM(AY8:AY$37)</f>
        <v>1255</v>
      </c>
      <c r="AP7" s="188">
        <f>SUM(AZ8:AZ$37)</f>
        <v>1350</v>
      </c>
      <c r="AQ7" s="178">
        <f>SUM(BA8:BA$37)</f>
        <v>2510</v>
      </c>
      <c r="AR7" s="178">
        <f>SUM(BB8:BB$37)</f>
        <v>640</v>
      </c>
      <c r="AS7" s="347">
        <v>4</v>
      </c>
      <c r="AT7" s="347">
        <v>4</v>
      </c>
      <c r="AU7" s="353" t="str">
        <f>FLOOR(SUM(BE8:BE$37)/24, 1) &amp; " D " &amp; MOD(SUM(BE8:BE$37),24) &amp; " H"</f>
        <v>37 D 22 H</v>
      </c>
      <c r="AV7" s="332">
        <f>SUM(BE8:BE$37)/24</f>
        <v>37.916666666666664</v>
      </c>
      <c r="AW7" s="331">
        <v>5</v>
      </c>
      <c r="AX7" s="188">
        <v>10</v>
      </c>
      <c r="AY7" s="188">
        <v>0</v>
      </c>
      <c r="AZ7" s="188">
        <v>0</v>
      </c>
      <c r="BA7" s="178">
        <v>0</v>
      </c>
      <c r="BB7" s="178">
        <v>0</v>
      </c>
      <c r="BC7" s="347">
        <v>4</v>
      </c>
      <c r="BD7" s="347">
        <v>4</v>
      </c>
      <c r="BE7" s="350">
        <v>3</v>
      </c>
    </row>
    <row r="8" spans="1:57" x14ac:dyDescent="0.25">
      <c r="E8" s="4"/>
      <c r="AE8" s="110">
        <f t="shared" si="7"/>
        <v>3.5333333333333332</v>
      </c>
      <c r="AF8" s="117">
        <v>1166</v>
      </c>
      <c r="AG8" s="99">
        <f t="shared" si="8"/>
        <v>1.8787878787878789</v>
      </c>
      <c r="AH8" s="119">
        <v>620</v>
      </c>
      <c r="AI8" s="102">
        <f t="shared" si="9"/>
        <v>12.609090909090909</v>
      </c>
      <c r="AJ8" s="121">
        <v>4161</v>
      </c>
      <c r="AK8" s="131">
        <v>330</v>
      </c>
      <c r="AM8" s="329">
        <v>6</v>
      </c>
      <c r="AN8" s="183">
        <f>SUM(AX9:AX$37)</f>
        <v>4520</v>
      </c>
      <c r="AO8" s="183">
        <f>SUM(AY9:AY$37)</f>
        <v>1255</v>
      </c>
      <c r="AP8" s="183">
        <f>SUM(AZ9:AZ$37)</f>
        <v>1350</v>
      </c>
      <c r="AQ8" s="173">
        <f>SUM(BA9:BA$37)</f>
        <v>2510</v>
      </c>
      <c r="AR8" s="173">
        <f>SUM(BB9:BB$37)</f>
        <v>640</v>
      </c>
      <c r="AS8" s="348">
        <v>4.5</v>
      </c>
      <c r="AT8" s="348">
        <v>4</v>
      </c>
      <c r="AU8" s="351" t="str">
        <f>FLOOR(SUM(BE9:BE$37)/24, 1) &amp; " D " &amp; MOD(SUM(BE9:BE$37),24) &amp; " H"</f>
        <v>37 D 18 H</v>
      </c>
      <c r="AV8" s="330">
        <f>SUM(BE9:BE$37)/24</f>
        <v>37.75</v>
      </c>
      <c r="AW8" s="329">
        <v>6</v>
      </c>
      <c r="AX8" s="183">
        <v>20</v>
      </c>
      <c r="AY8" s="183">
        <v>0</v>
      </c>
      <c r="AZ8" s="183">
        <v>0</v>
      </c>
      <c r="BA8" s="173">
        <v>0</v>
      </c>
      <c r="BB8" s="173">
        <v>0</v>
      </c>
      <c r="BC8" s="348">
        <v>4.5</v>
      </c>
      <c r="BD8" s="348">
        <v>4</v>
      </c>
      <c r="BE8" s="355">
        <v>4</v>
      </c>
    </row>
    <row r="9" spans="1:57" x14ac:dyDescent="0.25">
      <c r="E9" s="4"/>
      <c r="AE9" s="110">
        <f t="shared" si="7"/>
        <v>3.3333333333333335</v>
      </c>
      <c r="AF9" s="117">
        <v>60</v>
      </c>
      <c r="AG9" s="99">
        <f t="shared" si="8"/>
        <v>1.9444444444444444</v>
      </c>
      <c r="AH9" s="119">
        <v>35</v>
      </c>
      <c r="AI9" s="102">
        <f t="shared" si="9"/>
        <v>12.444444444444445</v>
      </c>
      <c r="AJ9" s="121">
        <v>224</v>
      </c>
      <c r="AK9" s="131">
        <v>18</v>
      </c>
      <c r="AM9" s="313">
        <v>7</v>
      </c>
      <c r="AN9" s="346">
        <f>SUM(AX10:AX$37)</f>
        <v>4500</v>
      </c>
      <c r="AO9" s="346">
        <f>SUM(AY10:AY$37)</f>
        <v>1255</v>
      </c>
      <c r="AP9" s="346">
        <f>SUM(AZ10:AZ$37)</f>
        <v>1350</v>
      </c>
      <c r="AQ9" s="52">
        <f>SUM(BA10:BA$37)</f>
        <v>2510</v>
      </c>
      <c r="AR9" s="52">
        <f>SUM(BB10:BB$37)</f>
        <v>640</v>
      </c>
      <c r="AS9" s="349">
        <v>4.5</v>
      </c>
      <c r="AT9" s="349">
        <v>4.5</v>
      </c>
      <c r="AU9" s="352" t="str">
        <f>FLOOR(SUM(BE10:BE$37)/24, 1) &amp; " D " &amp; MOD(SUM(BE10:BE$37),24) &amp; " H"</f>
        <v>37 D 13 H</v>
      </c>
      <c r="AV9" s="317">
        <f>SUM(BE10:BE$37)/24</f>
        <v>37.541666666666664</v>
      </c>
      <c r="AW9" s="313">
        <v>7</v>
      </c>
      <c r="AX9" s="346">
        <v>20</v>
      </c>
      <c r="AY9" s="346">
        <v>0</v>
      </c>
      <c r="AZ9" s="346">
        <v>0</v>
      </c>
      <c r="BA9" s="52">
        <v>0</v>
      </c>
      <c r="BB9" s="52">
        <v>0</v>
      </c>
      <c r="BC9" s="349">
        <v>4.5</v>
      </c>
      <c r="BD9" s="349">
        <v>4.5</v>
      </c>
      <c r="BE9" s="356">
        <v>5</v>
      </c>
    </row>
    <row r="10" spans="1:57" x14ac:dyDescent="0.25">
      <c r="E10" s="4"/>
      <c r="AE10" s="110">
        <f t="shared" si="7"/>
        <v>3.5172413793103448</v>
      </c>
      <c r="AF10" s="117">
        <v>102</v>
      </c>
      <c r="AG10" s="99">
        <f t="shared" si="8"/>
        <v>1.9310344827586208</v>
      </c>
      <c r="AH10" s="119">
        <v>56</v>
      </c>
      <c r="AI10" s="102">
        <f t="shared" si="9"/>
        <v>12.517241379310345</v>
      </c>
      <c r="AJ10" s="121">
        <v>363</v>
      </c>
      <c r="AK10" s="131">
        <v>29</v>
      </c>
      <c r="AM10" s="313">
        <v>8</v>
      </c>
      <c r="AN10" s="346">
        <f>SUM(AX11:AX$37)</f>
        <v>4480</v>
      </c>
      <c r="AO10" s="346">
        <f>SUM(AY11:AY$37)</f>
        <v>1255</v>
      </c>
      <c r="AP10" s="346">
        <f>SUM(AZ11:AZ$37)</f>
        <v>1350</v>
      </c>
      <c r="AQ10" s="52">
        <f>SUM(BA11:BA$37)</f>
        <v>2510</v>
      </c>
      <c r="AR10" s="52">
        <f>SUM(BB11:BB$37)</f>
        <v>640</v>
      </c>
      <c r="AS10" s="349">
        <v>5</v>
      </c>
      <c r="AT10" s="349">
        <v>4.5</v>
      </c>
      <c r="AU10" s="352" t="str">
        <f>FLOOR(SUM(BE11:BE$37)/24, 1) &amp; " D " &amp; MOD(SUM(BE11:BE$37),24) &amp; " H"</f>
        <v>37 D 7 H</v>
      </c>
      <c r="AV10" s="317">
        <f>SUM(BE11:BE$37)/24</f>
        <v>37.291666666666664</v>
      </c>
      <c r="AW10" s="313">
        <v>8</v>
      </c>
      <c r="AX10" s="346">
        <v>20</v>
      </c>
      <c r="AY10" s="346">
        <v>0</v>
      </c>
      <c r="AZ10" s="346">
        <v>0</v>
      </c>
      <c r="BA10" s="52">
        <v>0</v>
      </c>
      <c r="BB10" s="52">
        <v>0</v>
      </c>
      <c r="BC10" s="349">
        <v>5</v>
      </c>
      <c r="BD10" s="349">
        <v>4.5</v>
      </c>
      <c r="BE10" s="356">
        <v>6</v>
      </c>
    </row>
    <row r="11" spans="1:57" x14ac:dyDescent="0.25">
      <c r="E11" s="4"/>
      <c r="AG11" s="99" t="s">
        <v>91</v>
      </c>
      <c r="AI11" s="102" t="s">
        <v>91</v>
      </c>
      <c r="AM11" s="313">
        <v>9</v>
      </c>
      <c r="AN11" s="346">
        <f>SUM(AX12:AX$37)</f>
        <v>4460</v>
      </c>
      <c r="AO11" s="346">
        <f>SUM(AY12:AY$37)</f>
        <v>1255</v>
      </c>
      <c r="AP11" s="346">
        <f>SUM(AZ12:AZ$37)</f>
        <v>1350</v>
      </c>
      <c r="AQ11" s="52">
        <f>SUM(BA12:BA$37)</f>
        <v>2510</v>
      </c>
      <c r="AR11" s="52">
        <f>SUM(BB12:BB$37)</f>
        <v>640</v>
      </c>
      <c r="AS11" s="349">
        <v>5</v>
      </c>
      <c r="AT11" s="349">
        <v>5</v>
      </c>
      <c r="AU11" s="352" t="str">
        <f>FLOOR(SUM(BE12:BE$37)/24, 1) &amp; " D " &amp; MOD(SUM(BE12:BE$37),24) &amp; " H"</f>
        <v>37 D 0 H</v>
      </c>
      <c r="AV11" s="317">
        <f>SUM(BE12:BE$37)/24</f>
        <v>37</v>
      </c>
      <c r="AW11" s="313">
        <v>9</v>
      </c>
      <c r="AX11" s="346">
        <v>20</v>
      </c>
      <c r="AY11" s="346">
        <v>0</v>
      </c>
      <c r="AZ11" s="346">
        <v>0</v>
      </c>
      <c r="BA11" s="52">
        <v>0</v>
      </c>
      <c r="BB11" s="52">
        <v>0</v>
      </c>
      <c r="BC11" s="349">
        <v>5</v>
      </c>
      <c r="BD11" s="349">
        <v>5</v>
      </c>
      <c r="BE11" s="356">
        <v>7</v>
      </c>
    </row>
    <row r="12" spans="1:57" x14ac:dyDescent="0.25">
      <c r="E12" s="4"/>
      <c r="S12" s="334" t="s">
        <v>91</v>
      </c>
      <c r="Y12" s="336" t="s">
        <v>91</v>
      </c>
      <c r="AG12" s="99" t="s">
        <v>91</v>
      </c>
      <c r="AI12" s="102" t="s">
        <v>91</v>
      </c>
      <c r="AM12" s="331">
        <v>10</v>
      </c>
      <c r="AN12" s="188">
        <f>SUM(AX13:AX$37)</f>
        <v>4440</v>
      </c>
      <c r="AO12" s="188">
        <f>SUM(AY13:AY$37)</f>
        <v>1255</v>
      </c>
      <c r="AP12" s="188">
        <f>SUM(AZ13:AZ$37)</f>
        <v>1350</v>
      </c>
      <c r="AQ12" s="178">
        <f>SUM(BA13:BA$37)</f>
        <v>2510</v>
      </c>
      <c r="AR12" s="178">
        <f>SUM(BB13:BB$37)</f>
        <v>640</v>
      </c>
      <c r="AS12" s="347">
        <v>5.5</v>
      </c>
      <c r="AT12" s="347">
        <v>5</v>
      </c>
      <c r="AU12" s="353" t="str">
        <f>FLOOR(SUM(BE13:BE$37)/24, 1) &amp; " D " &amp; MOD(SUM(BE13:BE$37),24) &amp; " H"</f>
        <v>36 D 16 H</v>
      </c>
      <c r="AV12" s="332">
        <f>SUM(BE13:BE$37)/24</f>
        <v>36.666666666666664</v>
      </c>
      <c r="AW12" s="331">
        <v>10</v>
      </c>
      <c r="AX12" s="188">
        <v>20</v>
      </c>
      <c r="AY12" s="188">
        <v>0</v>
      </c>
      <c r="AZ12" s="188">
        <v>0</v>
      </c>
      <c r="BA12" s="178">
        <v>0</v>
      </c>
      <c r="BB12" s="178">
        <v>0</v>
      </c>
      <c r="BC12" s="347">
        <v>5.5</v>
      </c>
      <c r="BD12" s="347">
        <v>5</v>
      </c>
      <c r="BE12" s="350">
        <v>8</v>
      </c>
    </row>
    <row r="13" spans="1:57" x14ac:dyDescent="0.25">
      <c r="E13" s="4"/>
      <c r="S13" s="334" t="s">
        <v>91</v>
      </c>
      <c r="Y13" s="336" t="s">
        <v>91</v>
      </c>
      <c r="AG13" s="99" t="s">
        <v>91</v>
      </c>
      <c r="AI13" s="102" t="s">
        <v>91</v>
      </c>
      <c r="AM13" s="329">
        <v>11</v>
      </c>
      <c r="AN13" s="183">
        <f>SUM(AX14:AX$37)</f>
        <v>4410</v>
      </c>
      <c r="AO13" s="183">
        <f>SUM(AY14:AY$37)</f>
        <v>1250</v>
      </c>
      <c r="AP13" s="183">
        <f>SUM(AZ14:AZ$37)</f>
        <v>1350</v>
      </c>
      <c r="AQ13" s="173">
        <f>SUM(BA14:BA$37)</f>
        <v>2500</v>
      </c>
      <c r="AR13" s="173">
        <f>SUM(BB14:BB$37)</f>
        <v>640</v>
      </c>
      <c r="AS13" s="348">
        <v>5.5</v>
      </c>
      <c r="AT13" s="348">
        <v>5.5</v>
      </c>
      <c r="AU13" s="351" t="str">
        <f>FLOOR(SUM(BE14:BE$37)/24, 1) &amp; " D " &amp; MOD(SUM(BE14:BE$37),24) &amp; " H"</f>
        <v>36 D 6 H</v>
      </c>
      <c r="AV13" s="330">
        <f>SUM(BE14:BE$37)/24</f>
        <v>36.25</v>
      </c>
      <c r="AW13" s="329">
        <v>11</v>
      </c>
      <c r="AX13" s="183">
        <v>30</v>
      </c>
      <c r="AY13" s="183">
        <v>5</v>
      </c>
      <c r="AZ13" s="183">
        <v>0</v>
      </c>
      <c r="BA13" s="173">
        <v>10</v>
      </c>
      <c r="BB13" s="173">
        <v>0</v>
      </c>
      <c r="BC13" s="348">
        <v>5.5</v>
      </c>
      <c r="BD13" s="348">
        <v>5.5</v>
      </c>
      <c r="BE13" s="355">
        <v>10</v>
      </c>
    </row>
    <row r="14" spans="1:57" x14ac:dyDescent="0.25">
      <c r="E14" s="4"/>
      <c r="S14" s="334" t="s">
        <v>91</v>
      </c>
      <c r="Y14" s="336" t="s">
        <v>91</v>
      </c>
      <c r="AG14" s="99" t="s">
        <v>91</v>
      </c>
      <c r="AI14" s="102" t="s">
        <v>91</v>
      </c>
      <c r="AM14" s="313">
        <v>12</v>
      </c>
      <c r="AN14" s="346">
        <f>SUM(AX15:AX$37)</f>
        <v>4380</v>
      </c>
      <c r="AO14" s="346">
        <f>SUM(AY15:AY$37)</f>
        <v>1245</v>
      </c>
      <c r="AP14" s="346">
        <f>SUM(AZ15:AZ$37)</f>
        <v>1350</v>
      </c>
      <c r="AQ14" s="52">
        <f>SUM(BA15:BA$37)</f>
        <v>2490</v>
      </c>
      <c r="AR14" s="52">
        <f>SUM(BB15:BB$37)</f>
        <v>640</v>
      </c>
      <c r="AS14" s="349">
        <v>6</v>
      </c>
      <c r="AT14" s="349">
        <v>5.5</v>
      </c>
      <c r="AU14" s="352" t="str">
        <f>FLOOR(SUM(BE15:BE$37)/24, 1) &amp; " D " &amp; MOD(SUM(BE15:BE$37),24) &amp; " H"</f>
        <v>35 D 18 H</v>
      </c>
      <c r="AV14" s="317">
        <f>SUM(BE15:BE$37)/24</f>
        <v>35.75</v>
      </c>
      <c r="AW14" s="313">
        <v>12</v>
      </c>
      <c r="AX14" s="346">
        <v>30</v>
      </c>
      <c r="AY14" s="346">
        <v>5</v>
      </c>
      <c r="AZ14" s="346">
        <v>0</v>
      </c>
      <c r="BA14" s="52">
        <v>10</v>
      </c>
      <c r="BB14" s="52">
        <v>0</v>
      </c>
      <c r="BC14" s="349">
        <v>6</v>
      </c>
      <c r="BD14" s="349">
        <v>5.5</v>
      </c>
      <c r="BE14" s="356">
        <v>12</v>
      </c>
    </row>
    <row r="15" spans="1:57" x14ac:dyDescent="0.25">
      <c r="E15" s="4"/>
      <c r="S15" s="334" t="s">
        <v>91</v>
      </c>
      <c r="Y15" s="336" t="s">
        <v>91</v>
      </c>
      <c r="AG15" s="99" t="s">
        <v>91</v>
      </c>
      <c r="AI15" s="102" t="s">
        <v>91</v>
      </c>
      <c r="AM15" s="313">
        <v>13</v>
      </c>
      <c r="AN15" s="346">
        <f>SUM(AX16:AX$37)</f>
        <v>4350</v>
      </c>
      <c r="AO15" s="346">
        <f>SUM(AY16:AY$37)</f>
        <v>1240</v>
      </c>
      <c r="AP15" s="346">
        <f>SUM(AZ16:AZ$37)</f>
        <v>1350</v>
      </c>
      <c r="AQ15" s="52">
        <f>SUM(BA16:BA$37)</f>
        <v>2480</v>
      </c>
      <c r="AR15" s="52">
        <f>SUM(BB16:BB$37)</f>
        <v>640</v>
      </c>
      <c r="AS15" s="349">
        <v>6</v>
      </c>
      <c r="AT15" s="349">
        <v>6</v>
      </c>
      <c r="AU15" s="352" t="str">
        <f>FLOOR(SUM(BE16:BE$37)/24, 1) &amp; " D " &amp; MOD(SUM(BE16:BE$37),24) &amp; " H"</f>
        <v>35 D 4 H</v>
      </c>
      <c r="AV15" s="317">
        <f>SUM(BE16:BE$37)/24</f>
        <v>35.166666666666664</v>
      </c>
      <c r="AW15" s="313">
        <v>13</v>
      </c>
      <c r="AX15" s="346">
        <v>30</v>
      </c>
      <c r="AY15" s="346">
        <v>5</v>
      </c>
      <c r="AZ15" s="346">
        <v>0</v>
      </c>
      <c r="BA15" s="52">
        <v>10</v>
      </c>
      <c r="BB15" s="52">
        <v>0</v>
      </c>
      <c r="BC15" s="349">
        <v>6</v>
      </c>
      <c r="BD15" s="349">
        <v>6</v>
      </c>
      <c r="BE15" s="356">
        <v>14</v>
      </c>
    </row>
    <row r="16" spans="1:57" x14ac:dyDescent="0.25">
      <c r="E16" s="4"/>
      <c r="S16" s="334" t="s">
        <v>91</v>
      </c>
      <c r="Y16" s="336" t="s">
        <v>91</v>
      </c>
      <c r="AG16" s="99" t="s">
        <v>91</v>
      </c>
      <c r="AI16" s="102" t="s">
        <v>91</v>
      </c>
      <c r="AM16" s="313">
        <v>14</v>
      </c>
      <c r="AN16" s="346">
        <f>SUM(AX17:AX$37)</f>
        <v>4320</v>
      </c>
      <c r="AO16" s="346">
        <f>SUM(AY17:AY$37)</f>
        <v>1230</v>
      </c>
      <c r="AP16" s="346">
        <f>SUM(AZ17:AZ$37)</f>
        <v>1350</v>
      </c>
      <c r="AQ16" s="52">
        <f>SUM(BA17:BA$37)</f>
        <v>2460</v>
      </c>
      <c r="AR16" s="52">
        <f>SUM(BB17:BB$37)</f>
        <v>640</v>
      </c>
      <c r="AS16" s="349">
        <v>6.5</v>
      </c>
      <c r="AT16" s="349">
        <v>6</v>
      </c>
      <c r="AU16" s="352" t="str">
        <f>FLOOR(SUM(BE17:BE$37)/24, 1) &amp; " D " &amp; MOD(SUM(BE17:BE$37),24) &amp; " H"</f>
        <v>34 D 12 H</v>
      </c>
      <c r="AV16" s="317">
        <f>SUM(BE17:BE$37)/24</f>
        <v>34.5</v>
      </c>
      <c r="AW16" s="313">
        <v>14</v>
      </c>
      <c r="AX16" s="346">
        <v>30</v>
      </c>
      <c r="AY16" s="346">
        <v>10</v>
      </c>
      <c r="AZ16" s="346">
        <v>0</v>
      </c>
      <c r="BA16" s="52">
        <v>20</v>
      </c>
      <c r="BB16" s="52">
        <v>0</v>
      </c>
      <c r="BC16" s="349">
        <v>6.5</v>
      </c>
      <c r="BD16" s="349">
        <v>6</v>
      </c>
      <c r="BE16" s="356">
        <v>16</v>
      </c>
    </row>
    <row r="17" spans="1:57" x14ac:dyDescent="0.25">
      <c r="E17" s="4"/>
      <c r="S17" s="334" t="s">
        <v>91</v>
      </c>
      <c r="Y17" s="336" t="s">
        <v>91</v>
      </c>
      <c r="AG17" s="99" t="s">
        <v>91</v>
      </c>
      <c r="AI17" s="102" t="s">
        <v>91</v>
      </c>
      <c r="AM17" s="331">
        <v>15</v>
      </c>
      <c r="AN17" s="188">
        <f>SUM(AX18:AX$37)</f>
        <v>4290</v>
      </c>
      <c r="AO17" s="188">
        <f>SUM(AY18:AY$37)</f>
        <v>1220</v>
      </c>
      <c r="AP17" s="188">
        <f>SUM(AZ18:AZ$37)</f>
        <v>1350</v>
      </c>
      <c r="AQ17" s="178">
        <f>SUM(BA18:BA$37)</f>
        <v>2440</v>
      </c>
      <c r="AR17" s="178">
        <f>SUM(BB18:BB$37)</f>
        <v>640</v>
      </c>
      <c r="AS17" s="347">
        <v>6.5</v>
      </c>
      <c r="AT17" s="347">
        <v>6.5</v>
      </c>
      <c r="AU17" s="353" t="str">
        <f>FLOOR(SUM(BE18:BE$37)/24, 1) &amp; " D " &amp; MOD(SUM(BE18:BE$37),24) &amp; " H"</f>
        <v>33 D 18 H</v>
      </c>
      <c r="AV17" s="332">
        <f>SUM(BE18:BE$37)/24</f>
        <v>33.75</v>
      </c>
      <c r="AW17" s="331">
        <v>15</v>
      </c>
      <c r="AX17" s="188">
        <v>30</v>
      </c>
      <c r="AY17" s="188">
        <v>10</v>
      </c>
      <c r="AZ17" s="188">
        <v>0</v>
      </c>
      <c r="BA17" s="178">
        <v>20</v>
      </c>
      <c r="BB17" s="178">
        <v>0</v>
      </c>
      <c r="BC17" s="347">
        <v>6.5</v>
      </c>
      <c r="BD17" s="347">
        <v>6.5</v>
      </c>
      <c r="BE17" s="350">
        <v>18</v>
      </c>
    </row>
    <row r="18" spans="1:57" x14ac:dyDescent="0.25">
      <c r="E18" s="4"/>
      <c r="S18" s="334" t="s">
        <v>91</v>
      </c>
      <c r="Y18" s="336" t="s">
        <v>91</v>
      </c>
      <c r="AG18" s="99" t="s">
        <v>91</v>
      </c>
      <c r="AI18" s="102" t="s">
        <v>91</v>
      </c>
      <c r="AM18" s="357">
        <v>16</v>
      </c>
      <c r="AN18" s="358">
        <f>SUM(AX19:AX$37)</f>
        <v>4240</v>
      </c>
      <c r="AO18" s="358">
        <f>SUM(AY19:AY$37)</f>
        <v>1200</v>
      </c>
      <c r="AP18" s="358">
        <f>SUM(AZ19:AZ$37)</f>
        <v>1350</v>
      </c>
      <c r="AQ18" s="359">
        <f>SUM(BA19:BA$37)</f>
        <v>2400</v>
      </c>
      <c r="AR18" s="359">
        <f>SUM(BB19:BB$37)</f>
        <v>640</v>
      </c>
      <c r="AS18" s="360">
        <v>8</v>
      </c>
      <c r="AT18" s="360">
        <v>8</v>
      </c>
      <c r="AU18" s="361" t="str">
        <f>FLOOR(SUM(BE19:BE$37)/24, 1) &amp; " D " &amp; MOD(SUM(BE19:BE$37),24) &amp; " H"</f>
        <v>32 D 22 H</v>
      </c>
      <c r="AV18" s="330">
        <f>SUM(BE19:BE$37)/24</f>
        <v>32.916666666666664</v>
      </c>
      <c r="AW18" s="357">
        <v>16</v>
      </c>
      <c r="AX18" s="358">
        <v>50</v>
      </c>
      <c r="AY18" s="358">
        <v>20</v>
      </c>
      <c r="AZ18" s="358">
        <v>0</v>
      </c>
      <c r="BA18" s="359">
        <v>40</v>
      </c>
      <c r="BB18" s="359">
        <v>0</v>
      </c>
      <c r="BC18" s="360">
        <v>8</v>
      </c>
      <c r="BD18" s="360">
        <v>8</v>
      </c>
      <c r="BE18" s="363">
        <v>20</v>
      </c>
    </row>
    <row r="19" spans="1:57" x14ac:dyDescent="0.25">
      <c r="E19" s="4"/>
      <c r="S19" s="334" t="s">
        <v>91</v>
      </c>
      <c r="Y19" s="336" t="s">
        <v>91</v>
      </c>
      <c r="AG19" s="99" t="s">
        <v>91</v>
      </c>
      <c r="AI19" s="102" t="s">
        <v>91</v>
      </c>
      <c r="AM19" s="313">
        <v>17</v>
      </c>
      <c r="AN19" s="346">
        <f>SUM(AX20:AX$37)</f>
        <v>4190</v>
      </c>
      <c r="AO19" s="346">
        <f>SUM(AY20:AY$37)</f>
        <v>1180</v>
      </c>
      <c r="AP19" s="346">
        <f>SUM(AZ20:AZ$37)</f>
        <v>1350</v>
      </c>
      <c r="AQ19" s="52">
        <f>SUM(BA20:BA$37)</f>
        <v>2360</v>
      </c>
      <c r="AR19" s="52">
        <f>SUM(BB20:BB$37)</f>
        <v>640</v>
      </c>
      <c r="AS19" s="349">
        <v>8</v>
      </c>
      <c r="AT19" s="349">
        <v>8.5</v>
      </c>
      <c r="AU19" s="352" t="str">
        <f>FLOOR(SUM(BE20:BE$37)/24, 1) &amp; " D " &amp; MOD(SUM(BE20:BE$37),24) &amp; " H"</f>
        <v>32 D 0 H</v>
      </c>
      <c r="AV19" s="317">
        <f>SUM(BE20:BE$37)/24</f>
        <v>32</v>
      </c>
      <c r="AW19" s="313">
        <v>17</v>
      </c>
      <c r="AX19" s="346">
        <v>50</v>
      </c>
      <c r="AY19" s="346">
        <v>20</v>
      </c>
      <c r="AZ19" s="346">
        <v>0</v>
      </c>
      <c r="BA19" s="52">
        <v>40</v>
      </c>
      <c r="BB19" s="52">
        <v>0</v>
      </c>
      <c r="BC19" s="349">
        <v>8</v>
      </c>
      <c r="BD19" s="349">
        <v>8.5</v>
      </c>
      <c r="BE19" s="356">
        <v>22</v>
      </c>
    </row>
    <row r="20" spans="1:57" x14ac:dyDescent="0.25">
      <c r="E20" s="4"/>
      <c r="S20" s="334" t="s">
        <v>91</v>
      </c>
      <c r="Y20" s="336" t="s">
        <v>91</v>
      </c>
      <c r="AG20" s="99" t="s">
        <v>91</v>
      </c>
      <c r="AI20" s="102" t="s">
        <v>91</v>
      </c>
      <c r="AM20" s="313">
        <v>18</v>
      </c>
      <c r="AN20" s="346">
        <f>SUM(AX21:AX$37)</f>
        <v>4140</v>
      </c>
      <c r="AO20" s="346">
        <f>SUM(AY21:AY$37)</f>
        <v>1160</v>
      </c>
      <c r="AP20" s="346">
        <f>SUM(AZ21:AZ$37)</f>
        <v>1350</v>
      </c>
      <c r="AQ20" s="52">
        <f>SUM(BA21:BA$37)</f>
        <v>2320</v>
      </c>
      <c r="AR20" s="52">
        <f>SUM(BB21:BB$37)</f>
        <v>640</v>
      </c>
      <c r="AS20" s="349">
        <v>8.5</v>
      </c>
      <c r="AT20" s="349">
        <v>8.5</v>
      </c>
      <c r="AU20" s="352" t="str">
        <f>FLOOR(SUM(BE21:BE$37)/24, 1) &amp; " D " &amp; MOD(SUM(BE21:BE$37),24) &amp; " H"</f>
        <v>31 D 0 H</v>
      </c>
      <c r="AV20" s="317">
        <f>SUM(BE21:BE$37)/24</f>
        <v>31</v>
      </c>
      <c r="AW20" s="313">
        <v>18</v>
      </c>
      <c r="AX20" s="346">
        <v>50</v>
      </c>
      <c r="AY20" s="346">
        <v>20</v>
      </c>
      <c r="AZ20" s="346">
        <v>0</v>
      </c>
      <c r="BA20" s="52">
        <v>40</v>
      </c>
      <c r="BB20" s="52">
        <v>0</v>
      </c>
      <c r="BC20" s="349">
        <v>8.5</v>
      </c>
      <c r="BD20" s="349">
        <v>8.5</v>
      </c>
      <c r="BE20" s="356">
        <v>24</v>
      </c>
    </row>
    <row r="21" spans="1:57" x14ac:dyDescent="0.25">
      <c r="E21" s="4"/>
      <c r="S21" s="334" t="s">
        <v>91</v>
      </c>
      <c r="Y21" s="336" t="s">
        <v>91</v>
      </c>
      <c r="AG21" s="99" t="s">
        <v>91</v>
      </c>
      <c r="AI21" s="102" t="s">
        <v>91</v>
      </c>
      <c r="AM21" s="313">
        <v>19</v>
      </c>
      <c r="AN21" s="346">
        <f>SUM(AX22:AX$37)</f>
        <v>4070</v>
      </c>
      <c r="AO21" s="346">
        <f>SUM(AY22:AY$37)</f>
        <v>1130</v>
      </c>
      <c r="AP21" s="346">
        <f>SUM(AZ22:AZ$37)</f>
        <v>1350</v>
      </c>
      <c r="AQ21" s="52">
        <f>SUM(BA22:BA$37)</f>
        <v>2260</v>
      </c>
      <c r="AR21" s="52">
        <f>SUM(BB22:BB$37)</f>
        <v>640</v>
      </c>
      <c r="AS21" s="349">
        <v>8.5</v>
      </c>
      <c r="AT21" s="349">
        <v>9</v>
      </c>
      <c r="AU21" s="352" t="str">
        <f>FLOOR(SUM(BE22:BE$37)/24, 1) &amp; " D " &amp; MOD(SUM(BE22:BE$37),24) &amp; " H"</f>
        <v>29 D 22 H</v>
      </c>
      <c r="AV21" s="317">
        <f>SUM(BE22:BE$37)/24</f>
        <v>29.916666666666668</v>
      </c>
      <c r="AW21" s="313">
        <v>19</v>
      </c>
      <c r="AX21" s="346">
        <v>70</v>
      </c>
      <c r="AY21" s="346">
        <v>30</v>
      </c>
      <c r="AZ21" s="346">
        <v>0</v>
      </c>
      <c r="BA21" s="52">
        <v>60</v>
      </c>
      <c r="BB21" s="52">
        <v>0</v>
      </c>
      <c r="BC21" s="349">
        <v>8.5</v>
      </c>
      <c r="BD21" s="349">
        <v>9</v>
      </c>
      <c r="BE21" s="356">
        <v>26</v>
      </c>
    </row>
    <row r="22" spans="1:57" x14ac:dyDescent="0.25">
      <c r="E22" s="4"/>
      <c r="S22" s="334" t="s">
        <v>91</v>
      </c>
      <c r="Y22" s="336" t="s">
        <v>91</v>
      </c>
      <c r="AG22" s="99" t="s">
        <v>91</v>
      </c>
      <c r="AI22" s="102" t="s">
        <v>91</v>
      </c>
      <c r="AM22" s="331">
        <v>20</v>
      </c>
      <c r="AN22" s="188">
        <f>SUM(AX23:AX$37)</f>
        <v>4000</v>
      </c>
      <c r="AO22" s="188">
        <f>SUM(AY23:AY$37)</f>
        <v>1100</v>
      </c>
      <c r="AP22" s="188">
        <f>SUM(AZ23:AZ$37)</f>
        <v>1350</v>
      </c>
      <c r="AQ22" s="178">
        <f>SUM(BA23:BA$37)</f>
        <v>2200</v>
      </c>
      <c r="AR22" s="178">
        <f>SUM(BB23:BB$37)</f>
        <v>640</v>
      </c>
      <c r="AS22" s="347">
        <v>9</v>
      </c>
      <c r="AT22" s="347">
        <v>9</v>
      </c>
      <c r="AU22" s="353" t="str">
        <f>FLOOR(SUM(BE23:BE$37)/24, 1) &amp; " D " &amp; MOD(SUM(BE23:BE$37),24) &amp; " H"</f>
        <v>28 D 18 H</v>
      </c>
      <c r="AV22" s="332">
        <f>SUM(BE23:BE$37)/24</f>
        <v>28.75</v>
      </c>
      <c r="AW22" s="331">
        <v>20</v>
      </c>
      <c r="AX22" s="188">
        <v>70</v>
      </c>
      <c r="AY22" s="188">
        <v>30</v>
      </c>
      <c r="AZ22" s="188">
        <v>0</v>
      </c>
      <c r="BA22" s="178">
        <v>60</v>
      </c>
      <c r="BB22" s="178">
        <v>0</v>
      </c>
      <c r="BC22" s="347">
        <v>9</v>
      </c>
      <c r="BD22" s="347">
        <v>9</v>
      </c>
      <c r="BE22" s="350">
        <v>28</v>
      </c>
    </row>
    <row r="23" spans="1:57" x14ac:dyDescent="0.25">
      <c r="A23" s="345" t="s">
        <v>91</v>
      </c>
      <c r="E23" s="4"/>
      <c r="G23" s="341" t="s">
        <v>91</v>
      </c>
      <c r="M23" s="339" t="s">
        <v>91</v>
      </c>
      <c r="S23" s="334" t="s">
        <v>91</v>
      </c>
      <c r="Y23" s="336" t="s">
        <v>91</v>
      </c>
      <c r="AG23" s="99" t="s">
        <v>91</v>
      </c>
      <c r="AI23" s="102" t="s">
        <v>91</v>
      </c>
      <c r="AM23" s="329">
        <v>21</v>
      </c>
      <c r="AN23" s="183">
        <f>SUM(AX24:AX$37)</f>
        <v>3900</v>
      </c>
      <c r="AO23" s="183">
        <f>SUM(AY24:AY$37)</f>
        <v>1060</v>
      </c>
      <c r="AP23" s="183">
        <f>SUM(AZ24:AZ$37)</f>
        <v>1330</v>
      </c>
      <c r="AQ23" s="173">
        <f>SUM(BA24:BA$37)</f>
        <v>2120</v>
      </c>
      <c r="AR23" s="173">
        <f>SUM(BB24:BB$37)</f>
        <v>640</v>
      </c>
      <c r="AS23" s="348">
        <v>9</v>
      </c>
      <c r="AT23" s="348">
        <v>9.5</v>
      </c>
      <c r="AU23" s="351" t="str">
        <f>FLOOR(SUM(BE24:BE$37)/24, 1) &amp; " D " &amp; MOD(SUM(BE24:BE$37),24) &amp; " H"</f>
        <v>27 D 12 H</v>
      </c>
      <c r="AV23" s="330">
        <f>SUM(BE24:BE$37)/24</f>
        <v>27.5</v>
      </c>
      <c r="AW23" s="329">
        <v>21</v>
      </c>
      <c r="AX23" s="183">
        <v>100</v>
      </c>
      <c r="AY23" s="183">
        <v>40</v>
      </c>
      <c r="AZ23" s="183">
        <v>20</v>
      </c>
      <c r="BA23" s="173">
        <v>80</v>
      </c>
      <c r="BB23" s="173">
        <v>0</v>
      </c>
      <c r="BC23" s="348">
        <v>9</v>
      </c>
      <c r="BD23" s="348">
        <v>9.5</v>
      </c>
      <c r="BE23" s="355">
        <v>30</v>
      </c>
    </row>
    <row r="24" spans="1:57" x14ac:dyDescent="0.25">
      <c r="A24" s="345" t="s">
        <v>91</v>
      </c>
      <c r="E24" s="4"/>
      <c r="G24" s="341" t="s">
        <v>91</v>
      </c>
      <c r="M24" s="339" t="s">
        <v>91</v>
      </c>
      <c r="S24" s="334" t="s">
        <v>91</v>
      </c>
      <c r="Y24" s="336" t="s">
        <v>91</v>
      </c>
      <c r="AG24" s="99" t="s">
        <v>91</v>
      </c>
      <c r="AI24" s="102" t="s">
        <v>91</v>
      </c>
      <c r="AM24" s="313">
        <v>22</v>
      </c>
      <c r="AN24" s="346">
        <f>SUM(AX25:AX$37)</f>
        <v>3800</v>
      </c>
      <c r="AO24" s="346">
        <f>SUM(AY25:AY$37)</f>
        <v>1020</v>
      </c>
      <c r="AP24" s="346">
        <f>SUM(AZ25:AZ$37)</f>
        <v>1300</v>
      </c>
      <c r="AQ24" s="52">
        <f>SUM(BA25:BA$37)</f>
        <v>2040</v>
      </c>
      <c r="AR24" s="52">
        <f>SUM(BB25:BB$37)</f>
        <v>640</v>
      </c>
      <c r="AS24" s="349">
        <v>9.5</v>
      </c>
      <c r="AT24" s="349">
        <v>9.5</v>
      </c>
      <c r="AU24" s="352" t="str">
        <f>FLOOR(SUM(BE25:BE$37)/24, 1) &amp; " D " &amp; MOD(SUM(BE25:BE$37),24) &amp; " H"</f>
        <v>26 D 4 H</v>
      </c>
      <c r="AV24" s="317">
        <f>SUM(BE25:BE$37)/24</f>
        <v>26.166666666666668</v>
      </c>
      <c r="AW24" s="313">
        <v>22</v>
      </c>
      <c r="AX24" s="346">
        <v>100</v>
      </c>
      <c r="AY24" s="346">
        <v>40</v>
      </c>
      <c r="AZ24" s="346">
        <v>30</v>
      </c>
      <c r="BA24" s="52">
        <v>80</v>
      </c>
      <c r="BB24" s="52">
        <v>0</v>
      </c>
      <c r="BC24" s="349">
        <v>9.5</v>
      </c>
      <c r="BD24" s="349">
        <v>9.5</v>
      </c>
      <c r="BE24" s="356">
        <v>32</v>
      </c>
    </row>
    <row r="25" spans="1:57" x14ac:dyDescent="0.25">
      <c r="A25" s="345" t="s">
        <v>91</v>
      </c>
      <c r="E25" s="4"/>
      <c r="G25" s="341" t="s">
        <v>91</v>
      </c>
      <c r="M25" s="339" t="s">
        <v>91</v>
      </c>
      <c r="S25" s="334" t="s">
        <v>91</v>
      </c>
      <c r="Y25" s="336" t="s">
        <v>91</v>
      </c>
      <c r="AG25" s="99" t="s">
        <v>91</v>
      </c>
      <c r="AI25" s="102" t="s">
        <v>91</v>
      </c>
      <c r="AM25" s="313">
        <v>23</v>
      </c>
      <c r="AN25" s="346">
        <f>SUM(AX26:AX$37)</f>
        <v>3700</v>
      </c>
      <c r="AO25" s="346">
        <f>SUM(AY26:AY$37)</f>
        <v>980</v>
      </c>
      <c r="AP25" s="346">
        <f>SUM(AZ26:AZ$37)</f>
        <v>1260</v>
      </c>
      <c r="AQ25" s="52">
        <f>SUM(BA26:BA$37)</f>
        <v>1960</v>
      </c>
      <c r="AR25" s="52">
        <f>SUM(BB26:BB$37)</f>
        <v>640</v>
      </c>
      <c r="AS25" s="349">
        <v>9.5</v>
      </c>
      <c r="AT25" s="349">
        <v>10</v>
      </c>
      <c r="AU25" s="352" t="str">
        <f>FLOOR(SUM(BE26:BE$37)/24, 1) &amp; " D " &amp; MOD(SUM(BE26:BE$37),24) &amp; " H"</f>
        <v>24 D 18 H</v>
      </c>
      <c r="AV25" s="317">
        <f>SUM(BE26:BE$37)/24</f>
        <v>24.75</v>
      </c>
      <c r="AW25" s="313">
        <v>23</v>
      </c>
      <c r="AX25" s="346">
        <v>100</v>
      </c>
      <c r="AY25" s="346">
        <v>40</v>
      </c>
      <c r="AZ25" s="346">
        <v>40</v>
      </c>
      <c r="BA25" s="52">
        <v>80</v>
      </c>
      <c r="BB25" s="52">
        <v>0</v>
      </c>
      <c r="BC25" s="349">
        <v>9.5</v>
      </c>
      <c r="BD25" s="349">
        <v>10</v>
      </c>
      <c r="BE25" s="356">
        <v>34</v>
      </c>
    </row>
    <row r="26" spans="1:57" x14ac:dyDescent="0.25">
      <c r="A26" s="345" t="s">
        <v>91</v>
      </c>
      <c r="E26" s="4"/>
      <c r="G26" s="341" t="s">
        <v>91</v>
      </c>
      <c r="M26" s="339" t="s">
        <v>91</v>
      </c>
      <c r="S26" s="334" t="s">
        <v>91</v>
      </c>
      <c r="Y26" s="336" t="s">
        <v>91</v>
      </c>
      <c r="AG26" s="99" t="s">
        <v>91</v>
      </c>
      <c r="AI26" s="102" t="s">
        <v>91</v>
      </c>
      <c r="AM26" s="313">
        <v>24</v>
      </c>
      <c r="AN26" s="346">
        <f>SUM(AX27:AX$37)</f>
        <v>3550</v>
      </c>
      <c r="AO26" s="346">
        <f>SUM(AY27:AY$37)</f>
        <v>930</v>
      </c>
      <c r="AP26" s="346">
        <f>SUM(AZ27:AZ$37)</f>
        <v>1210</v>
      </c>
      <c r="AQ26" s="52">
        <f>SUM(BA27:BA$37)</f>
        <v>1860</v>
      </c>
      <c r="AR26" s="52">
        <f>SUM(BB27:BB$37)</f>
        <v>640</v>
      </c>
      <c r="AS26" s="349">
        <v>10</v>
      </c>
      <c r="AT26" s="349">
        <v>10</v>
      </c>
      <c r="AU26" s="352" t="str">
        <f>FLOOR(SUM(BE27:BE$37)/24, 1) &amp; " D " &amp; MOD(SUM(BE27:BE$37),24) &amp; " H"</f>
        <v>23 D 6 H</v>
      </c>
      <c r="AV26" s="317">
        <f>SUM(BE27:BE$37)/24</f>
        <v>23.25</v>
      </c>
      <c r="AW26" s="313">
        <v>24</v>
      </c>
      <c r="AX26" s="346">
        <v>150</v>
      </c>
      <c r="AY26" s="346">
        <v>50</v>
      </c>
      <c r="AZ26" s="346">
        <v>50</v>
      </c>
      <c r="BA26" s="52">
        <v>100</v>
      </c>
      <c r="BB26" s="52">
        <v>0</v>
      </c>
      <c r="BC26" s="349">
        <v>10</v>
      </c>
      <c r="BD26" s="349">
        <v>10</v>
      </c>
      <c r="BE26" s="356">
        <v>36</v>
      </c>
    </row>
    <row r="27" spans="1:57" x14ac:dyDescent="0.25">
      <c r="E27" s="4"/>
      <c r="AM27" s="331">
        <v>25</v>
      </c>
      <c r="AN27" s="188">
        <f>SUM(AX28:AX$37)</f>
        <v>3400</v>
      </c>
      <c r="AO27" s="188">
        <f>SUM(AY28:AY$37)</f>
        <v>880</v>
      </c>
      <c r="AP27" s="188">
        <f>SUM(AZ28:AZ$37)</f>
        <v>1150</v>
      </c>
      <c r="AQ27" s="178">
        <f>SUM(BA28:BA$37)</f>
        <v>1760</v>
      </c>
      <c r="AR27" s="178">
        <f>SUM(BB28:BB$37)</f>
        <v>640</v>
      </c>
      <c r="AS27" s="347">
        <v>10</v>
      </c>
      <c r="AT27" s="347">
        <v>10.5</v>
      </c>
      <c r="AU27" s="353" t="str">
        <f>FLOOR(SUM(BE28:BE$37)/24, 1) &amp; " D " &amp; MOD(SUM(BE28:BE$37),24) &amp; " H"</f>
        <v>21 D 16 H</v>
      </c>
      <c r="AV27" s="332">
        <f>SUM(BE28:BE$37)/24</f>
        <v>21.666666666666668</v>
      </c>
      <c r="AW27" s="331">
        <v>25</v>
      </c>
      <c r="AX27" s="188">
        <v>150</v>
      </c>
      <c r="AY27" s="188">
        <v>50</v>
      </c>
      <c r="AZ27" s="188">
        <v>60</v>
      </c>
      <c r="BA27" s="178">
        <v>100</v>
      </c>
      <c r="BB27" s="178">
        <v>0</v>
      </c>
      <c r="BC27" s="347">
        <v>10</v>
      </c>
      <c r="BD27" s="347">
        <v>10.5</v>
      </c>
      <c r="BE27" s="350">
        <v>38</v>
      </c>
    </row>
    <row r="28" spans="1:57" x14ac:dyDescent="0.25">
      <c r="E28" s="4"/>
      <c r="AM28" s="329">
        <v>26</v>
      </c>
      <c r="AN28" s="183">
        <f>SUM(AX29:AX$37)</f>
        <v>3200</v>
      </c>
      <c r="AO28" s="183">
        <f>SUM(AY29:AY$37)</f>
        <v>820</v>
      </c>
      <c r="AP28" s="183">
        <f>SUM(AZ29:AZ$37)</f>
        <v>1080</v>
      </c>
      <c r="AQ28" s="173">
        <f>SUM(BA29:BA$37)</f>
        <v>1640</v>
      </c>
      <c r="AR28" s="173">
        <f>SUM(BB29:BB$37)</f>
        <v>620</v>
      </c>
      <c r="AS28" s="348">
        <v>10.5</v>
      </c>
      <c r="AT28" s="348">
        <v>10.5</v>
      </c>
      <c r="AU28" s="351" t="str">
        <f>FLOOR(SUM(BE29:BE$37)/24, 1) &amp; " D " &amp; MOD(SUM(BE29:BE$37),24) &amp; " H"</f>
        <v>20 D 0 H</v>
      </c>
      <c r="AV28" s="330">
        <f>SUM(BE29:BE$37)/24</f>
        <v>20</v>
      </c>
      <c r="AW28" s="329">
        <v>26</v>
      </c>
      <c r="AX28" s="183">
        <v>200</v>
      </c>
      <c r="AY28" s="183">
        <v>60</v>
      </c>
      <c r="AZ28" s="183">
        <v>70</v>
      </c>
      <c r="BA28" s="173">
        <v>120</v>
      </c>
      <c r="BB28" s="173">
        <v>20</v>
      </c>
      <c r="BC28" s="348">
        <v>10.5</v>
      </c>
      <c r="BD28" s="348">
        <v>10.5</v>
      </c>
      <c r="BE28" s="355">
        <v>40</v>
      </c>
    </row>
    <row r="29" spans="1:57" x14ac:dyDescent="0.25">
      <c r="E29" s="4"/>
      <c r="AM29" s="313">
        <v>27</v>
      </c>
      <c r="AN29" s="346">
        <f>SUM(AX30:AX$37)</f>
        <v>3000</v>
      </c>
      <c r="AO29" s="346">
        <f>SUM(AY30:AY$37)</f>
        <v>760</v>
      </c>
      <c r="AP29" s="346">
        <f>SUM(AZ30:AZ$37)</f>
        <v>1000</v>
      </c>
      <c r="AQ29" s="52">
        <f>SUM(BA30:BA$37)</f>
        <v>1520</v>
      </c>
      <c r="AR29" s="52">
        <f>SUM(BB30:BB$37)</f>
        <v>590</v>
      </c>
      <c r="AS29" s="349">
        <v>10.5</v>
      </c>
      <c r="AT29" s="349">
        <v>11</v>
      </c>
      <c r="AU29" s="352" t="str">
        <f>FLOOR(SUM(BE30:BE$37)/24, 1) &amp; " D " &amp; MOD(SUM(BE30:BE$37),24) &amp; " H"</f>
        <v>18 D 6 H</v>
      </c>
      <c r="AV29" s="317">
        <f>SUM(BE30:BE$37)/24</f>
        <v>18.25</v>
      </c>
      <c r="AW29" s="313">
        <v>27</v>
      </c>
      <c r="AX29" s="346">
        <v>200</v>
      </c>
      <c r="AY29" s="346">
        <v>60</v>
      </c>
      <c r="AZ29" s="346">
        <v>80</v>
      </c>
      <c r="BA29" s="52">
        <v>120</v>
      </c>
      <c r="BB29" s="52">
        <v>30</v>
      </c>
      <c r="BC29" s="349">
        <v>10.5</v>
      </c>
      <c r="BD29" s="349">
        <v>11</v>
      </c>
      <c r="BE29" s="356">
        <v>42</v>
      </c>
    </row>
    <row r="30" spans="1:57" x14ac:dyDescent="0.25">
      <c r="E30" s="4"/>
      <c r="AM30" s="313">
        <v>28</v>
      </c>
      <c r="AN30" s="346">
        <f>SUM(AX31:AX$37)</f>
        <v>2800</v>
      </c>
      <c r="AO30" s="346">
        <f>SUM(AY31:AY$37)</f>
        <v>700</v>
      </c>
      <c r="AP30" s="346">
        <f>SUM(AZ31:AZ$37)</f>
        <v>910</v>
      </c>
      <c r="AQ30" s="52">
        <f>SUM(BA31:BA$37)</f>
        <v>1400</v>
      </c>
      <c r="AR30" s="52">
        <f>SUM(BB31:BB$37)</f>
        <v>550</v>
      </c>
      <c r="AS30" s="349">
        <v>11</v>
      </c>
      <c r="AT30" s="349">
        <v>11</v>
      </c>
      <c r="AU30" s="352" t="str">
        <f>FLOOR(SUM(BE31:BE$37)/24, 1) &amp; " D " &amp; MOD(SUM(BE31:BE$37),24) &amp; " H"</f>
        <v>16 D 10 H</v>
      </c>
      <c r="AV30" s="317">
        <f>SUM(BE31:BE$37)/24</f>
        <v>16.416666666666668</v>
      </c>
      <c r="AW30" s="313">
        <v>28</v>
      </c>
      <c r="AX30" s="346">
        <v>200</v>
      </c>
      <c r="AY30" s="346">
        <v>60</v>
      </c>
      <c r="AZ30" s="346">
        <v>90</v>
      </c>
      <c r="BA30" s="52">
        <v>120</v>
      </c>
      <c r="BB30" s="52">
        <v>40</v>
      </c>
      <c r="BC30" s="349">
        <v>11</v>
      </c>
      <c r="BD30" s="349">
        <v>11</v>
      </c>
      <c r="BE30" s="356">
        <v>44</v>
      </c>
    </row>
    <row r="31" spans="1:57" x14ac:dyDescent="0.25">
      <c r="E31" s="4"/>
      <c r="AM31" s="313">
        <v>29</v>
      </c>
      <c r="AN31" s="346">
        <f>SUM(AX32:AX$37)</f>
        <v>2500</v>
      </c>
      <c r="AO31" s="346">
        <f>SUM(AY32:AY$37)</f>
        <v>620</v>
      </c>
      <c r="AP31" s="346">
        <f>SUM(AZ32:AZ$37)</f>
        <v>810</v>
      </c>
      <c r="AQ31" s="52">
        <f>SUM(BA32:BA$37)</f>
        <v>1240</v>
      </c>
      <c r="AR31" s="52">
        <f>SUM(BB32:BB$37)</f>
        <v>500</v>
      </c>
      <c r="AS31" s="349">
        <v>11</v>
      </c>
      <c r="AT31" s="349">
        <v>11.5</v>
      </c>
      <c r="AU31" s="352" t="str">
        <f>FLOOR(SUM(BE32:BE$37)/24, 1) &amp; " D " &amp; MOD(SUM(BE32:BE$37),24) &amp; " H"</f>
        <v>14 D 12 H</v>
      </c>
      <c r="AV31" s="317">
        <f>SUM(BE32:BE$37)/24</f>
        <v>14.5</v>
      </c>
      <c r="AW31" s="313">
        <v>29</v>
      </c>
      <c r="AX31" s="346">
        <v>300</v>
      </c>
      <c r="AY31" s="346">
        <v>80</v>
      </c>
      <c r="AZ31" s="346">
        <v>100</v>
      </c>
      <c r="BA31" s="52">
        <v>160</v>
      </c>
      <c r="BB31" s="52">
        <v>50</v>
      </c>
      <c r="BC31" s="349">
        <v>11</v>
      </c>
      <c r="BD31" s="349">
        <v>11.5</v>
      </c>
      <c r="BE31" s="356">
        <v>46</v>
      </c>
    </row>
    <row r="32" spans="1:57" x14ac:dyDescent="0.25">
      <c r="E32" s="4"/>
      <c r="AM32" s="331">
        <v>30</v>
      </c>
      <c r="AN32" s="188">
        <f>SUM(AX33:AX$37)</f>
        <v>2200</v>
      </c>
      <c r="AO32" s="188">
        <f>SUM(AY33:AY$37)</f>
        <v>540</v>
      </c>
      <c r="AP32" s="188">
        <f>SUM(AZ33:AZ$37)</f>
        <v>700</v>
      </c>
      <c r="AQ32" s="178">
        <f>SUM(BA33:BA$37)</f>
        <v>1080</v>
      </c>
      <c r="AR32" s="178">
        <f>SUM(BB33:BB$37)</f>
        <v>440</v>
      </c>
      <c r="AS32" s="347">
        <v>11.5</v>
      </c>
      <c r="AT32" s="347">
        <v>11.5</v>
      </c>
      <c r="AU32" s="353" t="str">
        <f>FLOOR(SUM(BE33:BE$37)/24, 1) &amp; " D " &amp; MOD(SUM(BE33:BE$37),24) &amp; " H"</f>
        <v>12 D 12 H</v>
      </c>
      <c r="AV32" s="332">
        <f>SUM(BE33:BE$37)/24</f>
        <v>12.5</v>
      </c>
      <c r="AW32" s="331">
        <v>30</v>
      </c>
      <c r="AX32" s="188">
        <v>300</v>
      </c>
      <c r="AY32" s="188">
        <v>80</v>
      </c>
      <c r="AZ32" s="188">
        <v>110</v>
      </c>
      <c r="BA32" s="178">
        <v>160</v>
      </c>
      <c r="BB32" s="178">
        <v>60</v>
      </c>
      <c r="BC32" s="347">
        <v>11.5</v>
      </c>
      <c r="BD32" s="347">
        <v>11.5</v>
      </c>
      <c r="BE32" s="350">
        <v>48</v>
      </c>
    </row>
    <row r="33" spans="5:57" x14ac:dyDescent="0.25">
      <c r="E33" s="4"/>
      <c r="AM33" s="357">
        <v>31</v>
      </c>
      <c r="AN33" s="358">
        <f>SUM(AX34:AX$37)</f>
        <v>1800</v>
      </c>
      <c r="AO33" s="358">
        <f>SUM(AY34:AY$37)</f>
        <v>440</v>
      </c>
      <c r="AP33" s="358">
        <f>SUM(AZ34:AZ$37)</f>
        <v>580</v>
      </c>
      <c r="AQ33" s="359">
        <f>SUM(BA34:BA$37)</f>
        <v>880</v>
      </c>
      <c r="AR33" s="359">
        <f>SUM(BB34:BB$37)</f>
        <v>360</v>
      </c>
      <c r="AS33" s="360">
        <v>14</v>
      </c>
      <c r="AT33" s="360">
        <v>14</v>
      </c>
      <c r="AU33" s="361" t="str">
        <f>FLOOR(SUM(BE34:BE$37)/24, 1) &amp; " D " &amp; MOD(SUM(BE34:BE$37),24) &amp; " H"</f>
        <v>10 D 8 H</v>
      </c>
      <c r="AV33" s="362">
        <f>SUM(BE34:BE$37)/24</f>
        <v>10.333333333333334</v>
      </c>
      <c r="AW33" s="357">
        <v>31</v>
      </c>
      <c r="AX33" s="358">
        <v>400</v>
      </c>
      <c r="AY33" s="358">
        <v>100</v>
      </c>
      <c r="AZ33" s="358">
        <v>120</v>
      </c>
      <c r="BA33" s="359">
        <v>200</v>
      </c>
      <c r="BB33" s="359">
        <v>80</v>
      </c>
      <c r="BC33" s="360">
        <v>14</v>
      </c>
      <c r="BD33" s="360">
        <v>14</v>
      </c>
      <c r="BE33" s="363">
        <v>52</v>
      </c>
    </row>
    <row r="34" spans="5:57" x14ac:dyDescent="0.25">
      <c r="AM34" s="313">
        <v>32</v>
      </c>
      <c r="AN34" s="346">
        <f>SUM(AX35:AX$37)</f>
        <v>1400</v>
      </c>
      <c r="AO34" s="346">
        <f>SUM(AY35:AY$37)</f>
        <v>340</v>
      </c>
      <c r="AP34" s="346">
        <f>SUM(AZ35:AZ$37)</f>
        <v>450</v>
      </c>
      <c r="AQ34" s="52">
        <f>SUM(BA35:BA$37)</f>
        <v>680</v>
      </c>
      <c r="AR34" s="52">
        <f>SUM(BB35:BB$37)</f>
        <v>280</v>
      </c>
      <c r="AS34" s="349">
        <v>14.5</v>
      </c>
      <c r="AT34" s="349">
        <v>14</v>
      </c>
      <c r="AU34" s="352" t="str">
        <f>FLOOR(SUM(BE35:BE$37)/24, 1) &amp; " D " &amp; MOD(SUM(BE35:BE$37),24) &amp; " H"</f>
        <v>8 D 0 H</v>
      </c>
      <c r="AV34" s="317">
        <f>SUM(BE35:BE$37)/24</f>
        <v>8</v>
      </c>
      <c r="AW34" s="313">
        <v>32</v>
      </c>
      <c r="AX34" s="346">
        <v>400</v>
      </c>
      <c r="AY34" s="346">
        <v>100</v>
      </c>
      <c r="AZ34" s="346">
        <v>130</v>
      </c>
      <c r="BA34" s="52">
        <v>200</v>
      </c>
      <c r="BB34" s="52">
        <v>80</v>
      </c>
      <c r="BC34" s="349">
        <v>14.5</v>
      </c>
      <c r="BD34" s="349">
        <v>14</v>
      </c>
      <c r="BE34" s="356">
        <v>56</v>
      </c>
    </row>
    <row r="35" spans="5:57" x14ac:dyDescent="0.25">
      <c r="AM35" s="313">
        <v>33</v>
      </c>
      <c r="AN35" s="346">
        <f>SUM(AX36:AX$37)</f>
        <v>1000</v>
      </c>
      <c r="AO35" s="346">
        <f>SUM(AY36:AY$37)</f>
        <v>240</v>
      </c>
      <c r="AP35" s="346">
        <f>SUM(AZ36:AZ$37)</f>
        <v>310</v>
      </c>
      <c r="AQ35" s="52">
        <f>SUM(BA36:BA$37)</f>
        <v>480</v>
      </c>
      <c r="AR35" s="52">
        <f>SUM(BB36:BB$37)</f>
        <v>200</v>
      </c>
      <c r="AS35" s="349">
        <v>14.5</v>
      </c>
      <c r="AT35" s="349">
        <v>14.5</v>
      </c>
      <c r="AU35" s="352" t="str">
        <f>FLOOR(SUM(BE36:BE$37)/24, 1) &amp; " D " &amp; MOD(SUM(BE36:BE$37),24) &amp; " H"</f>
        <v>5 D 12 H</v>
      </c>
      <c r="AV35" s="317">
        <f>SUM(BE36:BE$37)/24</f>
        <v>5.5</v>
      </c>
      <c r="AW35" s="313">
        <v>33</v>
      </c>
      <c r="AX35" s="346">
        <v>400</v>
      </c>
      <c r="AY35" s="346">
        <v>100</v>
      </c>
      <c r="AZ35" s="346">
        <v>140</v>
      </c>
      <c r="BA35" s="52">
        <v>200</v>
      </c>
      <c r="BB35" s="52">
        <v>80</v>
      </c>
      <c r="BC35" s="349">
        <v>14.5</v>
      </c>
      <c r="BD35" s="349">
        <v>14.5</v>
      </c>
      <c r="BE35" s="356">
        <v>60</v>
      </c>
    </row>
    <row r="36" spans="5:57" x14ac:dyDescent="0.25">
      <c r="AM36" s="313">
        <v>34</v>
      </c>
      <c r="AN36" s="346">
        <f>SUM(AX37:AX$37)</f>
        <v>500</v>
      </c>
      <c r="AO36" s="346">
        <f>SUM(AY37:AY$37)</f>
        <v>120</v>
      </c>
      <c r="AP36" s="346">
        <f>SUM(AZ37:AZ$37)</f>
        <v>160</v>
      </c>
      <c r="AQ36" s="52">
        <f>SUM(BA37:BA$37)</f>
        <v>240</v>
      </c>
      <c r="AR36" s="52">
        <f>SUM(BB37:BB$37)</f>
        <v>100</v>
      </c>
      <c r="AS36" s="349">
        <v>15</v>
      </c>
      <c r="AT36" s="349">
        <v>14.5</v>
      </c>
      <c r="AU36" s="352" t="str">
        <f>FLOOR(SUM(BE37:BE$37)/24, 1) &amp; " D " &amp; MOD(SUM(BE37:BE$37),24) &amp; " H"</f>
        <v>2 D 20 H</v>
      </c>
      <c r="AV36" s="317">
        <f>SUM(BE37:BE$37)/24</f>
        <v>2.8333333333333335</v>
      </c>
      <c r="AW36" s="313">
        <v>34</v>
      </c>
      <c r="AX36" s="346">
        <v>500</v>
      </c>
      <c r="AY36" s="346">
        <v>120</v>
      </c>
      <c r="AZ36" s="346">
        <v>150</v>
      </c>
      <c r="BA36" s="52">
        <v>240</v>
      </c>
      <c r="BB36" s="52">
        <v>100</v>
      </c>
      <c r="BC36" s="349">
        <v>15</v>
      </c>
      <c r="BD36" s="349">
        <v>14.5</v>
      </c>
      <c r="BE36" s="356">
        <v>64</v>
      </c>
    </row>
    <row r="37" spans="5:57" x14ac:dyDescent="0.25">
      <c r="AM37" s="331">
        <v>35</v>
      </c>
      <c r="AN37" s="188">
        <v>0</v>
      </c>
      <c r="AO37" s="188">
        <v>0</v>
      </c>
      <c r="AP37" s="188">
        <v>0</v>
      </c>
      <c r="AQ37" s="178">
        <v>0</v>
      </c>
      <c r="AR37" s="178">
        <v>0</v>
      </c>
      <c r="AS37" s="347">
        <v>15</v>
      </c>
      <c r="AT37" s="347">
        <v>15</v>
      </c>
      <c r="AU37" s="353">
        <v>0</v>
      </c>
      <c r="AV37" s="332">
        <v>0</v>
      </c>
      <c r="AW37" s="331">
        <v>35</v>
      </c>
      <c r="AX37" s="188">
        <v>500</v>
      </c>
      <c r="AY37" s="188">
        <v>120</v>
      </c>
      <c r="AZ37" s="188">
        <v>160</v>
      </c>
      <c r="BA37" s="178">
        <v>240</v>
      </c>
      <c r="BB37" s="178">
        <v>100</v>
      </c>
      <c r="BC37" s="347">
        <v>15</v>
      </c>
      <c r="BD37" s="347">
        <v>15</v>
      </c>
      <c r="BE37" s="350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22"/>
  <sheetViews>
    <sheetView workbookViewId="0">
      <selection activeCell="E23" sqref="E23"/>
    </sheetView>
  </sheetViews>
  <sheetFormatPr defaultColWidth="8.28515625" defaultRowHeight="25.5" customHeight="1" x14ac:dyDescent="0.25"/>
  <cols>
    <col min="1" max="1" width="8.28515625" style="54"/>
    <col min="2" max="2" width="16.28515625" style="54" customWidth="1"/>
    <col min="3" max="5" width="8.28515625" style="54"/>
    <col min="6" max="6" width="14.7109375" style="54" customWidth="1"/>
    <col min="7" max="7" width="8.28515625" style="54"/>
    <col min="8" max="8" width="3.42578125" style="54" customWidth="1"/>
    <col min="9" max="10" width="8.28515625" style="54"/>
    <col min="11" max="12" width="12.140625" style="54" customWidth="1"/>
    <col min="13" max="15" width="8.28515625" style="54"/>
    <col min="16" max="16" width="14.7109375" style="54" customWidth="1"/>
    <col min="17" max="16384" width="8.28515625" style="54"/>
  </cols>
  <sheetData>
    <row r="1" spans="1:16" ht="25.5" customHeight="1" x14ac:dyDescent="0.25">
      <c r="A1" s="474" t="s">
        <v>98</v>
      </c>
      <c r="B1" s="474"/>
      <c r="C1" s="474"/>
      <c r="D1" s="474"/>
      <c r="E1" s="474"/>
      <c r="F1" s="474"/>
      <c r="G1" s="474"/>
      <c r="J1" s="21"/>
      <c r="K1" s="20" t="s">
        <v>27</v>
      </c>
      <c r="L1" s="20" t="s">
        <v>43</v>
      </c>
      <c r="M1" s="20" t="s">
        <v>46</v>
      </c>
      <c r="N1" s="20" t="s">
        <v>47</v>
      </c>
      <c r="O1" s="20" t="s">
        <v>48</v>
      </c>
      <c r="P1" s="20" t="s">
        <v>49</v>
      </c>
    </row>
    <row r="2" spans="1:16" ht="25.5" customHeight="1" x14ac:dyDescent="0.25">
      <c r="A2" s="526" t="s">
        <v>51</v>
      </c>
      <c r="B2" s="526"/>
      <c r="C2" s="527" t="s">
        <v>53</v>
      </c>
      <c r="D2" s="527"/>
      <c r="E2" s="528" t="s">
        <v>55</v>
      </c>
      <c r="F2" s="528"/>
      <c r="G2" s="528"/>
      <c r="J2" s="20" t="s">
        <v>44</v>
      </c>
      <c r="K2" s="125">
        <v>247964</v>
      </c>
      <c r="L2" s="125">
        <v>9</v>
      </c>
      <c r="M2" s="125">
        <v>9603</v>
      </c>
      <c r="N2" s="126">
        <v>322</v>
      </c>
      <c r="O2" s="126">
        <v>44</v>
      </c>
      <c r="P2" s="126">
        <f>M2*DRAGEXP_S+N2*DRAGEXP_M+O2*DRAGEXP_L</f>
        <v>1916450</v>
      </c>
    </row>
    <row r="3" spans="1:16" ht="25.5" customHeight="1" x14ac:dyDescent="0.25">
      <c r="A3" s="85" t="s">
        <v>46</v>
      </c>
      <c r="B3" s="86">
        <v>11873</v>
      </c>
      <c r="C3" s="87" t="s">
        <v>103</v>
      </c>
      <c r="D3" s="94">
        <v>0</v>
      </c>
      <c r="E3" s="58" t="s">
        <v>56</v>
      </c>
      <c r="F3" s="525">
        <f>_xlfn.FLOOR.MATH(B7/MAX(DATA_DRAG_ACCU_EXP))</f>
        <v>21</v>
      </c>
      <c r="G3" s="525"/>
      <c r="J3" s="20" t="s">
        <v>45</v>
      </c>
      <c r="K3" s="125">
        <v>247864</v>
      </c>
      <c r="L3" s="125">
        <v>1</v>
      </c>
      <c r="M3" s="125">
        <v>9734</v>
      </c>
      <c r="N3" s="126">
        <v>342</v>
      </c>
      <c r="O3" s="126">
        <v>44</v>
      </c>
      <c r="P3" s="126">
        <f>M3*DRAGEXP_S+N3*DRAGEXP_M+O3*DRAGEXP_L</f>
        <v>1956100</v>
      </c>
    </row>
    <row r="4" spans="1:16" ht="25.5" customHeight="1" x14ac:dyDescent="0.25">
      <c r="A4" s="85" t="s">
        <v>47</v>
      </c>
      <c r="B4" s="86">
        <v>3441</v>
      </c>
      <c r="C4" s="87" t="s">
        <v>104</v>
      </c>
      <c r="D4" s="94">
        <v>0</v>
      </c>
      <c r="E4" s="84" t="s">
        <v>39</v>
      </c>
      <c r="F4" s="525">
        <f>MATCH(B10,DATA_DRAG_ACCU_EXP,0)</f>
        <v>90</v>
      </c>
      <c r="G4" s="525"/>
      <c r="J4" s="11"/>
      <c r="K4" s="11"/>
      <c r="L4" s="11"/>
      <c r="M4" s="11"/>
      <c r="N4" s="11"/>
      <c r="O4" s="11"/>
      <c r="P4" s="1"/>
    </row>
    <row r="5" spans="1:16" ht="25.5" customHeight="1" x14ac:dyDescent="0.25">
      <c r="A5" s="85" t="s">
        <v>48</v>
      </c>
      <c r="B5" s="86">
        <v>6210</v>
      </c>
      <c r="C5" s="93" t="s">
        <v>57</v>
      </c>
      <c r="D5" s="94">
        <v>0</v>
      </c>
      <c r="E5" s="84" t="s">
        <v>54</v>
      </c>
      <c r="F5" s="525">
        <f>INDEX(DATA_DRAG_LV_EXP,F4)-(B9-B10)</f>
        <v>6210</v>
      </c>
      <c r="G5" s="525"/>
      <c r="J5" s="19" t="s">
        <v>63</v>
      </c>
      <c r="K5" s="34">
        <f>P3-P2</f>
        <v>39650</v>
      </c>
      <c r="L5" s="34"/>
      <c r="M5" s="19" t="s">
        <v>50</v>
      </c>
      <c r="N5" s="530">
        <f>IF(K6&gt;0,K5/K6,"")</f>
        <v>2478.125</v>
      </c>
      <c r="O5" s="530"/>
      <c r="P5" s="1"/>
    </row>
    <row r="6" spans="1:16" ht="25.5" customHeight="1" x14ac:dyDescent="0.25">
      <c r="A6" s="123" t="s">
        <v>52</v>
      </c>
      <c r="B6" s="124">
        <f>B3*DRAGEXP_S+B4*DRAGEXP_M+B5*DRAGEXP_L</f>
        <v>26956950</v>
      </c>
      <c r="C6" s="87" t="s">
        <v>39</v>
      </c>
      <c r="D6" s="88">
        <v>1</v>
      </c>
      <c r="J6" s="19" t="s">
        <v>25</v>
      </c>
      <c r="K6" s="35">
        <f>(K2-K3)/WINGS_RECOVER_DIAMS*6 + (L2-L3)/WINGS_CONSUME_DRAGON</f>
        <v>16</v>
      </c>
      <c r="L6" s="35"/>
      <c r="M6" s="1"/>
      <c r="N6" s="1"/>
      <c r="O6" s="1"/>
      <c r="P6" s="1"/>
    </row>
    <row r="7" spans="1:16" ht="25.5" customHeight="1" x14ac:dyDescent="0.25">
      <c r="A7" s="123" t="s">
        <v>96</v>
      </c>
      <c r="B7" s="124">
        <f>B6-B8</f>
        <v>26956710</v>
      </c>
      <c r="C7" s="87" t="s">
        <v>54</v>
      </c>
      <c r="D7" s="88"/>
      <c r="E7" s="470" t="s">
        <v>66</v>
      </c>
      <c r="F7" s="470"/>
      <c r="G7" s="470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95" t="s">
        <v>97</v>
      </c>
      <c r="B8" s="95">
        <f>D3*DRAGON_EXP_60+D4*DRAGON_EXP_80+D5*DRAGON_EXP_100+INDEX(DATA_DRAG_ACCU_EXP,D6)+(INDEX(DATA_DRAG_LV_EXP,D6)-D7)</f>
        <v>240</v>
      </c>
      <c r="E8" s="470" t="s">
        <v>50</v>
      </c>
      <c r="F8" s="529">
        <f>IF(G9 &gt; 0,SUM(DATA_DRAGON_EXP)/G9,0)</f>
        <v>2673.9277652370201</v>
      </c>
      <c r="G8" s="60" t="s">
        <v>29</v>
      </c>
      <c r="M8" s="1"/>
      <c r="N8" s="1"/>
      <c r="O8" s="1"/>
      <c r="P8" s="1"/>
    </row>
    <row r="9" spans="1:16" ht="25.5" customHeight="1" x14ac:dyDescent="0.25">
      <c r="A9" s="95" t="s">
        <v>92</v>
      </c>
      <c r="B9" s="95">
        <f>MOD(B7,DRAGON_EXP_100)</f>
        <v>916290</v>
      </c>
      <c r="E9" s="470"/>
      <c r="F9" s="529"/>
      <c r="G9" s="81">
        <f>SUM(DATA_DRAGON_PLAYS)</f>
        <v>443</v>
      </c>
      <c r="M9" s="1"/>
      <c r="N9" s="1"/>
      <c r="O9" s="1"/>
      <c r="P9" s="1"/>
    </row>
    <row r="10" spans="1:16" ht="25.5" customHeight="1" x14ac:dyDescent="0.25">
      <c r="A10" s="83" t="s">
        <v>59</v>
      </c>
      <c r="B10" s="95">
        <f>SMALL(DATA_DRAG_ACCU_EXP,COUNTIF(DATA_DRAG_ACCU_EXP,"&lt;"&amp;B9))</f>
        <v>891720</v>
      </c>
      <c r="E10" s="92">
        <v>60</v>
      </c>
      <c r="F10" s="81">
        <f>IF($F$8&gt;0,_xlfn.CEILING.MATH(INDEX(DATA_DRAG_ACCU_EXP,E10)/$F$8),"")</f>
        <v>104</v>
      </c>
      <c r="G10" s="60" t="s">
        <v>26</v>
      </c>
    </row>
    <row r="11" spans="1:16" ht="25.5" customHeight="1" x14ac:dyDescent="0.25">
      <c r="A11" s="82"/>
      <c r="E11" s="92">
        <v>80</v>
      </c>
      <c r="F11" s="35">
        <f>IF($F$8&gt;0,_xlfn.CEILING.MATH(INDEX(DATA_DRAG_ACCU_EXP,E11)/$F$8),"")</f>
        <v>234</v>
      </c>
      <c r="G11" s="60" t="s">
        <v>26</v>
      </c>
    </row>
    <row r="12" spans="1:16" ht="25.5" customHeight="1" x14ac:dyDescent="0.25">
      <c r="A12" s="82"/>
      <c r="E12" s="92">
        <v>100</v>
      </c>
      <c r="F12" s="35">
        <f>IF($F$8&gt;0,_xlfn.CEILING.MATH(INDEX(DATA_DRAG_ACCU_EXP,E12)/$F$8),"")</f>
        <v>464</v>
      </c>
      <c r="G12" s="60" t="s">
        <v>26</v>
      </c>
    </row>
    <row r="13" spans="1:16" s="294" customFormat="1" ht="25.5" customHeight="1" x14ac:dyDescent="0.25">
      <c r="A13" s="509" t="s">
        <v>153</v>
      </c>
      <c r="B13" s="509"/>
      <c r="C13" s="509"/>
      <c r="D13" s="509"/>
      <c r="E13" s="509"/>
      <c r="F13" s="509"/>
      <c r="G13" s="509"/>
    </row>
    <row r="14" spans="1:16" ht="25.5" customHeight="1" x14ac:dyDescent="0.25">
      <c r="A14" s="526" t="s">
        <v>51</v>
      </c>
      <c r="B14" s="526"/>
      <c r="C14" s="527" t="s">
        <v>53</v>
      </c>
      <c r="D14" s="527"/>
      <c r="E14" s="528" t="s">
        <v>55</v>
      </c>
      <c r="F14" s="528"/>
      <c r="G14" s="528"/>
    </row>
    <row r="15" spans="1:16" ht="25.5" customHeight="1" x14ac:dyDescent="0.25">
      <c r="A15" s="85" t="s">
        <v>46</v>
      </c>
      <c r="B15" s="86">
        <v>10319</v>
      </c>
      <c r="C15" s="291" t="s">
        <v>103</v>
      </c>
      <c r="D15" s="94">
        <v>0</v>
      </c>
      <c r="E15" s="290" t="s">
        <v>56</v>
      </c>
      <c r="F15" s="525">
        <f>_xlfn.FLOOR.MATH(B19/MAX(DATA_WYRM_ACCU_EXP))</f>
        <v>6</v>
      </c>
      <c r="G15" s="525"/>
    </row>
    <row r="16" spans="1:16" ht="25.5" customHeight="1" x14ac:dyDescent="0.25">
      <c r="A16" s="85" t="s">
        <v>47</v>
      </c>
      <c r="B16" s="86">
        <v>0</v>
      </c>
      <c r="C16" s="291" t="s">
        <v>104</v>
      </c>
      <c r="D16" s="94">
        <v>0</v>
      </c>
      <c r="E16" s="84" t="s">
        <v>39</v>
      </c>
      <c r="F16" s="525">
        <f>MATCH(B22,DATA_WYRM_ACCU_EXP,0)</f>
        <v>61</v>
      </c>
      <c r="G16" s="525"/>
    </row>
    <row r="17" spans="1:7" ht="25.5" customHeight="1" x14ac:dyDescent="0.25">
      <c r="A17" s="85" t="s">
        <v>48</v>
      </c>
      <c r="B17" s="86">
        <v>198</v>
      </c>
      <c r="C17" s="93" t="s">
        <v>57</v>
      </c>
      <c r="D17" s="94">
        <v>0</v>
      </c>
      <c r="E17" s="84" t="s">
        <v>54</v>
      </c>
      <c r="F17" s="525">
        <f>INDEX(DATA_WYRM_LV_EXP,F16)-(B21-B22)</f>
        <v>9190</v>
      </c>
      <c r="G17" s="525"/>
    </row>
    <row r="18" spans="1:7" ht="25.5" customHeight="1" x14ac:dyDescent="0.25">
      <c r="A18" s="123" t="s">
        <v>52</v>
      </c>
      <c r="B18" s="124">
        <f>B15*WYRMEXP_S+B16*WYRMEXP_M+B17*WYRMEXP_L</f>
        <v>5852500</v>
      </c>
      <c r="C18" s="291" t="s">
        <v>39</v>
      </c>
      <c r="D18" s="88">
        <v>1</v>
      </c>
      <c r="E18" s="289"/>
      <c r="F18" s="289"/>
      <c r="G18" s="289"/>
    </row>
    <row r="19" spans="1:7" ht="25.5" customHeight="1" x14ac:dyDescent="0.25">
      <c r="A19" s="123" t="s">
        <v>96</v>
      </c>
      <c r="B19" s="124">
        <f>B18-B20</f>
        <v>5852350</v>
      </c>
      <c r="C19" s="291" t="s">
        <v>54</v>
      </c>
      <c r="D19" s="88"/>
      <c r="E19" s="293"/>
      <c r="F19" s="293"/>
      <c r="G19" s="293"/>
    </row>
    <row r="20" spans="1:7" ht="25.5" customHeight="1" x14ac:dyDescent="0.25">
      <c r="A20" s="95" t="s">
        <v>97</v>
      </c>
      <c r="B20" s="95">
        <f>D15*WYRM_EXP_60+D16*WYRM_EXP_80+D17*WYRM_EXP_100+INDEX(DATA_WYRM_ACCU_EXP,D18)+(INDEX(DATA_WYRM_LV_EXP,D18)-D19)</f>
        <v>150</v>
      </c>
      <c r="C20" s="289"/>
      <c r="D20" s="289"/>
      <c r="E20"/>
      <c r="F20"/>
      <c r="G20"/>
    </row>
    <row r="21" spans="1:7" ht="25.5" customHeight="1" x14ac:dyDescent="0.25">
      <c r="A21" s="95" t="s">
        <v>92</v>
      </c>
      <c r="B21" s="95">
        <f>MOD(B19,WYRM_EXP_100)</f>
        <v>221650</v>
      </c>
      <c r="C21" s="289"/>
      <c r="D21" s="289"/>
      <c r="E21"/>
      <c r="F21"/>
      <c r="G21"/>
    </row>
    <row r="22" spans="1:7" ht="25.5" customHeight="1" x14ac:dyDescent="0.25">
      <c r="A22" s="83" t="s">
        <v>59</v>
      </c>
      <c r="B22" s="95">
        <f>SMALL(DATA_WYRM_ACCU_EXP,COUNTIF(DATA_WYRM_ACCU_EXP,"&lt;"&amp;B21))</f>
        <v>220800</v>
      </c>
      <c r="C22" s="289"/>
      <c r="D22" s="289"/>
      <c r="E22"/>
      <c r="F22"/>
      <c r="G22"/>
    </row>
  </sheetData>
  <mergeCells count="18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  <mergeCell ref="F16:G16"/>
    <mergeCell ref="F17:G17"/>
    <mergeCell ref="A13:G13"/>
    <mergeCell ref="A14:B14"/>
    <mergeCell ref="C14:D14"/>
    <mergeCell ref="E14:G14"/>
    <mergeCell ref="F15:G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2"/>
    <col min="4" max="7" width="9.140625" style="11"/>
    <col min="8" max="10" width="9.140625" style="292"/>
    <col min="11" max="16384" width="9.140625" style="11"/>
  </cols>
  <sheetData>
    <row r="1" spans="1:10" x14ac:dyDescent="0.25">
      <c r="A1" s="11" t="s">
        <v>63</v>
      </c>
      <c r="B1" s="11" t="s">
        <v>25</v>
      </c>
      <c r="C1" s="22" t="s">
        <v>28</v>
      </c>
      <c r="E1" s="11" t="s">
        <v>39</v>
      </c>
      <c r="F1" s="11" t="s">
        <v>59</v>
      </c>
      <c r="G1" s="11" t="s">
        <v>60</v>
      </c>
      <c r="H1" s="292" t="s">
        <v>39</v>
      </c>
      <c r="I1" s="292" t="s">
        <v>59</v>
      </c>
      <c r="J1" s="292" t="s">
        <v>60</v>
      </c>
    </row>
    <row r="2" spans="1:10" x14ac:dyDescent="0.25">
      <c r="A2" s="11">
        <v>15850</v>
      </c>
      <c r="B2" s="11">
        <v>7</v>
      </c>
      <c r="C2" s="22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92">
        <v>1</v>
      </c>
      <c r="I2" s="292">
        <v>150</v>
      </c>
      <c r="J2" s="292">
        <v>0</v>
      </c>
    </row>
    <row r="3" spans="1:10" x14ac:dyDescent="0.25">
      <c r="A3" s="11">
        <v>46200</v>
      </c>
      <c r="B3" s="11">
        <v>19</v>
      </c>
      <c r="C3" s="22">
        <f t="shared" si="0"/>
        <v>2431.5789473684213</v>
      </c>
      <c r="E3" s="12">
        <v>2</v>
      </c>
      <c r="F3" s="12">
        <v>300</v>
      </c>
      <c r="G3" s="12">
        <v>240</v>
      </c>
      <c r="H3" s="292">
        <v>2</v>
      </c>
      <c r="I3" s="292">
        <v>200</v>
      </c>
      <c r="J3" s="292">
        <v>150</v>
      </c>
    </row>
    <row r="4" spans="1:10" x14ac:dyDescent="0.25">
      <c r="A4" s="11">
        <v>115100</v>
      </c>
      <c r="B4" s="11">
        <v>36</v>
      </c>
      <c r="C4" s="22">
        <f t="shared" si="0"/>
        <v>3197.2222222222222</v>
      </c>
      <c r="E4" s="12">
        <v>3</v>
      </c>
      <c r="F4" s="12">
        <v>360</v>
      </c>
      <c r="G4" s="12">
        <v>540</v>
      </c>
      <c r="H4" s="292">
        <v>3</v>
      </c>
      <c r="I4" s="292">
        <v>250</v>
      </c>
      <c r="J4" s="292">
        <v>350</v>
      </c>
    </row>
    <row r="5" spans="1:10" x14ac:dyDescent="0.25">
      <c r="A5" s="11">
        <v>14900</v>
      </c>
      <c r="B5" s="11">
        <v>6</v>
      </c>
      <c r="C5" s="22">
        <f t="shared" si="0"/>
        <v>2483.3333333333335</v>
      </c>
      <c r="E5" s="12">
        <v>4</v>
      </c>
      <c r="F5" s="12">
        <v>420</v>
      </c>
      <c r="G5" s="12">
        <v>900</v>
      </c>
      <c r="H5" s="292">
        <v>4</v>
      </c>
      <c r="I5" s="292">
        <v>300</v>
      </c>
      <c r="J5" s="292">
        <v>600</v>
      </c>
    </row>
    <row r="6" spans="1:10" x14ac:dyDescent="0.25">
      <c r="A6" s="11">
        <v>149500</v>
      </c>
      <c r="B6" s="11">
        <v>57</v>
      </c>
      <c r="C6" s="22">
        <f t="shared" si="0"/>
        <v>2622.8070175438597</v>
      </c>
      <c r="E6" s="12">
        <v>5</v>
      </c>
      <c r="F6" s="12">
        <v>480</v>
      </c>
      <c r="G6" s="12">
        <v>1320</v>
      </c>
      <c r="H6" s="292">
        <v>5</v>
      </c>
      <c r="I6" s="292">
        <v>350</v>
      </c>
      <c r="J6" s="292">
        <v>900</v>
      </c>
    </row>
    <row r="7" spans="1:10" x14ac:dyDescent="0.25">
      <c r="A7" s="11">
        <v>14300</v>
      </c>
      <c r="B7" s="11">
        <v>5</v>
      </c>
      <c r="C7" s="22">
        <f t="shared" si="0"/>
        <v>2860</v>
      </c>
      <c r="E7" s="12">
        <v>6</v>
      </c>
      <c r="F7" s="12">
        <v>540</v>
      </c>
      <c r="G7" s="12">
        <v>1800</v>
      </c>
      <c r="H7" s="292">
        <v>6</v>
      </c>
      <c r="I7" s="292">
        <v>400</v>
      </c>
      <c r="J7" s="292">
        <v>1250</v>
      </c>
    </row>
    <row r="8" spans="1:10" x14ac:dyDescent="0.25">
      <c r="A8" s="11">
        <v>6400</v>
      </c>
      <c r="B8" s="11">
        <v>2</v>
      </c>
      <c r="C8" s="22">
        <f t="shared" si="0"/>
        <v>3200</v>
      </c>
      <c r="E8" s="12">
        <v>7</v>
      </c>
      <c r="F8" s="12">
        <v>600</v>
      </c>
      <c r="G8" s="12">
        <v>2340</v>
      </c>
      <c r="H8" s="292">
        <v>7</v>
      </c>
      <c r="I8" s="292">
        <v>450</v>
      </c>
      <c r="J8" s="292">
        <v>1650</v>
      </c>
    </row>
    <row r="9" spans="1:10" x14ac:dyDescent="0.25">
      <c r="A9" s="11">
        <v>364050</v>
      </c>
      <c r="B9" s="11">
        <v>145</v>
      </c>
      <c r="C9" s="22">
        <f t="shared" si="0"/>
        <v>2510.6896551724139</v>
      </c>
      <c r="E9" s="12">
        <v>8</v>
      </c>
      <c r="F9" s="12">
        <v>660</v>
      </c>
      <c r="G9" s="12">
        <v>2940</v>
      </c>
      <c r="H9" s="292">
        <v>8</v>
      </c>
      <c r="I9" s="292">
        <v>500</v>
      </c>
      <c r="J9" s="292">
        <v>2100</v>
      </c>
    </row>
    <row r="10" spans="1:10" x14ac:dyDescent="0.25">
      <c r="A10" s="11">
        <v>17400</v>
      </c>
      <c r="B10" s="11">
        <v>7</v>
      </c>
      <c r="C10" s="22">
        <f t="shared" si="0"/>
        <v>2485.7142857142858</v>
      </c>
      <c r="E10" s="12">
        <v>9</v>
      </c>
      <c r="F10" s="12">
        <v>720</v>
      </c>
      <c r="G10" s="12">
        <v>3600</v>
      </c>
      <c r="H10" s="292">
        <v>9</v>
      </c>
      <c r="I10" s="292">
        <v>550</v>
      </c>
      <c r="J10" s="292">
        <v>2600</v>
      </c>
    </row>
    <row r="11" spans="1:10" x14ac:dyDescent="0.25">
      <c r="A11" s="11">
        <v>12300</v>
      </c>
      <c r="B11" s="11">
        <v>5</v>
      </c>
      <c r="C11" s="22">
        <f t="shared" si="0"/>
        <v>2460</v>
      </c>
      <c r="E11" s="12">
        <v>10</v>
      </c>
      <c r="F11" s="12">
        <v>780</v>
      </c>
      <c r="G11" s="12">
        <v>4320</v>
      </c>
      <c r="H11" s="292">
        <v>10</v>
      </c>
      <c r="I11" s="292">
        <v>600</v>
      </c>
      <c r="J11" s="292">
        <v>3150</v>
      </c>
    </row>
    <row r="12" spans="1:10" x14ac:dyDescent="0.25">
      <c r="A12" s="11">
        <v>13150</v>
      </c>
      <c r="B12" s="11">
        <v>5</v>
      </c>
      <c r="C12" s="22">
        <f t="shared" si="0"/>
        <v>2630</v>
      </c>
      <c r="E12" s="12">
        <v>11</v>
      </c>
      <c r="F12" s="12">
        <v>900</v>
      </c>
      <c r="G12" s="12">
        <v>5100</v>
      </c>
      <c r="H12" s="292">
        <v>11</v>
      </c>
      <c r="I12" s="292">
        <v>690</v>
      </c>
      <c r="J12" s="292">
        <v>3750</v>
      </c>
    </row>
    <row r="13" spans="1:10" x14ac:dyDescent="0.25">
      <c r="A13" s="11">
        <v>62700</v>
      </c>
      <c r="B13" s="11">
        <v>26</v>
      </c>
      <c r="C13" s="22">
        <f t="shared" si="0"/>
        <v>2411.5384615384614</v>
      </c>
      <c r="E13" s="12">
        <v>12</v>
      </c>
      <c r="F13" s="12">
        <v>1020</v>
      </c>
      <c r="G13" s="12">
        <v>6000</v>
      </c>
      <c r="H13" s="292">
        <v>12</v>
      </c>
      <c r="I13" s="292">
        <v>780</v>
      </c>
      <c r="J13" s="292">
        <v>4440</v>
      </c>
    </row>
    <row r="14" spans="1:10" x14ac:dyDescent="0.25">
      <c r="A14" s="11">
        <v>13800</v>
      </c>
      <c r="B14" s="11">
        <v>4</v>
      </c>
      <c r="C14" s="22">
        <f t="shared" si="0"/>
        <v>3450</v>
      </c>
      <c r="E14" s="12">
        <v>13</v>
      </c>
      <c r="F14" s="12">
        <v>1140</v>
      </c>
      <c r="G14" s="12">
        <v>7020</v>
      </c>
      <c r="H14" s="292">
        <v>13</v>
      </c>
      <c r="I14" s="292">
        <v>870</v>
      </c>
      <c r="J14" s="292">
        <v>5220</v>
      </c>
    </row>
    <row r="15" spans="1:10" x14ac:dyDescent="0.25">
      <c r="A15" s="11">
        <v>255900</v>
      </c>
      <c r="B15" s="11">
        <v>88</v>
      </c>
      <c r="C15" s="22">
        <f t="shared" si="0"/>
        <v>2907.9545454545455</v>
      </c>
      <c r="E15" s="12">
        <v>14</v>
      </c>
      <c r="F15" s="12">
        <v>1260</v>
      </c>
      <c r="G15" s="12">
        <v>8160</v>
      </c>
      <c r="H15" s="292">
        <v>14</v>
      </c>
      <c r="I15" s="292">
        <v>960</v>
      </c>
      <c r="J15" s="292">
        <v>6090</v>
      </c>
    </row>
    <row r="16" spans="1:10" x14ac:dyDescent="0.25">
      <c r="A16" s="11">
        <v>43350</v>
      </c>
      <c r="B16" s="11">
        <v>15</v>
      </c>
      <c r="C16" s="22">
        <f t="shared" si="0"/>
        <v>2890</v>
      </c>
      <c r="E16" s="12">
        <v>15</v>
      </c>
      <c r="F16" s="12">
        <v>1380</v>
      </c>
      <c r="G16" s="12">
        <v>9420</v>
      </c>
      <c r="H16" s="292">
        <v>15</v>
      </c>
      <c r="I16" s="292">
        <v>1050</v>
      </c>
      <c r="J16" s="292">
        <v>7050</v>
      </c>
    </row>
    <row r="17" spans="1:10" x14ac:dyDescent="0.25">
      <c r="A17" s="11">
        <v>39650</v>
      </c>
      <c r="B17" s="11">
        <v>16</v>
      </c>
      <c r="C17" s="22">
        <f t="shared" si="0"/>
        <v>2478.125</v>
      </c>
      <c r="E17" s="12">
        <v>16</v>
      </c>
      <c r="F17" s="12">
        <v>1500</v>
      </c>
      <c r="G17" s="12">
        <v>10800</v>
      </c>
      <c r="H17" s="292">
        <v>16</v>
      </c>
      <c r="I17" s="292">
        <v>1140</v>
      </c>
      <c r="J17" s="292">
        <v>8100</v>
      </c>
    </row>
    <row r="18" spans="1:10" x14ac:dyDescent="0.25">
      <c r="C18" s="22" t="str">
        <f t="shared" si="0"/>
        <v/>
      </c>
      <c r="E18" s="12">
        <v>17</v>
      </c>
      <c r="F18" s="12">
        <v>1620</v>
      </c>
      <c r="G18" s="12">
        <v>12300</v>
      </c>
      <c r="H18" s="292">
        <v>17</v>
      </c>
      <c r="I18" s="292">
        <v>1230</v>
      </c>
      <c r="J18" s="292">
        <v>9240</v>
      </c>
    </row>
    <row r="19" spans="1:10" x14ac:dyDescent="0.25">
      <c r="C19" s="22" t="str">
        <f t="shared" si="0"/>
        <v/>
      </c>
      <c r="E19" s="12">
        <v>18</v>
      </c>
      <c r="F19" s="12">
        <v>1740</v>
      </c>
      <c r="G19" s="12">
        <v>13920</v>
      </c>
      <c r="H19" s="292">
        <v>18</v>
      </c>
      <c r="I19" s="292">
        <v>1320</v>
      </c>
      <c r="J19" s="292">
        <v>10470</v>
      </c>
    </row>
    <row r="20" spans="1:10" x14ac:dyDescent="0.25">
      <c r="C20" s="22" t="str">
        <f t="shared" si="0"/>
        <v/>
      </c>
      <c r="E20" s="12">
        <v>19</v>
      </c>
      <c r="F20" s="12">
        <v>1860</v>
      </c>
      <c r="G20" s="12">
        <v>15660</v>
      </c>
      <c r="H20" s="292">
        <v>19</v>
      </c>
      <c r="I20" s="292">
        <v>1410</v>
      </c>
      <c r="J20" s="292">
        <v>11790</v>
      </c>
    </row>
    <row r="21" spans="1:10" x14ac:dyDescent="0.25">
      <c r="C21" s="22" t="str">
        <f t="shared" si="0"/>
        <v/>
      </c>
      <c r="E21" s="12">
        <v>20</v>
      </c>
      <c r="F21" s="12">
        <v>1980</v>
      </c>
      <c r="G21" s="12">
        <v>17520</v>
      </c>
      <c r="H21" s="292">
        <v>20</v>
      </c>
      <c r="I21" s="292">
        <v>1500</v>
      </c>
      <c r="J21" s="292">
        <v>13200</v>
      </c>
    </row>
    <row r="22" spans="1:10" x14ac:dyDescent="0.25">
      <c r="C22" s="22" t="str">
        <f t="shared" si="0"/>
        <v/>
      </c>
      <c r="E22" s="12">
        <v>21</v>
      </c>
      <c r="F22" s="12">
        <v>2160</v>
      </c>
      <c r="G22" s="12">
        <v>19500</v>
      </c>
      <c r="H22" s="292">
        <v>21</v>
      </c>
      <c r="I22" s="292">
        <v>1640</v>
      </c>
      <c r="J22" s="292">
        <v>14700</v>
      </c>
    </row>
    <row r="23" spans="1:10" x14ac:dyDescent="0.25">
      <c r="C23" s="22" t="str">
        <f t="shared" si="0"/>
        <v/>
      </c>
      <c r="E23" s="12">
        <v>22</v>
      </c>
      <c r="F23" s="12">
        <v>2340</v>
      </c>
      <c r="G23" s="12">
        <v>21660</v>
      </c>
      <c r="H23" s="292">
        <v>22</v>
      </c>
      <c r="I23" s="292">
        <v>1780</v>
      </c>
      <c r="J23" s="292">
        <v>16340</v>
      </c>
    </row>
    <row r="24" spans="1:10" x14ac:dyDescent="0.25">
      <c r="C24" s="22" t="str">
        <f t="shared" si="0"/>
        <v/>
      </c>
      <c r="E24" s="12">
        <v>23</v>
      </c>
      <c r="F24" s="12">
        <v>2520</v>
      </c>
      <c r="G24" s="12">
        <v>24000</v>
      </c>
      <c r="H24" s="292">
        <v>23</v>
      </c>
      <c r="I24" s="292">
        <v>1920</v>
      </c>
      <c r="J24" s="292">
        <v>18120</v>
      </c>
    </row>
    <row r="25" spans="1:10" x14ac:dyDescent="0.25">
      <c r="C25" s="22" t="str">
        <f t="shared" si="0"/>
        <v/>
      </c>
      <c r="E25" s="12">
        <v>24</v>
      </c>
      <c r="F25" s="12">
        <v>2700</v>
      </c>
      <c r="G25" s="12">
        <v>26520</v>
      </c>
      <c r="H25" s="292">
        <v>24</v>
      </c>
      <c r="I25" s="292">
        <v>2060</v>
      </c>
      <c r="J25" s="292">
        <v>20040</v>
      </c>
    </row>
    <row r="26" spans="1:10" x14ac:dyDescent="0.25">
      <c r="C26" s="22" t="str">
        <f t="shared" si="0"/>
        <v/>
      </c>
      <c r="E26" s="12">
        <v>25</v>
      </c>
      <c r="F26" s="12">
        <v>2880</v>
      </c>
      <c r="G26" s="12">
        <v>29220</v>
      </c>
      <c r="H26" s="292">
        <v>25</v>
      </c>
      <c r="I26" s="292">
        <v>2200</v>
      </c>
      <c r="J26" s="292">
        <v>22100</v>
      </c>
    </row>
    <row r="27" spans="1:10" x14ac:dyDescent="0.25">
      <c r="C27" s="22" t="str">
        <f t="shared" si="0"/>
        <v/>
      </c>
      <c r="E27" s="12">
        <v>26</v>
      </c>
      <c r="F27" s="12">
        <v>3060</v>
      </c>
      <c r="G27" s="12">
        <v>32100</v>
      </c>
      <c r="H27" s="292">
        <v>26</v>
      </c>
      <c r="I27" s="292">
        <v>2340</v>
      </c>
      <c r="J27" s="292">
        <v>24300</v>
      </c>
    </row>
    <row r="28" spans="1:10" x14ac:dyDescent="0.25">
      <c r="C28" s="22" t="str">
        <f t="shared" si="0"/>
        <v/>
      </c>
      <c r="E28" s="12">
        <v>27</v>
      </c>
      <c r="F28" s="12">
        <v>3240</v>
      </c>
      <c r="G28" s="12">
        <v>35160</v>
      </c>
      <c r="H28" s="292">
        <v>27</v>
      </c>
      <c r="I28" s="292">
        <v>2480</v>
      </c>
      <c r="J28" s="292">
        <v>26640</v>
      </c>
    </row>
    <row r="29" spans="1:10" x14ac:dyDescent="0.25">
      <c r="C29" s="22" t="str">
        <f t="shared" si="0"/>
        <v/>
      </c>
      <c r="E29" s="12">
        <v>28</v>
      </c>
      <c r="F29" s="12">
        <v>3420</v>
      </c>
      <c r="G29" s="12">
        <v>38400</v>
      </c>
      <c r="H29" s="292">
        <v>28</v>
      </c>
      <c r="I29" s="292">
        <v>2620</v>
      </c>
      <c r="J29" s="292">
        <v>29120</v>
      </c>
    </row>
    <row r="30" spans="1:10" x14ac:dyDescent="0.25">
      <c r="C30" s="22" t="str">
        <f t="shared" si="0"/>
        <v/>
      </c>
      <c r="E30" s="12">
        <v>29</v>
      </c>
      <c r="F30" s="12">
        <v>3600</v>
      </c>
      <c r="G30" s="12">
        <v>41820</v>
      </c>
      <c r="H30" s="292">
        <v>29</v>
      </c>
      <c r="I30" s="292">
        <v>2760</v>
      </c>
      <c r="J30" s="292">
        <v>31740</v>
      </c>
    </row>
    <row r="31" spans="1:10" x14ac:dyDescent="0.25">
      <c r="C31" s="22" t="str">
        <f t="shared" si="0"/>
        <v/>
      </c>
      <c r="E31" s="12">
        <v>30</v>
      </c>
      <c r="F31" s="12">
        <v>3780</v>
      </c>
      <c r="G31" s="12">
        <v>45420</v>
      </c>
      <c r="H31" s="292">
        <v>30</v>
      </c>
      <c r="I31" s="292">
        <v>2900</v>
      </c>
      <c r="J31" s="292">
        <v>34500</v>
      </c>
    </row>
    <row r="32" spans="1:10" x14ac:dyDescent="0.25">
      <c r="C32" s="22" t="str">
        <f t="shared" si="0"/>
        <v/>
      </c>
      <c r="E32" s="12">
        <v>31</v>
      </c>
      <c r="F32" s="12">
        <v>4020</v>
      </c>
      <c r="G32" s="12">
        <v>49200</v>
      </c>
      <c r="H32" s="292">
        <v>31</v>
      </c>
      <c r="I32" s="292">
        <v>3080</v>
      </c>
      <c r="J32" s="292">
        <v>37400</v>
      </c>
    </row>
    <row r="33" spans="3:10" x14ac:dyDescent="0.25">
      <c r="C33" s="22" t="str">
        <f t="shared" si="0"/>
        <v/>
      </c>
      <c r="E33" s="12">
        <v>32</v>
      </c>
      <c r="F33" s="12">
        <v>4260</v>
      </c>
      <c r="G33" s="12">
        <v>53220</v>
      </c>
      <c r="H33" s="292">
        <v>32</v>
      </c>
      <c r="I33" s="292">
        <v>3260</v>
      </c>
      <c r="J33" s="292">
        <v>40480</v>
      </c>
    </row>
    <row r="34" spans="3:10" x14ac:dyDescent="0.25">
      <c r="C34" s="22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92">
        <v>33</v>
      </c>
      <c r="I34" s="292">
        <v>3440</v>
      </c>
      <c r="J34" s="292">
        <v>43740</v>
      </c>
    </row>
    <row r="35" spans="3:10" x14ac:dyDescent="0.25">
      <c r="C35" s="22" t="str">
        <f t="shared" si="1"/>
        <v/>
      </c>
      <c r="E35" s="12">
        <v>34</v>
      </c>
      <c r="F35" s="12">
        <v>4740</v>
      </c>
      <c r="G35" s="12">
        <v>61980</v>
      </c>
      <c r="H35" s="292">
        <v>34</v>
      </c>
      <c r="I35" s="292">
        <v>3620</v>
      </c>
      <c r="J35" s="292">
        <v>47180</v>
      </c>
    </row>
    <row r="36" spans="3:10" x14ac:dyDescent="0.25">
      <c r="C36" s="22" t="str">
        <f t="shared" si="1"/>
        <v/>
      </c>
      <c r="E36" s="12">
        <v>35</v>
      </c>
      <c r="F36" s="12">
        <v>4980</v>
      </c>
      <c r="G36" s="12">
        <v>66720</v>
      </c>
      <c r="H36" s="292">
        <v>35</v>
      </c>
      <c r="I36" s="292">
        <v>3800</v>
      </c>
      <c r="J36" s="292">
        <v>50800</v>
      </c>
    </row>
    <row r="37" spans="3:10" x14ac:dyDescent="0.25">
      <c r="C37" s="22" t="str">
        <f t="shared" si="1"/>
        <v/>
      </c>
      <c r="E37" s="12">
        <v>36</v>
      </c>
      <c r="F37" s="12">
        <v>5220</v>
      </c>
      <c r="G37" s="12">
        <v>71700</v>
      </c>
      <c r="H37" s="292">
        <v>36</v>
      </c>
      <c r="I37" s="292">
        <v>3980</v>
      </c>
      <c r="J37" s="292">
        <v>54600</v>
      </c>
    </row>
    <row r="38" spans="3:10" x14ac:dyDescent="0.25">
      <c r="C38" s="22" t="str">
        <f t="shared" si="1"/>
        <v/>
      </c>
      <c r="E38" s="12">
        <v>37</v>
      </c>
      <c r="F38" s="12">
        <v>5460</v>
      </c>
      <c r="G38" s="12">
        <v>76920</v>
      </c>
      <c r="H38" s="292">
        <v>37</v>
      </c>
      <c r="I38" s="292">
        <v>4160</v>
      </c>
      <c r="J38" s="292">
        <v>58580</v>
      </c>
    </row>
    <row r="39" spans="3:10" x14ac:dyDescent="0.25">
      <c r="C39" s="22" t="str">
        <f t="shared" si="1"/>
        <v/>
      </c>
      <c r="E39" s="12">
        <v>38</v>
      </c>
      <c r="F39" s="12">
        <v>5700</v>
      </c>
      <c r="G39" s="12">
        <v>82380</v>
      </c>
      <c r="H39" s="292">
        <v>38</v>
      </c>
      <c r="I39" s="292">
        <v>4340</v>
      </c>
      <c r="J39" s="292">
        <v>62740</v>
      </c>
    </row>
    <row r="40" spans="3:10" x14ac:dyDescent="0.25">
      <c r="C40" s="22" t="str">
        <f t="shared" si="1"/>
        <v/>
      </c>
      <c r="E40" s="12">
        <v>39</v>
      </c>
      <c r="F40" s="12">
        <v>5940</v>
      </c>
      <c r="G40" s="12">
        <v>88080</v>
      </c>
      <c r="H40" s="292">
        <v>39</v>
      </c>
      <c r="I40" s="292">
        <v>4520</v>
      </c>
      <c r="J40" s="292">
        <v>67080</v>
      </c>
    </row>
    <row r="41" spans="3:10" x14ac:dyDescent="0.25">
      <c r="C41" s="22" t="str">
        <f t="shared" si="1"/>
        <v/>
      </c>
      <c r="E41" s="12">
        <v>40</v>
      </c>
      <c r="F41" s="12">
        <v>6180</v>
      </c>
      <c r="G41" s="12">
        <v>94020</v>
      </c>
      <c r="H41" s="292">
        <v>40</v>
      </c>
      <c r="I41" s="292">
        <v>4700</v>
      </c>
      <c r="J41" s="292">
        <v>71600</v>
      </c>
    </row>
    <row r="42" spans="3:10" x14ac:dyDescent="0.25">
      <c r="C42" s="22" t="str">
        <f t="shared" si="1"/>
        <v/>
      </c>
      <c r="E42" s="12">
        <v>41</v>
      </c>
      <c r="F42" s="12">
        <v>6480</v>
      </c>
      <c r="G42" s="12">
        <v>100200</v>
      </c>
      <c r="H42" s="292">
        <v>41</v>
      </c>
      <c r="I42" s="292">
        <v>4930</v>
      </c>
      <c r="J42" s="292">
        <v>76300</v>
      </c>
    </row>
    <row r="43" spans="3:10" x14ac:dyDescent="0.25">
      <c r="C43" s="22" t="str">
        <f t="shared" si="1"/>
        <v/>
      </c>
      <c r="E43" s="12">
        <v>42</v>
      </c>
      <c r="F43" s="12">
        <v>6780</v>
      </c>
      <c r="G43" s="12">
        <v>106680</v>
      </c>
      <c r="H43" s="292">
        <v>42</v>
      </c>
      <c r="I43" s="292">
        <v>5160</v>
      </c>
      <c r="J43" s="292">
        <v>81230</v>
      </c>
    </row>
    <row r="44" spans="3:10" x14ac:dyDescent="0.25">
      <c r="C44" s="22" t="str">
        <f t="shared" si="1"/>
        <v/>
      </c>
      <c r="E44" s="12">
        <v>43</v>
      </c>
      <c r="F44" s="12">
        <v>7080</v>
      </c>
      <c r="G44" s="12">
        <v>113460</v>
      </c>
      <c r="H44" s="292">
        <v>43</v>
      </c>
      <c r="I44" s="292">
        <v>5390</v>
      </c>
      <c r="J44" s="292">
        <v>86390</v>
      </c>
    </row>
    <row r="45" spans="3:10" x14ac:dyDescent="0.25">
      <c r="C45" s="22" t="str">
        <f t="shared" si="1"/>
        <v/>
      </c>
      <c r="E45" s="12">
        <v>44</v>
      </c>
      <c r="F45" s="12">
        <v>7380</v>
      </c>
      <c r="G45" s="12">
        <v>120540</v>
      </c>
      <c r="H45" s="292">
        <v>44</v>
      </c>
      <c r="I45" s="292">
        <v>5620</v>
      </c>
      <c r="J45" s="292">
        <v>91780</v>
      </c>
    </row>
    <row r="46" spans="3:10" x14ac:dyDescent="0.25">
      <c r="C46" s="22" t="str">
        <f t="shared" si="1"/>
        <v/>
      </c>
      <c r="E46" s="12">
        <v>45</v>
      </c>
      <c r="F46" s="12">
        <v>7680</v>
      </c>
      <c r="G46" s="12">
        <v>127920</v>
      </c>
      <c r="H46" s="292">
        <v>45</v>
      </c>
      <c r="I46" s="292">
        <v>5850</v>
      </c>
      <c r="J46" s="292">
        <v>97400</v>
      </c>
    </row>
    <row r="47" spans="3:10" x14ac:dyDescent="0.25">
      <c r="C47" s="22" t="str">
        <f t="shared" si="1"/>
        <v/>
      </c>
      <c r="E47" s="12">
        <v>46</v>
      </c>
      <c r="F47" s="12">
        <v>7980</v>
      </c>
      <c r="G47" s="12">
        <v>135600</v>
      </c>
      <c r="H47" s="292">
        <v>46</v>
      </c>
      <c r="I47" s="292">
        <v>6080</v>
      </c>
      <c r="J47" s="292">
        <v>103250</v>
      </c>
    </row>
    <row r="48" spans="3:10" x14ac:dyDescent="0.25">
      <c r="C48" s="22" t="str">
        <f t="shared" si="1"/>
        <v/>
      </c>
      <c r="E48" s="12">
        <v>47</v>
      </c>
      <c r="F48" s="12">
        <v>8280</v>
      </c>
      <c r="G48" s="12">
        <v>143580</v>
      </c>
      <c r="H48" s="292">
        <v>47</v>
      </c>
      <c r="I48" s="292">
        <v>6310</v>
      </c>
      <c r="J48" s="292">
        <v>109330</v>
      </c>
    </row>
    <row r="49" spans="3:10" x14ac:dyDescent="0.25">
      <c r="C49" s="22" t="str">
        <f t="shared" si="1"/>
        <v/>
      </c>
      <c r="E49" s="12">
        <v>48</v>
      </c>
      <c r="F49" s="12">
        <v>8580</v>
      </c>
      <c r="G49" s="12">
        <v>151860</v>
      </c>
      <c r="H49" s="292">
        <v>48</v>
      </c>
      <c r="I49" s="292">
        <v>6540</v>
      </c>
      <c r="J49" s="292">
        <v>115640</v>
      </c>
    </row>
    <row r="50" spans="3:10" x14ac:dyDescent="0.25">
      <c r="C50" s="22" t="str">
        <f t="shared" si="1"/>
        <v/>
      </c>
      <c r="E50" s="12">
        <v>49</v>
      </c>
      <c r="F50" s="12">
        <v>8880</v>
      </c>
      <c r="G50" s="12">
        <v>160440</v>
      </c>
      <c r="H50" s="292">
        <v>49</v>
      </c>
      <c r="I50" s="292">
        <v>6770</v>
      </c>
      <c r="J50" s="292">
        <v>122180</v>
      </c>
    </row>
    <row r="51" spans="3:10" x14ac:dyDescent="0.25">
      <c r="C51" s="22" t="str">
        <f t="shared" si="1"/>
        <v/>
      </c>
      <c r="E51" s="12">
        <v>50</v>
      </c>
      <c r="F51" s="12">
        <v>9180</v>
      </c>
      <c r="G51" s="12">
        <v>169320</v>
      </c>
      <c r="H51" s="292">
        <v>50</v>
      </c>
      <c r="I51" s="292">
        <v>7000</v>
      </c>
      <c r="J51" s="292">
        <v>128950</v>
      </c>
    </row>
    <row r="52" spans="3:10" x14ac:dyDescent="0.25">
      <c r="C52" s="22" t="str">
        <f t="shared" si="1"/>
        <v/>
      </c>
      <c r="E52" s="12">
        <v>51</v>
      </c>
      <c r="F52" s="12">
        <v>9540</v>
      </c>
      <c r="G52" s="12">
        <v>178500</v>
      </c>
      <c r="H52" s="292">
        <v>51</v>
      </c>
      <c r="I52" s="292">
        <v>7270</v>
      </c>
      <c r="J52" s="292">
        <v>135950</v>
      </c>
    </row>
    <row r="53" spans="3:10" x14ac:dyDescent="0.25">
      <c r="C53" s="22" t="str">
        <f t="shared" si="1"/>
        <v/>
      </c>
      <c r="E53" s="12">
        <v>52</v>
      </c>
      <c r="F53" s="12">
        <v>9900</v>
      </c>
      <c r="G53" s="12">
        <v>188040</v>
      </c>
      <c r="H53" s="292">
        <v>52</v>
      </c>
      <c r="I53" s="292">
        <v>7540</v>
      </c>
      <c r="J53" s="292">
        <v>143220</v>
      </c>
    </row>
    <row r="54" spans="3:10" x14ac:dyDescent="0.25">
      <c r="C54" s="22" t="str">
        <f t="shared" si="1"/>
        <v/>
      </c>
      <c r="E54" s="12">
        <v>53</v>
      </c>
      <c r="F54" s="12">
        <v>10260</v>
      </c>
      <c r="G54" s="12">
        <v>197940</v>
      </c>
      <c r="H54" s="292">
        <v>53</v>
      </c>
      <c r="I54" s="292">
        <v>7810</v>
      </c>
      <c r="J54" s="292">
        <v>150760</v>
      </c>
    </row>
    <row r="55" spans="3:10" x14ac:dyDescent="0.25">
      <c r="C55" s="22" t="str">
        <f t="shared" si="1"/>
        <v/>
      </c>
      <c r="E55" s="12">
        <v>54</v>
      </c>
      <c r="F55" s="12">
        <v>10620</v>
      </c>
      <c r="G55" s="12">
        <v>208200</v>
      </c>
      <c r="H55" s="292">
        <v>54</v>
      </c>
      <c r="I55" s="292">
        <v>8080</v>
      </c>
      <c r="J55" s="292">
        <v>158570</v>
      </c>
    </row>
    <row r="56" spans="3:10" x14ac:dyDescent="0.25">
      <c r="C56" s="22" t="str">
        <f t="shared" si="1"/>
        <v/>
      </c>
      <c r="E56" s="12">
        <v>55</v>
      </c>
      <c r="F56" s="12">
        <v>10980</v>
      </c>
      <c r="G56" s="12">
        <v>218820</v>
      </c>
      <c r="H56" s="292">
        <v>55</v>
      </c>
      <c r="I56" s="292">
        <v>8350</v>
      </c>
      <c r="J56" s="292">
        <v>166650</v>
      </c>
    </row>
    <row r="57" spans="3:10" x14ac:dyDescent="0.25">
      <c r="C57" s="22" t="str">
        <f t="shared" si="1"/>
        <v/>
      </c>
      <c r="E57" s="12">
        <v>56</v>
      </c>
      <c r="F57" s="12">
        <v>11340</v>
      </c>
      <c r="G57" s="12">
        <v>229800</v>
      </c>
      <c r="H57" s="292">
        <v>56</v>
      </c>
      <c r="I57" s="292">
        <v>8620</v>
      </c>
      <c r="J57" s="292">
        <v>175000</v>
      </c>
    </row>
    <row r="58" spans="3:10" x14ac:dyDescent="0.25">
      <c r="C58" s="22" t="str">
        <f t="shared" si="1"/>
        <v/>
      </c>
      <c r="E58" s="12">
        <v>57</v>
      </c>
      <c r="F58" s="12">
        <v>11700</v>
      </c>
      <c r="G58" s="12">
        <v>241140</v>
      </c>
      <c r="H58" s="292">
        <v>57</v>
      </c>
      <c r="I58" s="292">
        <v>8890</v>
      </c>
      <c r="J58" s="292">
        <v>183620</v>
      </c>
    </row>
    <row r="59" spans="3:10" x14ac:dyDescent="0.25">
      <c r="C59" s="22" t="str">
        <f t="shared" si="1"/>
        <v/>
      </c>
      <c r="E59" s="12">
        <v>58</v>
      </c>
      <c r="F59" s="12">
        <v>12060</v>
      </c>
      <c r="G59" s="12">
        <v>252840</v>
      </c>
      <c r="H59" s="292">
        <v>58</v>
      </c>
      <c r="I59" s="292">
        <v>9160</v>
      </c>
      <c r="J59" s="292">
        <v>192510</v>
      </c>
    </row>
    <row r="60" spans="3:10" x14ac:dyDescent="0.25">
      <c r="C60" s="22" t="str">
        <f t="shared" si="1"/>
        <v/>
      </c>
      <c r="E60" s="12">
        <v>59</v>
      </c>
      <c r="F60" s="12">
        <v>12420</v>
      </c>
      <c r="G60" s="12">
        <v>264900</v>
      </c>
      <c r="H60" s="292">
        <v>59</v>
      </c>
      <c r="I60" s="292">
        <v>9430</v>
      </c>
      <c r="J60" s="292">
        <v>201670</v>
      </c>
    </row>
    <row r="61" spans="3:10" x14ac:dyDescent="0.25">
      <c r="C61" s="22" t="str">
        <f t="shared" si="1"/>
        <v/>
      </c>
      <c r="E61" s="12">
        <v>60</v>
      </c>
      <c r="F61" s="12">
        <v>12780</v>
      </c>
      <c r="G61" s="12">
        <v>277320</v>
      </c>
      <c r="H61" s="292">
        <v>60</v>
      </c>
      <c r="I61" s="292">
        <v>9700</v>
      </c>
      <c r="J61" s="292">
        <v>211100</v>
      </c>
    </row>
    <row r="62" spans="3:10" x14ac:dyDescent="0.25">
      <c r="C62" s="22" t="str">
        <f t="shared" si="1"/>
        <v/>
      </c>
      <c r="E62" s="12">
        <v>61</v>
      </c>
      <c r="F62" s="12">
        <v>13230</v>
      </c>
      <c r="G62" s="12">
        <v>290100</v>
      </c>
      <c r="H62" s="292">
        <v>61</v>
      </c>
      <c r="I62" s="292">
        <v>10040</v>
      </c>
      <c r="J62" s="292">
        <v>220800</v>
      </c>
    </row>
    <row r="63" spans="3:10" x14ac:dyDescent="0.25">
      <c r="C63" s="22" t="str">
        <f t="shared" si="1"/>
        <v/>
      </c>
      <c r="E63" s="12">
        <v>62</v>
      </c>
      <c r="F63" s="12">
        <v>13680</v>
      </c>
      <c r="G63" s="12">
        <v>303330</v>
      </c>
      <c r="H63" s="292">
        <v>62</v>
      </c>
      <c r="I63" s="292">
        <v>10380</v>
      </c>
      <c r="J63" s="292">
        <v>230840</v>
      </c>
    </row>
    <row r="64" spans="3:10" x14ac:dyDescent="0.25">
      <c r="C64" s="22" t="str">
        <f t="shared" si="1"/>
        <v/>
      </c>
      <c r="E64" s="12">
        <v>63</v>
      </c>
      <c r="F64" s="12">
        <v>14130</v>
      </c>
      <c r="G64" s="12">
        <v>317010</v>
      </c>
      <c r="H64" s="292">
        <v>63</v>
      </c>
      <c r="I64" s="292">
        <v>10720</v>
      </c>
      <c r="J64" s="292">
        <v>241220</v>
      </c>
    </row>
    <row r="65" spans="3:10" x14ac:dyDescent="0.25">
      <c r="C65" s="22" t="str">
        <f t="shared" si="1"/>
        <v/>
      </c>
      <c r="E65" s="12">
        <v>64</v>
      </c>
      <c r="F65" s="12">
        <v>14580</v>
      </c>
      <c r="G65" s="12">
        <v>331140</v>
      </c>
      <c r="H65" s="292">
        <v>64</v>
      </c>
      <c r="I65" s="292">
        <v>11060</v>
      </c>
      <c r="J65" s="292">
        <v>251940</v>
      </c>
    </row>
    <row r="66" spans="3:10" x14ac:dyDescent="0.25">
      <c r="C66" s="22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92">
        <v>65</v>
      </c>
      <c r="I66" s="292">
        <v>11400</v>
      </c>
      <c r="J66" s="292">
        <v>263000</v>
      </c>
    </row>
    <row r="67" spans="3:10" x14ac:dyDescent="0.25">
      <c r="C67" s="22" t="str">
        <f t="shared" si="2"/>
        <v/>
      </c>
      <c r="E67" s="12">
        <v>66</v>
      </c>
      <c r="F67" s="12">
        <v>15480</v>
      </c>
      <c r="G67" s="12">
        <v>360750</v>
      </c>
      <c r="H67" s="292">
        <v>66</v>
      </c>
      <c r="I67" s="292">
        <v>11740</v>
      </c>
      <c r="J67" s="292">
        <v>274400</v>
      </c>
    </row>
    <row r="68" spans="3:10" x14ac:dyDescent="0.25">
      <c r="C68" s="22" t="str">
        <f t="shared" si="2"/>
        <v/>
      </c>
      <c r="E68" s="12">
        <v>67</v>
      </c>
      <c r="F68" s="12">
        <v>15930</v>
      </c>
      <c r="G68" s="12">
        <v>376230</v>
      </c>
      <c r="H68" s="292">
        <v>67</v>
      </c>
      <c r="I68" s="292">
        <v>12080</v>
      </c>
      <c r="J68" s="292">
        <v>286140</v>
      </c>
    </row>
    <row r="69" spans="3:10" x14ac:dyDescent="0.25">
      <c r="C69" s="22" t="str">
        <f t="shared" si="2"/>
        <v/>
      </c>
      <c r="E69" s="12">
        <v>68</v>
      </c>
      <c r="F69" s="12">
        <v>16380</v>
      </c>
      <c r="G69" s="12">
        <v>392160</v>
      </c>
      <c r="H69" s="292">
        <v>68</v>
      </c>
      <c r="I69" s="292">
        <v>12420</v>
      </c>
      <c r="J69" s="292">
        <v>298220</v>
      </c>
    </row>
    <row r="70" spans="3:10" x14ac:dyDescent="0.25">
      <c r="C70" s="22" t="str">
        <f t="shared" si="2"/>
        <v/>
      </c>
      <c r="E70" s="12">
        <v>69</v>
      </c>
      <c r="F70" s="12">
        <v>16830</v>
      </c>
      <c r="G70" s="12">
        <v>408540</v>
      </c>
      <c r="H70" s="292">
        <v>69</v>
      </c>
      <c r="I70" s="292">
        <v>12760</v>
      </c>
      <c r="J70" s="292">
        <v>310640</v>
      </c>
    </row>
    <row r="71" spans="3:10" x14ac:dyDescent="0.25">
      <c r="C71" s="22" t="str">
        <f t="shared" si="2"/>
        <v/>
      </c>
      <c r="E71" s="12">
        <v>70</v>
      </c>
      <c r="F71" s="12">
        <v>17280</v>
      </c>
      <c r="G71" s="12">
        <v>425370</v>
      </c>
      <c r="H71" s="292">
        <v>70</v>
      </c>
      <c r="I71" s="292">
        <v>13100</v>
      </c>
      <c r="J71" s="292">
        <v>323400</v>
      </c>
    </row>
    <row r="72" spans="3:10" x14ac:dyDescent="0.25">
      <c r="C72" s="22" t="str">
        <f t="shared" si="2"/>
        <v/>
      </c>
      <c r="E72" s="12">
        <v>71</v>
      </c>
      <c r="F72" s="12">
        <v>17880</v>
      </c>
      <c r="G72" s="12">
        <v>442650</v>
      </c>
      <c r="H72" s="292">
        <v>71</v>
      </c>
      <c r="I72" s="292">
        <v>13550</v>
      </c>
      <c r="J72" s="292">
        <v>336500</v>
      </c>
    </row>
    <row r="73" spans="3:10" x14ac:dyDescent="0.25">
      <c r="C73" s="22" t="str">
        <f t="shared" si="2"/>
        <v/>
      </c>
      <c r="E73" s="12">
        <v>72</v>
      </c>
      <c r="F73" s="12">
        <v>18480</v>
      </c>
      <c r="G73" s="12">
        <v>460530</v>
      </c>
      <c r="H73" s="292">
        <v>72</v>
      </c>
      <c r="I73" s="292">
        <v>14000</v>
      </c>
      <c r="J73" s="292">
        <v>350050</v>
      </c>
    </row>
    <row r="74" spans="3:10" x14ac:dyDescent="0.25">
      <c r="C74" s="22" t="str">
        <f t="shared" si="2"/>
        <v/>
      </c>
      <c r="E74" s="12">
        <v>73</v>
      </c>
      <c r="F74" s="12">
        <v>19080</v>
      </c>
      <c r="G74" s="12">
        <v>479010</v>
      </c>
      <c r="H74" s="292">
        <v>73</v>
      </c>
      <c r="I74" s="292">
        <v>14450</v>
      </c>
      <c r="J74" s="292">
        <v>364050</v>
      </c>
    </row>
    <row r="75" spans="3:10" x14ac:dyDescent="0.25">
      <c r="C75" s="22" t="str">
        <f t="shared" si="2"/>
        <v/>
      </c>
      <c r="E75" s="12">
        <v>74</v>
      </c>
      <c r="F75" s="12">
        <v>19680</v>
      </c>
      <c r="G75" s="12">
        <v>498090</v>
      </c>
      <c r="H75" s="292">
        <v>74</v>
      </c>
      <c r="I75" s="292">
        <v>14900</v>
      </c>
      <c r="J75" s="292">
        <v>378500</v>
      </c>
    </row>
    <row r="76" spans="3:10" x14ac:dyDescent="0.25">
      <c r="C76" s="22" t="str">
        <f t="shared" si="2"/>
        <v/>
      </c>
      <c r="E76" s="12">
        <v>75</v>
      </c>
      <c r="F76" s="12">
        <v>20280</v>
      </c>
      <c r="G76" s="12">
        <v>517770</v>
      </c>
      <c r="H76" s="292">
        <v>75</v>
      </c>
      <c r="I76" s="292">
        <v>15350</v>
      </c>
      <c r="J76" s="292">
        <v>393400</v>
      </c>
    </row>
    <row r="77" spans="3:10" x14ac:dyDescent="0.25">
      <c r="C77" s="22" t="str">
        <f t="shared" si="2"/>
        <v/>
      </c>
      <c r="E77" s="12">
        <v>76</v>
      </c>
      <c r="F77" s="12">
        <v>20880</v>
      </c>
      <c r="G77" s="12">
        <v>538050</v>
      </c>
      <c r="H77" s="292">
        <v>76</v>
      </c>
      <c r="I77" s="292">
        <v>15800</v>
      </c>
      <c r="J77" s="292">
        <v>408750</v>
      </c>
    </row>
    <row r="78" spans="3:10" x14ac:dyDescent="0.25">
      <c r="C78" s="22" t="str">
        <f t="shared" si="2"/>
        <v/>
      </c>
      <c r="E78" s="12">
        <v>77</v>
      </c>
      <c r="F78" s="12">
        <v>21480</v>
      </c>
      <c r="G78" s="12">
        <v>558930</v>
      </c>
      <c r="H78" s="292">
        <v>77</v>
      </c>
      <c r="I78" s="292">
        <v>16250</v>
      </c>
      <c r="J78" s="292">
        <v>424550</v>
      </c>
    </row>
    <row r="79" spans="3:10" x14ac:dyDescent="0.25">
      <c r="C79" s="22" t="str">
        <f t="shared" si="2"/>
        <v/>
      </c>
      <c r="E79" s="12">
        <v>78</v>
      </c>
      <c r="F79" s="12">
        <v>22080</v>
      </c>
      <c r="G79" s="12">
        <v>580410</v>
      </c>
      <c r="H79" s="292">
        <v>78</v>
      </c>
      <c r="I79" s="292">
        <v>16700</v>
      </c>
      <c r="J79" s="292">
        <v>440800</v>
      </c>
    </row>
    <row r="80" spans="3:10" x14ac:dyDescent="0.25">
      <c r="C80" s="22" t="str">
        <f t="shared" si="2"/>
        <v/>
      </c>
      <c r="E80" s="12">
        <v>79</v>
      </c>
      <c r="F80" s="12">
        <v>22680</v>
      </c>
      <c r="G80" s="12">
        <v>602490</v>
      </c>
      <c r="H80" s="292">
        <v>79</v>
      </c>
      <c r="I80" s="292">
        <v>17150</v>
      </c>
      <c r="J80" s="292">
        <v>457500</v>
      </c>
    </row>
    <row r="81" spans="3:10" x14ac:dyDescent="0.25">
      <c r="C81" s="22" t="str">
        <f t="shared" si="2"/>
        <v/>
      </c>
      <c r="E81" s="12">
        <v>80</v>
      </c>
      <c r="F81" s="12">
        <v>23280</v>
      </c>
      <c r="G81" s="12">
        <v>625170</v>
      </c>
      <c r="H81" s="292">
        <v>80</v>
      </c>
      <c r="I81" s="292">
        <v>17600</v>
      </c>
      <c r="J81" s="292">
        <v>474650</v>
      </c>
    </row>
    <row r="82" spans="3:10" x14ac:dyDescent="0.25">
      <c r="C82" s="22" t="str">
        <f t="shared" si="2"/>
        <v/>
      </c>
      <c r="E82" s="12">
        <v>81</v>
      </c>
      <c r="F82" s="12">
        <v>24030</v>
      </c>
      <c r="G82" s="12">
        <v>648450</v>
      </c>
      <c r="H82" s="292">
        <v>81</v>
      </c>
      <c r="I82" s="292">
        <v>18160</v>
      </c>
      <c r="J82" s="292">
        <v>492250</v>
      </c>
    </row>
    <row r="83" spans="3:10" x14ac:dyDescent="0.25">
      <c r="C83" s="22" t="str">
        <f t="shared" si="2"/>
        <v/>
      </c>
      <c r="E83" s="12">
        <v>82</v>
      </c>
      <c r="F83" s="12">
        <v>24780</v>
      </c>
      <c r="G83" s="12">
        <v>672480</v>
      </c>
      <c r="H83" s="292">
        <v>82</v>
      </c>
      <c r="I83" s="292">
        <v>18720</v>
      </c>
      <c r="J83" s="292">
        <v>510410</v>
      </c>
    </row>
    <row r="84" spans="3:10" x14ac:dyDescent="0.25">
      <c r="C84" s="22" t="str">
        <f t="shared" si="2"/>
        <v/>
      </c>
      <c r="E84" s="12">
        <v>83</v>
      </c>
      <c r="F84" s="12">
        <v>25530</v>
      </c>
      <c r="G84" s="12">
        <v>697260</v>
      </c>
      <c r="H84" s="292">
        <v>83</v>
      </c>
      <c r="I84" s="292">
        <v>19280</v>
      </c>
      <c r="J84" s="292">
        <v>529130</v>
      </c>
    </row>
    <row r="85" spans="3:10" x14ac:dyDescent="0.25">
      <c r="C85" s="22" t="str">
        <f t="shared" si="2"/>
        <v/>
      </c>
      <c r="E85" s="12">
        <v>84</v>
      </c>
      <c r="F85" s="12">
        <v>26280</v>
      </c>
      <c r="G85" s="12">
        <v>722790</v>
      </c>
      <c r="H85" s="292">
        <v>84</v>
      </c>
      <c r="I85" s="292">
        <v>19840</v>
      </c>
      <c r="J85" s="292">
        <v>548410</v>
      </c>
    </row>
    <row r="86" spans="3:10" x14ac:dyDescent="0.25">
      <c r="C86" s="22" t="str">
        <f t="shared" si="2"/>
        <v/>
      </c>
      <c r="E86" s="12">
        <v>85</v>
      </c>
      <c r="F86" s="12">
        <v>27030</v>
      </c>
      <c r="G86" s="12">
        <v>749070</v>
      </c>
      <c r="H86" s="292">
        <v>85</v>
      </c>
      <c r="I86" s="292">
        <v>20400</v>
      </c>
      <c r="J86" s="292">
        <v>568250</v>
      </c>
    </row>
    <row r="87" spans="3:10" x14ac:dyDescent="0.25">
      <c r="C87" s="22" t="str">
        <f t="shared" si="2"/>
        <v/>
      </c>
      <c r="E87" s="12">
        <v>86</v>
      </c>
      <c r="F87" s="12">
        <v>27780</v>
      </c>
      <c r="G87" s="12">
        <v>776100</v>
      </c>
      <c r="H87" s="292">
        <v>86</v>
      </c>
      <c r="I87" s="292">
        <v>20960</v>
      </c>
      <c r="J87" s="292">
        <v>588650</v>
      </c>
    </row>
    <row r="88" spans="3:10" x14ac:dyDescent="0.25">
      <c r="C88" s="22" t="str">
        <f t="shared" si="2"/>
        <v/>
      </c>
      <c r="E88" s="12">
        <v>87</v>
      </c>
      <c r="F88" s="12">
        <v>28530</v>
      </c>
      <c r="G88" s="12">
        <v>803880</v>
      </c>
      <c r="H88" s="292">
        <v>87</v>
      </c>
      <c r="I88" s="292">
        <v>21520</v>
      </c>
      <c r="J88" s="292">
        <v>609610</v>
      </c>
    </row>
    <row r="89" spans="3:10" x14ac:dyDescent="0.25">
      <c r="C89" s="22" t="str">
        <f t="shared" si="2"/>
        <v/>
      </c>
      <c r="E89" s="12">
        <v>88</v>
      </c>
      <c r="F89" s="12">
        <v>29280</v>
      </c>
      <c r="G89" s="12">
        <v>832410</v>
      </c>
      <c r="H89" s="292">
        <v>88</v>
      </c>
      <c r="I89" s="292">
        <v>22080</v>
      </c>
      <c r="J89" s="292">
        <v>631130</v>
      </c>
    </row>
    <row r="90" spans="3:10" x14ac:dyDescent="0.25">
      <c r="C90" s="22" t="str">
        <f t="shared" si="2"/>
        <v/>
      </c>
      <c r="E90" s="12">
        <v>89</v>
      </c>
      <c r="F90" s="12">
        <v>30030</v>
      </c>
      <c r="G90" s="12">
        <v>861690</v>
      </c>
      <c r="H90" s="292">
        <v>89</v>
      </c>
      <c r="I90" s="292">
        <v>22640</v>
      </c>
      <c r="J90" s="292">
        <v>653210</v>
      </c>
    </row>
    <row r="91" spans="3:10" x14ac:dyDescent="0.25">
      <c r="C91" s="22" t="str">
        <f t="shared" si="2"/>
        <v/>
      </c>
      <c r="E91" s="12">
        <v>90</v>
      </c>
      <c r="F91" s="12">
        <v>30780</v>
      </c>
      <c r="G91" s="12">
        <v>891720</v>
      </c>
      <c r="H91" s="292">
        <v>90</v>
      </c>
      <c r="I91" s="292">
        <v>23200</v>
      </c>
      <c r="J91" s="292">
        <v>675850</v>
      </c>
    </row>
    <row r="92" spans="3:10" x14ac:dyDescent="0.25">
      <c r="C92" s="22" t="str">
        <f t="shared" si="2"/>
        <v/>
      </c>
      <c r="E92" s="12">
        <v>91</v>
      </c>
      <c r="F92" s="12">
        <v>31680</v>
      </c>
      <c r="G92" s="12">
        <v>922500</v>
      </c>
      <c r="H92" s="292">
        <v>91</v>
      </c>
      <c r="I92" s="292">
        <v>23880</v>
      </c>
      <c r="J92" s="292">
        <v>699050</v>
      </c>
    </row>
    <row r="93" spans="3:10" x14ac:dyDescent="0.25">
      <c r="C93" s="22" t="str">
        <f t="shared" si="2"/>
        <v/>
      </c>
      <c r="E93" s="12">
        <v>92</v>
      </c>
      <c r="F93" s="12">
        <v>32580</v>
      </c>
      <c r="G93" s="12">
        <v>954180</v>
      </c>
      <c r="H93" s="292">
        <v>92</v>
      </c>
      <c r="I93" s="292">
        <v>24560</v>
      </c>
      <c r="J93" s="292">
        <v>722930</v>
      </c>
    </row>
    <row r="94" spans="3:10" x14ac:dyDescent="0.25">
      <c r="C94" s="22" t="str">
        <f t="shared" si="2"/>
        <v/>
      </c>
      <c r="E94" s="12">
        <v>93</v>
      </c>
      <c r="F94" s="12">
        <v>33480</v>
      </c>
      <c r="G94" s="12">
        <v>986760</v>
      </c>
      <c r="H94" s="292">
        <v>93</v>
      </c>
      <c r="I94" s="292">
        <v>25240</v>
      </c>
      <c r="J94" s="292">
        <v>747490</v>
      </c>
    </row>
    <row r="95" spans="3:10" x14ac:dyDescent="0.25">
      <c r="C95" s="22" t="str">
        <f t="shared" si="2"/>
        <v/>
      </c>
      <c r="E95" s="12">
        <v>94</v>
      </c>
      <c r="F95" s="12">
        <v>34380</v>
      </c>
      <c r="G95" s="12">
        <v>1020240</v>
      </c>
      <c r="H95" s="292">
        <v>94</v>
      </c>
      <c r="I95" s="292">
        <v>25920</v>
      </c>
      <c r="J95" s="292">
        <v>772730</v>
      </c>
    </row>
    <row r="96" spans="3:10" x14ac:dyDescent="0.25">
      <c r="C96" s="22" t="str">
        <f t="shared" si="2"/>
        <v/>
      </c>
      <c r="E96" s="12">
        <v>95</v>
      </c>
      <c r="F96" s="12">
        <v>35280</v>
      </c>
      <c r="G96" s="12">
        <v>1054620</v>
      </c>
      <c r="H96" s="292">
        <v>95</v>
      </c>
      <c r="I96" s="292">
        <v>26600</v>
      </c>
      <c r="J96" s="292">
        <v>798650</v>
      </c>
    </row>
    <row r="97" spans="3:10" x14ac:dyDescent="0.25">
      <c r="C97" s="22" t="str">
        <f t="shared" si="2"/>
        <v/>
      </c>
      <c r="E97" s="12">
        <v>96</v>
      </c>
      <c r="F97" s="12">
        <v>36180</v>
      </c>
      <c r="G97" s="12">
        <v>1089900</v>
      </c>
      <c r="H97" s="292">
        <v>96</v>
      </c>
      <c r="I97" s="292">
        <v>27280</v>
      </c>
      <c r="J97" s="292">
        <v>825250</v>
      </c>
    </row>
    <row r="98" spans="3:10" x14ac:dyDescent="0.25">
      <c r="C98" s="22" t="str">
        <f>IF(ISBLANK(A98),"",A98/B98)</f>
        <v/>
      </c>
      <c r="E98" s="12">
        <v>97</v>
      </c>
      <c r="F98" s="12">
        <v>37080</v>
      </c>
      <c r="G98" s="12">
        <v>1126080</v>
      </c>
      <c r="H98" s="292">
        <v>97</v>
      </c>
      <c r="I98" s="292">
        <v>27960</v>
      </c>
      <c r="J98" s="292">
        <v>852530</v>
      </c>
    </row>
    <row r="99" spans="3:10" x14ac:dyDescent="0.25">
      <c r="C99" s="22" t="str">
        <f>IF(ISBLANK(A99),"",A99/B99)</f>
        <v/>
      </c>
      <c r="E99" s="12">
        <v>98</v>
      </c>
      <c r="F99" s="12">
        <v>37980</v>
      </c>
      <c r="G99" s="12">
        <v>1163160</v>
      </c>
      <c r="H99" s="292">
        <v>98</v>
      </c>
      <c r="I99" s="292">
        <v>28640</v>
      </c>
      <c r="J99" s="292">
        <v>880490</v>
      </c>
    </row>
    <row r="100" spans="3:10" x14ac:dyDescent="0.25">
      <c r="C100" s="22" t="str">
        <f>IF(ISBLANK(A100),"",A100/B100)</f>
        <v/>
      </c>
      <c r="E100" s="12">
        <v>99</v>
      </c>
      <c r="F100" s="12">
        <v>38880</v>
      </c>
      <c r="G100" s="12">
        <v>1201140</v>
      </c>
      <c r="H100" s="292">
        <v>99</v>
      </c>
      <c r="I100" s="292">
        <v>29320</v>
      </c>
      <c r="J100" s="292">
        <v>909130</v>
      </c>
    </row>
    <row r="101" spans="3:10" x14ac:dyDescent="0.25">
      <c r="C101" s="22" t="str">
        <f>IF(ISBLANK(A101),"",A101/B101)</f>
        <v/>
      </c>
      <c r="E101" s="12">
        <v>100</v>
      </c>
      <c r="F101" s="12">
        <v>0</v>
      </c>
      <c r="G101" s="12">
        <v>1240020</v>
      </c>
      <c r="H101" s="292">
        <v>100</v>
      </c>
      <c r="I101" s="292">
        <v>0</v>
      </c>
      <c r="J101" s="292">
        <v>938450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3"/>
    <col min="2" max="4" width="9.28515625" style="33" customWidth="1"/>
    <col min="5" max="5" width="9.28515625" style="212" customWidth="1"/>
    <col min="6" max="7" width="8.28515625" style="212"/>
    <col min="8" max="16384" width="8.28515625" style="33"/>
  </cols>
  <sheetData>
    <row r="1" spans="1:15" ht="18" customHeight="1" x14ac:dyDescent="0.25">
      <c r="B1" s="23" t="s">
        <v>64</v>
      </c>
      <c r="C1" s="24" t="s">
        <v>65</v>
      </c>
      <c r="D1" s="263" t="s">
        <v>149</v>
      </c>
      <c r="E1" s="25" t="s">
        <v>150</v>
      </c>
      <c r="F1" s="531" t="s">
        <v>25</v>
      </c>
      <c r="H1" s="21"/>
      <c r="I1" s="20" t="s">
        <v>27</v>
      </c>
      <c r="J1" s="20" t="s">
        <v>43</v>
      </c>
      <c r="K1" s="20" t="s">
        <v>64</v>
      </c>
      <c r="L1" s="20" t="s">
        <v>65</v>
      </c>
      <c r="M1" s="20" t="s">
        <v>149</v>
      </c>
      <c r="N1" s="20" t="s">
        <v>150</v>
      </c>
    </row>
    <row r="2" spans="1:15" ht="18" customHeight="1" x14ac:dyDescent="0.25">
      <c r="A2" s="212"/>
      <c r="B2" s="23" t="s">
        <v>70</v>
      </c>
      <c r="C2" s="24" t="s">
        <v>69</v>
      </c>
      <c r="D2" s="263" t="s">
        <v>69</v>
      </c>
      <c r="E2" s="25" t="s">
        <v>70</v>
      </c>
      <c r="F2" s="531"/>
      <c r="H2" s="20" t="s">
        <v>44</v>
      </c>
      <c r="I2" s="127">
        <v>311202</v>
      </c>
      <c r="J2" s="127">
        <v>9</v>
      </c>
      <c r="K2" s="127">
        <v>94</v>
      </c>
      <c r="L2" s="127">
        <v>2818</v>
      </c>
      <c r="M2" s="127">
        <v>1583</v>
      </c>
      <c r="N2" s="127">
        <v>54</v>
      </c>
    </row>
    <row r="3" spans="1:15" ht="18" customHeight="1" x14ac:dyDescent="0.25">
      <c r="A3" s="219" t="s">
        <v>83</v>
      </c>
      <c r="B3" s="243">
        <f>IF(VOID_FIRE_GOLEM_GOLD&gt;0,F3/VOID_FIRE_GOLEM_GOLD,"")</f>
        <v>17.285714285714285</v>
      </c>
      <c r="C3" s="243">
        <f>IF(VOID_FIRE_GOLEM_SILVER&gt;0,VOID_FIRE_GOLEM_SILVER/F3,"")</f>
        <v>2.2644628099173554</v>
      </c>
      <c r="D3" s="243">
        <f>IF(VOID_FIRE_GOLEM_SILVER2&gt;0,VOID_FIRE_GOLEM_SILVER2/F3,"")</f>
        <v>3.1322314049586777</v>
      </c>
      <c r="E3" s="244">
        <f>IF(VOID_FIRE_GOLEM_SPEC&gt;0,F3/VOID_FIRE_GOLEM_SPEC,"")</f>
        <v>13.444444444444445</v>
      </c>
      <c r="F3" s="211">
        <f>IF(VOID_FIRE_GOLEM_GAMES&gt;0,VOID_FIRE_GOLEM_GAMES,"")</f>
        <v>121</v>
      </c>
      <c r="H3" s="20" t="s">
        <v>45</v>
      </c>
      <c r="I3" s="127">
        <v>310252</v>
      </c>
      <c r="J3" s="127">
        <v>7</v>
      </c>
      <c r="K3" s="127">
        <v>107</v>
      </c>
      <c r="L3" s="127">
        <v>3149</v>
      </c>
      <c r="M3" s="127">
        <v>1971</v>
      </c>
      <c r="N3" s="127">
        <v>61</v>
      </c>
    </row>
    <row r="4" spans="1:15" ht="18" customHeight="1" x14ac:dyDescent="0.25">
      <c r="A4" s="219" t="s">
        <v>108</v>
      </c>
      <c r="B4" s="243" t="str">
        <f>IF(VOID_FIRE_GHOST_GOLD&gt;0,F4/VOID_FIRE_GHOST_GOLD,"")</f>
        <v/>
      </c>
      <c r="C4" s="243">
        <f>IF(VOID_FIRE_GHOST_SILVER&gt;0,VOID_FIRE_GHOST_SILVER/F4,"")</f>
        <v>1.6666666666666667</v>
      </c>
      <c r="D4" s="243">
        <f>IF(VOID_FIRE_GHOST_SILVER2&gt;0,VOID_FIRE_GHOST_SILVER2/F4,"")</f>
        <v>0.33333333333333331</v>
      </c>
      <c r="E4" s="244">
        <f>IF(VOID_FIRE_GHOST_SPEC&gt;0,F4/VOID_FIRE_GHOST_SPEC,"")</f>
        <v>3</v>
      </c>
      <c r="F4" s="211">
        <f>IF(VOID_FIRE_GHOST_GAMES&gt;0,VOID_FIRE_GHOST_GAMES,"")</f>
        <v>6</v>
      </c>
    </row>
    <row r="5" spans="1:15" ht="18" customHeight="1" x14ac:dyDescent="0.25">
      <c r="A5" s="219" t="s">
        <v>110</v>
      </c>
      <c r="B5" s="243">
        <f>IF(VOID_FIRE_AGNI_GOLD&gt;0,F5/VOID_FIRE_AGNI_GOLD,"")</f>
        <v>11.041666666666666</v>
      </c>
      <c r="C5" s="243">
        <f>IF(VOID_FIRE_AGNI_SILVER&gt;0,VOID_FIRE_AGNI_SILVER/F5,"")</f>
        <v>2.9245283018867925</v>
      </c>
      <c r="D5" s="243">
        <f>IF(VOID_FIRE_AGNI_SILVER2&gt;0,VOID_FIRE_AGNI_SILVER2/F5,"")</f>
        <v>3.4566037735849058</v>
      </c>
      <c r="E5" s="244">
        <f>IF(VOID_FIRE_AGNI_SPEC&gt;0,F5/VOID_FIRE_AGNI_SPEC,"")</f>
        <v>7.3611111111111107</v>
      </c>
      <c r="F5" s="211">
        <f>IF(VOID_FIRE_AGNI_GAMES&gt;0,VOID_FIRE_AGNI_GAMES,"")</f>
        <v>265</v>
      </c>
      <c r="H5" s="33" t="s">
        <v>25</v>
      </c>
      <c r="K5" s="33" t="s">
        <v>64</v>
      </c>
      <c r="L5" s="33" t="s">
        <v>65</v>
      </c>
      <c r="M5" s="33" t="s">
        <v>71</v>
      </c>
      <c r="N5" s="48" t="s">
        <v>68</v>
      </c>
    </row>
    <row r="6" spans="1:15" ht="18" customHeight="1" x14ac:dyDescent="0.25">
      <c r="A6" s="224" t="s">
        <v>160</v>
      </c>
      <c r="B6" s="243">
        <f>IF(VOID_WATER_POSEIDON_GOLD&gt;0,F6/VOID_WATER_POSEIDON_GOLD,"")</f>
        <v>12.1</v>
      </c>
      <c r="C6" s="243">
        <f>IF(VOID_WATER_POSEIDON_SILVER&gt;0,VOID_WATER_POSEIDON_SILVER/F6,"")</f>
        <v>3.0413223140495869</v>
      </c>
      <c r="D6" s="243">
        <f>IF(VOID_WATER_POSEIDON_SILVER2&gt;0,VOID_WATER_POSEIDON_SILVER2/F6,"")</f>
        <v>3.3057851239669422</v>
      </c>
      <c r="E6" s="244">
        <f>IF(VOID_WATER_POSEIDON_SPEC&gt;0,F6/VOID_WATER_POSEIDON_SPEC,"")</f>
        <v>10.083333333333334</v>
      </c>
      <c r="F6" s="306">
        <f>IF(VOID_WATER_POSEIDON_GAMES&gt;0,VOID_WATER_POSEIDON_GAMES,"")</f>
        <v>121</v>
      </c>
      <c r="H6" s="17">
        <f>(I2-I3)/WINGS_RECOVER_DIAMS*6 + (J2-J3)/WINGS_CONSUME_VOID</f>
        <v>115</v>
      </c>
      <c r="J6" s="33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224" t="s">
        <v>109</v>
      </c>
      <c r="B7" s="243" t="str">
        <f>IF(VOID_WATER_HERMIT_GOLD&gt;0,F7/VOID_WATER_HERMIT_GOLD,"")</f>
        <v/>
      </c>
      <c r="C7" s="243">
        <f>IF(VOID_WATER_HERMIT_SILVER&gt;0,VOID_WATER_HERMIT_SILVER/F7,"")</f>
        <v>2.1</v>
      </c>
      <c r="D7" s="243">
        <f>IF(VOID_WATER_HERMIT_SILVER2&gt;0,VOID_WATER_HERMIT_SILVER2/F7,"")</f>
        <v>3.3</v>
      </c>
      <c r="E7" s="244">
        <f>IF(VOID_WATER_HERMIT_SPEC&gt;0,F7/VOID_WATER_HERMIT_SPEC,"")</f>
        <v>2.5</v>
      </c>
      <c r="F7" s="211">
        <f>IF(VOID_WATER_HERMIT_GAMES&gt;0,VOID_WATER_HERMIT_GAMES,"")</f>
        <v>10</v>
      </c>
      <c r="J7" s="33" t="s">
        <v>67</v>
      </c>
      <c r="K7" s="17">
        <f>IFERROR(K6/$H$6,"")</f>
        <v>0.11304347826086956</v>
      </c>
      <c r="L7" s="17">
        <f>IFERROR(L6/$H$6,"")</f>
        <v>2.8782608695652172</v>
      </c>
      <c r="M7" s="17">
        <f>IFERROR(M6/$H$6,"")</f>
        <v>3.3739130434782609</v>
      </c>
      <c r="N7" s="17">
        <f>IFERROR(N6/$H$6,"")</f>
        <v>6.0869565217391307E-2</v>
      </c>
    </row>
    <row r="8" spans="1:15" ht="18" customHeight="1" x14ac:dyDescent="0.25">
      <c r="A8" s="229" t="s">
        <v>85</v>
      </c>
      <c r="B8" s="243">
        <f>IF(VOID_WIND_WYVERN_GOLD&gt;0,F8/VOID_WIND_WYVERN_GOLD,"")</f>
        <v>7</v>
      </c>
      <c r="C8" s="243">
        <f>IF(VOID_WIND_WYVERN_SILVER&gt;0,VOID_WIND_WYVERN_SILVER/F8,"")</f>
        <v>3.0612244897959182</v>
      </c>
      <c r="D8" s="243">
        <f>IF(VOID_WIND_WYVERN_SILVER2&gt;0,VOID_WIND_WYVERN_SILVER2/F8,"")</f>
        <v>4.1836734693877551</v>
      </c>
      <c r="E8" s="244">
        <f>IF(VOID_WIND_WYVERN_SPEC&gt;0,F8/VOID_WIND_WYVERN_SPEC,"")</f>
        <v>16.333333333333332</v>
      </c>
      <c r="F8" s="211">
        <f>IF(VOID_WIND_WYVERN_GAMES&gt;0,VOID_WIND_WYVERN_GAMES,"")</f>
        <v>49</v>
      </c>
    </row>
    <row r="9" spans="1:15" ht="18" customHeight="1" x14ac:dyDescent="0.25">
      <c r="A9" s="234" t="s">
        <v>84</v>
      </c>
      <c r="B9" s="243" t="str">
        <f>IF(VOID_LIGHT_MUSH_GOLD&gt;0,F9/VOID_LIGHT_MUSH_GOLD,"")</f>
        <v/>
      </c>
      <c r="C9" s="243">
        <f>IF(VOID_LIGHT_MUSH_SILVER&gt;0,VOID_LIGHT_MUSH_SILVER/F9,"")</f>
        <v>1.4186046511627908</v>
      </c>
      <c r="D9" s="243" t="str">
        <f>IF(VOID_LIGHT_MUSH_SILVER2&gt;0,VOID_LIGHT_MUSH_SILVER2/F9,"")</f>
        <v/>
      </c>
      <c r="E9" s="244">
        <f>IF(VOID_LIGHT_MUSH_SPEC&gt;0,F9/VOID_LIGHT_MUSH_SPEC,"")</f>
        <v>21.5</v>
      </c>
      <c r="F9" s="211">
        <f>IF(VOID_LIGHT_MUSH_GAMES&gt;0,VOID_LIGHT_MUSH_GAMES,"")</f>
        <v>43</v>
      </c>
      <c r="G9" s="211"/>
      <c r="H9" s="211"/>
      <c r="I9" s="60" t="s">
        <v>111</v>
      </c>
      <c r="J9" s="210" t="s">
        <v>112</v>
      </c>
      <c r="K9" s="210" t="s">
        <v>113</v>
      </c>
      <c r="L9" s="210" t="s">
        <v>114</v>
      </c>
      <c r="M9" s="210" t="s">
        <v>115</v>
      </c>
      <c r="N9" s="210" t="s">
        <v>116</v>
      </c>
      <c r="O9" s="210" t="s">
        <v>117</v>
      </c>
    </row>
    <row r="10" spans="1:15" ht="18" customHeight="1" x14ac:dyDescent="0.25">
      <c r="A10" s="234" t="s">
        <v>179</v>
      </c>
      <c r="B10" s="243">
        <f>IF(VOID_LIGHT_JEANNEDARC_GOLD&gt;0,F10/VOID_LIGHT_JEANNEDARC_GOLD,"")</f>
        <v>8.7837837837837842</v>
      </c>
      <c r="C10" s="243">
        <f>IF(VOID_LIGHT_JEANNEDARC_SILVER&gt;0,VOID_LIGHT_JEANNEDARC_SILVER/F10,"")</f>
        <v>2.96</v>
      </c>
      <c r="D10" s="243">
        <f>IF(VOID_LIGHT_JEANNEDARC_SILVER2&gt;0,VOID_LIGHT_JEANNEDARC_SILVER2/F10,"")</f>
        <v>3.4307692307692306</v>
      </c>
      <c r="E10" s="244">
        <f>IF(VOID_LIGHT_JEANNEDARC_SPEC&gt;0,F10/VOID_LIGHT_JEANNEDARC_SPEC,"")</f>
        <v>10.483870967741936</v>
      </c>
      <c r="F10" s="308">
        <f>IF(VOID_LIGHT_JEANNEDARC_GAMES&gt;0,VOID_LIGHT_JEANNEDARC_GAMES,"")</f>
        <v>325</v>
      </c>
      <c r="G10" s="211"/>
      <c r="H10" s="219" t="s">
        <v>83</v>
      </c>
      <c r="I10" s="211" t="s">
        <v>118</v>
      </c>
      <c r="J10" s="33" t="s">
        <v>118</v>
      </c>
      <c r="L10" s="211"/>
      <c r="M10" s="282" t="s">
        <v>118</v>
      </c>
      <c r="N10" s="96"/>
    </row>
    <row r="11" spans="1:15" ht="18" customHeight="1" x14ac:dyDescent="0.25">
      <c r="A11" s="239" t="s">
        <v>86</v>
      </c>
      <c r="B11" s="243">
        <f>IF(VOID_DARK_MTCORE_GOLD&gt;0,F11/VOID_DARK_MTCORE_GOLD,"")</f>
        <v>16.428571428571427</v>
      </c>
      <c r="C11" s="243">
        <f>IF(VOID_DARK_MTCORE_SILVER&gt;0,VOID_DARK_MTCORE_SILVER/F11,"")</f>
        <v>2.5130434782608697</v>
      </c>
      <c r="D11" s="243">
        <f>IF(VOID_DARK_MTCORE_SILVER2&gt;0,VOID_DARK_MTCORE_SILVER2/F11,"")</f>
        <v>3.1130434782608694</v>
      </c>
      <c r="E11" s="244">
        <f>IF(VOID_DARK_MTCORE_SPEC&gt;0,F11/VOID_DARK_MTCORE_SPEC,"")</f>
        <v>28.75</v>
      </c>
      <c r="F11" s="211">
        <f>IF(VOID_DARK_MTCORE_GAMES&gt;0,VOID_DARK_MTCORE_GAMES,"")</f>
        <v>115</v>
      </c>
      <c r="G11" s="211"/>
      <c r="H11" s="219" t="s">
        <v>108</v>
      </c>
      <c r="I11" s="211" t="s">
        <v>118</v>
      </c>
      <c r="J11" s="211"/>
      <c r="L11" s="211" t="s">
        <v>118</v>
      </c>
      <c r="N11" s="33" t="s">
        <v>118</v>
      </c>
      <c r="O11" s="211"/>
    </row>
    <row r="12" spans="1:15" ht="18" customHeight="1" x14ac:dyDescent="0.25">
      <c r="A12" s="239" t="s">
        <v>87</v>
      </c>
      <c r="B12" s="243">
        <f>IF(VOID_DARK_GOLEM_GOLD&gt;0,F12/VOID_DARK_GOLEM_GOLD,"")</f>
        <v>8</v>
      </c>
      <c r="C12" s="243">
        <f>IF(VOID_DARK_GOLEM_SILVER&gt;0,VOID_DARK_GOLEM_SILVER/F12,"")</f>
        <v>3.375</v>
      </c>
      <c r="D12" s="243">
        <f>IF(VOID_DARK_GOLEM_SILVER2&gt;0,VOID_DARK_GOLEM_SILVER2/F12,"")</f>
        <v>0.5</v>
      </c>
      <c r="E12" s="244">
        <f>IF(VOID_DARK_GOLEM_SPEC&gt;0,F12/VOID_DARK_GOLEM_SPEC,"")</f>
        <v>8</v>
      </c>
      <c r="F12" s="211">
        <f>IF(VOID_DARK_GOLEM_GAMES&gt;0,VOID_DARK_GOLEM_GAMES,"")</f>
        <v>8</v>
      </c>
      <c r="G12" s="211"/>
      <c r="H12" s="219" t="s">
        <v>110</v>
      </c>
      <c r="I12" s="211"/>
      <c r="J12" s="211" t="s">
        <v>118</v>
      </c>
      <c r="L12" s="211"/>
      <c r="M12" s="211" t="s">
        <v>118</v>
      </c>
      <c r="N12" s="211"/>
      <c r="O12" s="211" t="s">
        <v>118</v>
      </c>
    </row>
    <row r="13" spans="1:15" ht="18" customHeight="1" x14ac:dyDescent="0.25">
      <c r="D13" s="211"/>
      <c r="E13" s="211"/>
      <c r="F13" s="211"/>
      <c r="G13" s="211"/>
      <c r="H13" s="224" t="s">
        <v>109</v>
      </c>
      <c r="I13" s="211"/>
      <c r="J13" s="33" t="s">
        <v>118</v>
      </c>
      <c r="K13" s="211" t="s">
        <v>118</v>
      </c>
      <c r="M13" s="211" t="s">
        <v>118</v>
      </c>
      <c r="N13" s="211"/>
      <c r="O13" s="211" t="s">
        <v>118</v>
      </c>
    </row>
    <row r="14" spans="1:15" ht="18" customHeight="1" x14ac:dyDescent="0.25">
      <c r="B14" s="245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45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45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45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1">
        <f>SUM(F3:F13)</f>
        <v>1063</v>
      </c>
      <c r="G14" s="211"/>
      <c r="H14" s="229" t="s">
        <v>85</v>
      </c>
      <c r="I14" s="211" t="s">
        <v>118</v>
      </c>
      <c r="K14" s="211" t="s">
        <v>118</v>
      </c>
      <c r="N14" s="211" t="s">
        <v>118</v>
      </c>
    </row>
    <row r="15" spans="1:15" ht="18" customHeight="1" x14ac:dyDescent="0.25">
      <c r="D15" s="211"/>
      <c r="E15" s="211"/>
      <c r="F15" s="211"/>
      <c r="G15" s="211"/>
      <c r="H15" s="234" t="s">
        <v>84</v>
      </c>
      <c r="I15" s="211" t="s">
        <v>118</v>
      </c>
      <c r="J15" s="211" t="s">
        <v>118</v>
      </c>
      <c r="K15" s="211" t="s">
        <v>118</v>
      </c>
      <c r="L15" s="211" t="s">
        <v>118</v>
      </c>
      <c r="M15" s="211" t="s">
        <v>118</v>
      </c>
      <c r="N15" s="211" t="s">
        <v>118</v>
      </c>
      <c r="O15" s="211" t="s">
        <v>118</v>
      </c>
    </row>
    <row r="16" spans="1:15" ht="18" customHeight="1" x14ac:dyDescent="0.25">
      <c r="D16" s="211"/>
      <c r="E16" s="211"/>
      <c r="F16" s="211"/>
      <c r="G16" s="211"/>
      <c r="H16" s="234" t="s">
        <v>179</v>
      </c>
    </row>
    <row r="17" spans="4:15" ht="18" customHeight="1" x14ac:dyDescent="0.25">
      <c r="D17" s="211"/>
      <c r="E17" s="211"/>
      <c r="F17" s="211"/>
      <c r="G17" s="211"/>
      <c r="H17" s="239" t="s">
        <v>86</v>
      </c>
      <c r="I17" s="211"/>
      <c r="K17" s="211"/>
      <c r="L17" s="33" t="s">
        <v>118</v>
      </c>
      <c r="N17" s="33" t="s">
        <v>118</v>
      </c>
      <c r="O17" s="33" t="s">
        <v>118</v>
      </c>
    </row>
    <row r="18" spans="4:15" ht="18" customHeight="1" x14ac:dyDescent="0.25">
      <c r="D18" s="211"/>
      <c r="E18" s="211"/>
      <c r="F18" s="211"/>
      <c r="G18" s="211"/>
      <c r="H18" s="239" t="s">
        <v>87</v>
      </c>
      <c r="I18" s="211"/>
      <c r="J18" s="211"/>
      <c r="K18" s="211" t="s">
        <v>118</v>
      </c>
      <c r="L18" s="33" t="s">
        <v>118</v>
      </c>
      <c r="M18" s="211"/>
      <c r="N18" s="211" t="s">
        <v>118</v>
      </c>
      <c r="O18" s="211" t="s">
        <v>118</v>
      </c>
    </row>
    <row r="19" spans="4:15" ht="18" customHeight="1" x14ac:dyDescent="0.25">
      <c r="D19" s="211"/>
      <c r="E19" s="211"/>
      <c r="F19" s="211"/>
      <c r="G19" s="211"/>
      <c r="H19" s="211"/>
      <c r="I19" s="212"/>
    </row>
    <row r="20" spans="4:15" ht="18" customHeight="1" x14ac:dyDescent="0.25">
      <c r="D20" s="211"/>
      <c r="E20" s="211"/>
      <c r="F20" s="211"/>
      <c r="G20" s="211"/>
      <c r="H20" s="211"/>
    </row>
    <row r="21" spans="4:15" ht="18" customHeight="1" x14ac:dyDescent="0.25">
      <c r="D21" s="211"/>
      <c r="E21" s="211"/>
      <c r="F21" s="211"/>
      <c r="G21" s="211"/>
      <c r="H21" s="211"/>
    </row>
    <row r="22" spans="4:15" ht="18" customHeight="1" x14ac:dyDescent="0.25">
      <c r="D22" s="211"/>
      <c r="E22" s="211"/>
      <c r="F22" s="211"/>
      <c r="G22" s="211"/>
      <c r="I22" s="211"/>
    </row>
    <row r="23" spans="4:15" ht="18" customHeight="1" x14ac:dyDescent="0.25">
      <c r="D23" s="211"/>
      <c r="E23" s="211"/>
      <c r="F23" s="211"/>
      <c r="G23" s="211"/>
      <c r="I23" s="211"/>
    </row>
    <row r="24" spans="4:15" ht="18" customHeight="1" x14ac:dyDescent="0.25">
      <c r="D24" s="211"/>
      <c r="E24" s="211"/>
      <c r="F24" s="211"/>
      <c r="G24" s="211"/>
      <c r="I24" s="211"/>
    </row>
    <row r="25" spans="4:15" ht="18" customHeight="1" x14ac:dyDescent="0.25">
      <c r="D25" s="211"/>
      <c r="E25" s="211"/>
      <c r="F25" s="211"/>
      <c r="G25" s="211"/>
      <c r="I25" s="211"/>
    </row>
    <row r="26" spans="4:15" ht="18" customHeight="1" x14ac:dyDescent="0.25">
      <c r="D26" s="211"/>
      <c r="E26" s="211"/>
      <c r="F26" s="211"/>
      <c r="G26" s="211"/>
      <c r="I26" s="211"/>
    </row>
    <row r="27" spans="4:15" ht="18" customHeight="1" x14ac:dyDescent="0.25">
      <c r="D27" s="211"/>
      <c r="E27" s="211"/>
      <c r="F27" s="211"/>
      <c r="G27" s="211"/>
      <c r="I27" s="211"/>
    </row>
    <row r="28" spans="4:15" ht="18" customHeight="1" x14ac:dyDescent="0.25">
      <c r="D28" s="211"/>
      <c r="E28" s="211"/>
      <c r="F28" s="211"/>
      <c r="G28" s="211"/>
      <c r="I28" s="211"/>
    </row>
    <row r="29" spans="4:15" ht="18" customHeight="1" x14ac:dyDescent="0.25">
      <c r="D29" s="211"/>
      <c r="E29" s="211"/>
      <c r="F29" s="211"/>
      <c r="G29" s="211"/>
      <c r="I29" s="211"/>
    </row>
    <row r="30" spans="4:15" ht="18" customHeight="1" x14ac:dyDescent="0.25">
      <c r="D30" s="211"/>
      <c r="E30" s="211"/>
      <c r="F30" s="211"/>
      <c r="G30" s="211"/>
      <c r="I30" s="211"/>
    </row>
    <row r="31" spans="4:15" ht="18" customHeight="1" x14ac:dyDescent="0.25">
      <c r="D31" s="211"/>
      <c r="E31" s="211"/>
      <c r="F31" s="211"/>
      <c r="G31" s="211"/>
      <c r="I31" s="211"/>
    </row>
    <row r="32" spans="4:15" ht="18" customHeight="1" x14ac:dyDescent="0.25">
      <c r="D32" s="211"/>
      <c r="E32" s="211"/>
      <c r="F32" s="211"/>
      <c r="G32" s="211"/>
      <c r="I32" s="211"/>
    </row>
    <row r="33" spans="4:9" ht="18" customHeight="1" x14ac:dyDescent="0.25">
      <c r="D33" s="211"/>
      <c r="E33" s="211"/>
      <c r="F33" s="211"/>
      <c r="G33" s="211"/>
      <c r="I33" s="211"/>
    </row>
    <row r="34" spans="4:9" ht="18" customHeight="1" x14ac:dyDescent="0.25">
      <c r="D34" s="211"/>
      <c r="E34" s="211"/>
      <c r="F34" s="211"/>
      <c r="G34" s="211"/>
      <c r="I34" s="211"/>
    </row>
    <row r="35" spans="4:9" ht="18" customHeight="1" x14ac:dyDescent="0.25">
      <c r="D35" s="211"/>
      <c r="E35" s="211"/>
      <c r="F35" s="211"/>
      <c r="G35" s="211"/>
      <c r="I35" s="211"/>
    </row>
    <row r="36" spans="4:9" ht="18" customHeight="1" x14ac:dyDescent="0.25">
      <c r="D36" s="211"/>
      <c r="E36" s="211"/>
      <c r="F36" s="211"/>
      <c r="G36" s="211"/>
      <c r="I36" s="211"/>
    </row>
    <row r="37" spans="4:9" ht="18" customHeight="1" x14ac:dyDescent="0.25">
      <c r="D37" s="211"/>
      <c r="E37" s="211"/>
      <c r="F37" s="211"/>
      <c r="G37" s="211"/>
      <c r="I37" s="211"/>
    </row>
    <row r="38" spans="4:9" ht="18" customHeight="1" x14ac:dyDescent="0.25">
      <c r="D38" s="211"/>
      <c r="E38" s="211"/>
      <c r="F38" s="211"/>
      <c r="G38" s="211"/>
      <c r="I38" s="211"/>
    </row>
    <row r="39" spans="4:9" ht="18" customHeight="1" x14ac:dyDescent="0.25">
      <c r="D39" s="211"/>
      <c r="E39" s="211"/>
      <c r="F39" s="211"/>
      <c r="G39" s="211"/>
      <c r="I39" s="211"/>
    </row>
    <row r="40" spans="4:9" ht="18" customHeight="1" x14ac:dyDescent="0.25">
      <c r="D40" s="211"/>
      <c r="E40" s="211"/>
      <c r="F40" s="211"/>
      <c r="G40" s="211"/>
      <c r="I40" s="211"/>
    </row>
    <row r="41" spans="4:9" ht="18" customHeight="1" x14ac:dyDescent="0.25">
      <c r="D41" s="211"/>
      <c r="E41" s="211"/>
      <c r="F41" s="211"/>
      <c r="G41" s="211"/>
      <c r="I41" s="211"/>
    </row>
    <row r="42" spans="4:9" ht="18" customHeight="1" x14ac:dyDescent="0.25">
      <c r="D42" s="211"/>
      <c r="E42" s="211"/>
      <c r="F42" s="211"/>
      <c r="G42" s="211"/>
      <c r="I42" s="211"/>
    </row>
    <row r="43" spans="4:9" ht="18" customHeight="1" x14ac:dyDescent="0.25">
      <c r="D43" s="211"/>
      <c r="E43" s="211"/>
      <c r="G43" s="211"/>
      <c r="I43" s="211"/>
    </row>
    <row r="44" spans="4:9" ht="18" customHeight="1" x14ac:dyDescent="0.25">
      <c r="D44" s="211"/>
      <c r="E44" s="211"/>
      <c r="G44" s="211"/>
      <c r="I44" s="211"/>
    </row>
    <row r="45" spans="4:9" ht="18" customHeight="1" x14ac:dyDescent="0.25">
      <c r="D45" s="211"/>
      <c r="E45" s="211"/>
      <c r="G45" s="211"/>
      <c r="I45" s="211"/>
    </row>
    <row r="46" spans="4:9" ht="18" customHeight="1" x14ac:dyDescent="0.25">
      <c r="G46" s="211"/>
      <c r="I46" s="211"/>
    </row>
    <row r="47" spans="4:9" ht="18" customHeight="1" x14ac:dyDescent="0.25">
      <c r="G47" s="211"/>
      <c r="I47" s="211"/>
    </row>
    <row r="48" spans="4:9" ht="18" customHeight="1" x14ac:dyDescent="0.25">
      <c r="G48" s="211"/>
      <c r="I48" s="211"/>
    </row>
    <row r="49" spans="7:9" ht="18" customHeight="1" x14ac:dyDescent="0.25">
      <c r="G49" s="211"/>
      <c r="I49" s="211"/>
    </row>
  </sheetData>
  <mergeCells count="1">
    <mergeCell ref="F1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221" customWidth="1"/>
    <col min="2" max="4" width="3.85546875" style="217" customWidth="1"/>
    <col min="5" max="5" width="3.85546875" style="222" customWidth="1"/>
    <col min="6" max="6" width="3.85546875" style="221" customWidth="1"/>
    <col min="7" max="9" width="3.85546875" style="217" customWidth="1"/>
    <col min="10" max="10" width="3.85546875" style="222" customWidth="1"/>
    <col min="11" max="11" width="3.85546875" style="221" customWidth="1"/>
    <col min="12" max="14" width="3.85546875" style="217" customWidth="1"/>
    <col min="15" max="15" width="3.85546875" style="222" customWidth="1"/>
    <col min="16" max="16" width="3.85546875" style="226" customWidth="1"/>
    <col min="17" max="19" width="3.85546875" style="216" customWidth="1"/>
    <col min="20" max="20" width="3.85546875" style="227" customWidth="1"/>
    <col min="21" max="21" width="3.85546875" style="226" customWidth="1"/>
    <col min="22" max="24" width="3.85546875" style="307" customWidth="1"/>
    <col min="25" max="25" width="3.85546875" style="227" customWidth="1"/>
    <col min="26" max="26" width="3.85546875" style="231" customWidth="1"/>
    <col min="27" max="29" width="3.85546875" style="215" customWidth="1"/>
    <col min="30" max="30" width="3.85546875" style="232" customWidth="1"/>
    <col min="31" max="31" width="3.85546875" style="236" customWidth="1"/>
    <col min="32" max="34" width="3.85546875" style="214" customWidth="1"/>
    <col min="35" max="35" width="3.85546875" style="237" customWidth="1"/>
    <col min="36" max="36" width="3.85546875" style="236" customWidth="1"/>
    <col min="37" max="39" width="3.85546875" style="401" customWidth="1"/>
    <col min="40" max="40" width="3.85546875" style="237" customWidth="1"/>
    <col min="41" max="41" width="3.85546875" style="241" customWidth="1"/>
    <col min="42" max="44" width="3.85546875" style="213" customWidth="1"/>
    <col min="45" max="45" width="3.85546875" style="242" customWidth="1"/>
    <col min="46" max="46" width="3.85546875" style="241" customWidth="1"/>
    <col min="47" max="49" width="3.85546875" style="213" customWidth="1"/>
    <col min="50" max="50" width="3.85546875" style="242" customWidth="1"/>
    <col min="51" max="16384" width="9.140625" style="1"/>
  </cols>
  <sheetData>
    <row r="1" spans="1:50" s="210" customFormat="1" ht="15" customHeight="1" x14ac:dyDescent="0.25">
      <c r="A1" s="535" t="s">
        <v>83</v>
      </c>
      <c r="B1" s="536"/>
      <c r="C1" s="536"/>
      <c r="D1" s="536"/>
      <c r="E1" s="537"/>
      <c r="F1" s="535" t="s">
        <v>108</v>
      </c>
      <c r="G1" s="536"/>
      <c r="H1" s="536"/>
      <c r="I1" s="536"/>
      <c r="J1" s="537"/>
      <c r="K1" s="535" t="s">
        <v>110</v>
      </c>
      <c r="L1" s="536"/>
      <c r="M1" s="536"/>
      <c r="N1" s="536"/>
      <c r="O1" s="537"/>
      <c r="P1" s="544" t="s">
        <v>109</v>
      </c>
      <c r="Q1" s="545"/>
      <c r="R1" s="545"/>
      <c r="S1" s="545"/>
      <c r="T1" s="546"/>
      <c r="U1" s="544" t="s">
        <v>160</v>
      </c>
      <c r="V1" s="545"/>
      <c r="W1" s="545"/>
      <c r="X1" s="545"/>
      <c r="Y1" s="546"/>
      <c r="Z1" s="541" t="s">
        <v>85</v>
      </c>
      <c r="AA1" s="542"/>
      <c r="AB1" s="542"/>
      <c r="AC1" s="542"/>
      <c r="AD1" s="543"/>
      <c r="AE1" s="538" t="s">
        <v>84</v>
      </c>
      <c r="AF1" s="539"/>
      <c r="AG1" s="539"/>
      <c r="AH1" s="539"/>
      <c r="AI1" s="540"/>
      <c r="AJ1" s="538" t="s">
        <v>179</v>
      </c>
      <c r="AK1" s="539"/>
      <c r="AL1" s="539"/>
      <c r="AM1" s="539"/>
      <c r="AN1" s="540"/>
      <c r="AO1" s="532" t="s">
        <v>86</v>
      </c>
      <c r="AP1" s="533"/>
      <c r="AQ1" s="533"/>
      <c r="AR1" s="533"/>
      <c r="AS1" s="534"/>
      <c r="AT1" s="532" t="s">
        <v>87</v>
      </c>
      <c r="AU1" s="533"/>
      <c r="AV1" s="533"/>
      <c r="AW1" s="533"/>
      <c r="AX1" s="534"/>
    </row>
    <row r="2" spans="1:50" s="210" customFormat="1" ht="15" customHeight="1" x14ac:dyDescent="0.25">
      <c r="A2" s="218" t="s">
        <v>26</v>
      </c>
      <c r="B2" s="219" t="s">
        <v>64</v>
      </c>
      <c r="C2" s="219" t="s">
        <v>65</v>
      </c>
      <c r="D2" s="219" t="s">
        <v>151</v>
      </c>
      <c r="E2" s="220" t="s">
        <v>152</v>
      </c>
      <c r="F2" s="218" t="s">
        <v>26</v>
      </c>
      <c r="G2" s="219" t="s">
        <v>64</v>
      </c>
      <c r="H2" s="219" t="s">
        <v>65</v>
      </c>
      <c r="I2" s="219" t="s">
        <v>151</v>
      </c>
      <c r="J2" s="220" t="s">
        <v>152</v>
      </c>
      <c r="K2" s="218" t="s">
        <v>26</v>
      </c>
      <c r="L2" s="219" t="s">
        <v>64</v>
      </c>
      <c r="M2" s="219" t="s">
        <v>65</v>
      </c>
      <c r="N2" s="219" t="s">
        <v>151</v>
      </c>
      <c r="O2" s="220" t="s">
        <v>152</v>
      </c>
      <c r="P2" s="223" t="s">
        <v>26</v>
      </c>
      <c r="Q2" s="224" t="s">
        <v>64</v>
      </c>
      <c r="R2" s="224" t="s">
        <v>65</v>
      </c>
      <c r="S2" s="224" t="s">
        <v>151</v>
      </c>
      <c r="T2" s="225" t="s">
        <v>152</v>
      </c>
      <c r="U2" s="223" t="s">
        <v>26</v>
      </c>
      <c r="V2" s="224" t="s">
        <v>64</v>
      </c>
      <c r="W2" s="224" t="s">
        <v>65</v>
      </c>
      <c r="X2" s="224" t="s">
        <v>151</v>
      </c>
      <c r="Y2" s="225" t="s">
        <v>152</v>
      </c>
      <c r="Z2" s="228" t="s">
        <v>26</v>
      </c>
      <c r="AA2" s="229" t="s">
        <v>64</v>
      </c>
      <c r="AB2" s="229" t="s">
        <v>65</v>
      </c>
      <c r="AC2" s="229" t="s">
        <v>151</v>
      </c>
      <c r="AD2" s="230" t="s">
        <v>152</v>
      </c>
      <c r="AE2" s="233" t="s">
        <v>26</v>
      </c>
      <c r="AF2" s="234" t="s">
        <v>64</v>
      </c>
      <c r="AG2" s="234" t="s">
        <v>65</v>
      </c>
      <c r="AH2" s="234" t="s">
        <v>151</v>
      </c>
      <c r="AI2" s="235" t="s">
        <v>152</v>
      </c>
      <c r="AJ2" s="233" t="s">
        <v>26</v>
      </c>
      <c r="AK2" s="234" t="s">
        <v>64</v>
      </c>
      <c r="AL2" s="234" t="s">
        <v>65</v>
      </c>
      <c r="AM2" s="234" t="s">
        <v>151</v>
      </c>
      <c r="AN2" s="235" t="s">
        <v>152</v>
      </c>
      <c r="AO2" s="238" t="s">
        <v>26</v>
      </c>
      <c r="AP2" s="239" t="s">
        <v>64</v>
      </c>
      <c r="AQ2" s="239" t="s">
        <v>65</v>
      </c>
      <c r="AR2" s="239" t="s">
        <v>151</v>
      </c>
      <c r="AS2" s="240" t="s">
        <v>152</v>
      </c>
      <c r="AT2" s="238" t="s">
        <v>26</v>
      </c>
      <c r="AU2" s="239" t="s">
        <v>64</v>
      </c>
      <c r="AV2" s="239" t="s">
        <v>65</v>
      </c>
      <c r="AW2" s="239" t="s">
        <v>151</v>
      </c>
      <c r="AX2" s="240" t="s">
        <v>152</v>
      </c>
    </row>
    <row r="3" spans="1:50" ht="15" customHeight="1" x14ac:dyDescent="0.25">
      <c r="A3" s="221">
        <v>121</v>
      </c>
      <c r="B3" s="217">
        <v>7</v>
      </c>
      <c r="C3" s="217">
        <v>274</v>
      </c>
      <c r="D3" s="217">
        <v>379</v>
      </c>
      <c r="E3" s="222">
        <v>9</v>
      </c>
      <c r="F3" s="221">
        <v>6</v>
      </c>
      <c r="G3" s="217">
        <v>0</v>
      </c>
      <c r="H3" s="217">
        <v>10</v>
      </c>
      <c r="I3" s="217">
        <v>2</v>
      </c>
      <c r="J3" s="222">
        <v>2</v>
      </c>
      <c r="K3" s="221">
        <v>21</v>
      </c>
      <c r="L3" s="217">
        <v>2</v>
      </c>
      <c r="M3" s="217">
        <v>70</v>
      </c>
      <c r="N3" s="217">
        <v>68</v>
      </c>
      <c r="O3" s="222">
        <v>3</v>
      </c>
      <c r="P3" s="226">
        <v>4</v>
      </c>
      <c r="Q3" s="216">
        <v>0</v>
      </c>
      <c r="R3" s="216">
        <v>8</v>
      </c>
      <c r="S3" s="216">
        <v>12</v>
      </c>
      <c r="T3" s="227">
        <v>4</v>
      </c>
      <c r="U3" s="226">
        <v>121</v>
      </c>
      <c r="V3" s="307">
        <v>10</v>
      </c>
      <c r="W3" s="307">
        <v>368</v>
      </c>
      <c r="X3" s="307">
        <v>400</v>
      </c>
      <c r="Y3" s="227">
        <v>12</v>
      </c>
      <c r="Z3" s="231">
        <v>21</v>
      </c>
      <c r="AA3" s="215">
        <v>1</v>
      </c>
      <c r="AB3" s="215">
        <v>64</v>
      </c>
      <c r="AC3" s="215">
        <v>86</v>
      </c>
      <c r="AD3" s="232">
        <v>1</v>
      </c>
      <c r="AE3" s="236">
        <v>9</v>
      </c>
      <c r="AF3" s="214">
        <v>0</v>
      </c>
      <c r="AG3" s="214">
        <v>14</v>
      </c>
      <c r="AH3" s="214">
        <v>0</v>
      </c>
      <c r="AI3" s="237">
        <v>1</v>
      </c>
      <c r="AJ3" s="236">
        <v>38</v>
      </c>
      <c r="AK3" s="401">
        <v>9</v>
      </c>
      <c r="AL3" s="401">
        <v>110</v>
      </c>
      <c r="AM3" s="401">
        <v>133</v>
      </c>
      <c r="AN3" s="237">
        <v>5</v>
      </c>
      <c r="AO3" s="241">
        <v>13</v>
      </c>
      <c r="AP3" s="213">
        <v>1</v>
      </c>
      <c r="AQ3" s="213">
        <v>33</v>
      </c>
      <c r="AR3" s="213">
        <v>42</v>
      </c>
      <c r="AS3" s="242">
        <v>0</v>
      </c>
      <c r="AT3" s="241">
        <v>8</v>
      </c>
      <c r="AU3" s="213">
        <v>1</v>
      </c>
      <c r="AV3" s="213">
        <v>27</v>
      </c>
      <c r="AW3" s="213">
        <v>4</v>
      </c>
      <c r="AX3" s="242">
        <v>1</v>
      </c>
    </row>
    <row r="4" spans="1:50" ht="15" customHeight="1" x14ac:dyDescent="0.25">
      <c r="K4" s="221">
        <v>174</v>
      </c>
      <c r="L4" s="217">
        <v>19</v>
      </c>
      <c r="M4" s="217">
        <v>515</v>
      </c>
      <c r="N4" s="217">
        <v>608</v>
      </c>
      <c r="O4" s="222">
        <v>24</v>
      </c>
      <c r="P4" s="226">
        <v>6</v>
      </c>
      <c r="Q4" s="216">
        <v>0</v>
      </c>
      <c r="R4" s="216">
        <v>13</v>
      </c>
      <c r="S4" s="216">
        <v>21</v>
      </c>
      <c r="T4" s="227">
        <v>0</v>
      </c>
      <c r="Z4" s="231">
        <v>17</v>
      </c>
      <c r="AA4" s="215">
        <v>3</v>
      </c>
      <c r="AB4" s="215">
        <v>54</v>
      </c>
      <c r="AC4" s="215">
        <v>68</v>
      </c>
      <c r="AD4" s="232">
        <v>2</v>
      </c>
      <c r="AE4" s="236">
        <v>30</v>
      </c>
      <c r="AF4" s="214">
        <v>0</v>
      </c>
      <c r="AG4" s="214">
        <v>42</v>
      </c>
      <c r="AH4" s="214">
        <v>0</v>
      </c>
      <c r="AI4" s="237">
        <v>1</v>
      </c>
      <c r="AJ4" s="236">
        <v>106</v>
      </c>
      <c r="AK4" s="401">
        <v>11</v>
      </c>
      <c r="AL4" s="401">
        <v>327</v>
      </c>
      <c r="AM4" s="401">
        <v>366</v>
      </c>
      <c r="AN4" s="237">
        <v>15</v>
      </c>
      <c r="AO4" s="241">
        <v>58</v>
      </c>
      <c r="AP4" s="213">
        <v>3</v>
      </c>
      <c r="AQ4" s="213">
        <v>122</v>
      </c>
      <c r="AR4" s="213">
        <v>153</v>
      </c>
      <c r="AS4" s="242">
        <v>3</v>
      </c>
    </row>
    <row r="5" spans="1:50" ht="15" customHeight="1" x14ac:dyDescent="0.25">
      <c r="K5" s="221">
        <v>10</v>
      </c>
      <c r="L5" s="217">
        <v>0</v>
      </c>
      <c r="M5" s="217">
        <v>28</v>
      </c>
      <c r="N5" s="217">
        <v>35</v>
      </c>
      <c r="O5" s="222">
        <v>1</v>
      </c>
      <c r="Z5" s="231">
        <v>11</v>
      </c>
      <c r="AA5" s="215">
        <v>3</v>
      </c>
      <c r="AB5" s="215">
        <v>32</v>
      </c>
      <c r="AC5" s="215">
        <v>51</v>
      </c>
      <c r="AD5" s="232">
        <v>0</v>
      </c>
      <c r="AE5" s="236">
        <v>4</v>
      </c>
      <c r="AF5" s="214">
        <v>0</v>
      </c>
      <c r="AG5" s="214">
        <v>5</v>
      </c>
      <c r="AH5" s="214">
        <v>0</v>
      </c>
      <c r="AI5" s="237">
        <v>0</v>
      </c>
      <c r="AJ5" s="236">
        <v>66</v>
      </c>
      <c r="AK5" s="401">
        <v>4</v>
      </c>
      <c r="AL5" s="401">
        <v>194</v>
      </c>
      <c r="AM5" s="401">
        <v>228</v>
      </c>
      <c r="AN5" s="237">
        <v>4</v>
      </c>
      <c r="AO5" s="241">
        <v>13</v>
      </c>
      <c r="AP5" s="213">
        <v>2</v>
      </c>
      <c r="AQ5" s="213">
        <v>43</v>
      </c>
      <c r="AR5" s="213">
        <v>46</v>
      </c>
      <c r="AS5" s="242">
        <v>0</v>
      </c>
    </row>
    <row r="6" spans="1:50" ht="15" customHeight="1" x14ac:dyDescent="0.25">
      <c r="A6" s="246"/>
      <c r="B6" s="246"/>
      <c r="K6" s="221">
        <v>60</v>
      </c>
      <c r="L6" s="217">
        <v>3</v>
      </c>
      <c r="M6" s="217">
        <v>162</v>
      </c>
      <c r="N6" s="217">
        <v>205</v>
      </c>
      <c r="O6" s="222">
        <v>8</v>
      </c>
      <c r="AJ6" s="236">
        <v>115</v>
      </c>
      <c r="AK6" s="401">
        <v>13</v>
      </c>
      <c r="AL6" s="401">
        <v>331</v>
      </c>
      <c r="AM6" s="401">
        <v>388</v>
      </c>
      <c r="AN6" s="237">
        <v>7</v>
      </c>
      <c r="AO6" s="241">
        <v>30</v>
      </c>
      <c r="AP6" s="213">
        <v>1</v>
      </c>
      <c r="AQ6" s="213">
        <v>87</v>
      </c>
      <c r="AR6" s="213">
        <v>114</v>
      </c>
      <c r="AS6" s="242">
        <v>1</v>
      </c>
    </row>
    <row r="7" spans="1:50" ht="15" customHeight="1" x14ac:dyDescent="0.25">
      <c r="A7" s="246"/>
      <c r="B7" s="246"/>
      <c r="AO7" s="241">
        <v>1</v>
      </c>
      <c r="AP7" s="213">
        <v>0</v>
      </c>
      <c r="AQ7" s="213">
        <v>4</v>
      </c>
      <c r="AR7" s="213">
        <v>3</v>
      </c>
      <c r="AS7" s="242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19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61</vt:i4>
      </vt:variant>
    </vt:vector>
  </HeadingPairs>
  <TitlesOfParts>
    <vt:vector size="83" baseType="lpstr"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DRAGON_EXP_100</vt:lpstr>
      <vt:lpstr>DRAGON_EXP_60</vt:lpstr>
      <vt:lpstr>DRAGON_EXP_80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2019-09-07T04:03:41Z</dcterms:modified>
</cp:coreProperties>
</file>