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6905" documentId="14_{4641BD8E-50CB-4ACC-8E23-15FE91398C1F}" xr6:coauthVersionLast="45" xr6:coauthVersionMax="45" xr10:uidLastSave="{801F93BE-319E-4943-9332-AE24A9E9B2B3}"/>
  <bookViews>
    <workbookView minimized="1" xWindow="37455" yWindow="1440" windowWidth="19050" windowHeight="14115" firstSheet="3" activeTab="12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龍" sheetId="9" state="hidden" r:id="rId5"/>
    <sheet name="D真火" sheetId="10" r:id="rId6"/>
    <sheet name="D真水" sheetId="11" r:id="rId7"/>
    <sheet name="D真風" sheetId="14" r:id="rId8"/>
    <sheet name="D真光" sheetId="13" r:id="rId9"/>
    <sheet name="D真暗" sheetId="12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47" l="1"/>
  <c r="G30" i="47"/>
  <c r="F30" i="47"/>
  <c r="E30" i="47"/>
  <c r="G29" i="47" l="1"/>
  <c r="H29" i="47" s="1"/>
  <c r="F29" i="47"/>
  <c r="E29" i="47"/>
  <c r="G28" i="47"/>
  <c r="H28" i="47" s="1"/>
  <c r="F28" i="47"/>
  <c r="E28" i="47"/>
  <c r="G27" i="47" l="1"/>
  <c r="F27" i="47"/>
  <c r="H27" i="47" s="1"/>
  <c r="E27" i="47"/>
  <c r="G26" i="47" l="1"/>
  <c r="F26" i="47"/>
  <c r="H26" i="47" s="1"/>
  <c r="E26" i="47"/>
  <c r="G25" i="47" l="1"/>
  <c r="F25" i="47"/>
  <c r="H25" i="47" s="1"/>
  <c r="E25" i="47"/>
  <c r="H24" i="47" l="1"/>
  <c r="G24" i="47"/>
  <c r="F24" i="47"/>
  <c r="E24" i="47"/>
  <c r="G23" i="47"/>
  <c r="F23" i="47"/>
  <c r="H23" i="47" s="1"/>
  <c r="E23" i="47"/>
  <c r="G22" i="47" l="1"/>
  <c r="F22" i="47"/>
  <c r="H22" i="47" s="1"/>
  <c r="E22" i="47"/>
  <c r="K3" i="47" l="1" a="1"/>
  <c r="K3" i="47" s="1"/>
  <c r="J3" i="47" a="1"/>
  <c r="J3" i="47" s="1"/>
  <c r="G21" i="47"/>
  <c r="H21" i="47" s="1"/>
  <c r="F21" i="47"/>
  <c r="E21" i="47"/>
  <c r="G20" i="47"/>
  <c r="F20" i="47"/>
  <c r="H20" i="47" s="1"/>
  <c r="H19" i="47"/>
  <c r="G19" i="47"/>
  <c r="F19" i="47"/>
  <c r="E20" i="47"/>
  <c r="L3" i="47" l="1"/>
  <c r="E19" i="47"/>
  <c r="E3" i="47"/>
  <c r="H3" i="47" s="1" a="1"/>
  <c r="H3" i="47" s="1"/>
  <c r="D3" i="47"/>
  <c r="G3" i="47" s="1" a="1"/>
  <c r="G3" i="47" s="1"/>
  <c r="C3" i="47"/>
  <c r="F3" i="47" s="1" a="1"/>
  <c r="F3" i="47" s="1"/>
  <c r="G18" i="47"/>
  <c r="H18" i="47" s="1"/>
  <c r="F18" i="47"/>
  <c r="E18" i="47"/>
  <c r="G13" i="47"/>
  <c r="F13" i="47"/>
  <c r="H13" i="47" s="1"/>
  <c r="G17" i="47"/>
  <c r="F17" i="47"/>
  <c r="H17" i="47" s="1"/>
  <c r="E17" i="47"/>
  <c r="G16" i="47"/>
  <c r="F16" i="47"/>
  <c r="H16" i="47" s="1"/>
  <c r="E16" i="47"/>
  <c r="G15" i="47"/>
  <c r="F15" i="47"/>
  <c r="E15" i="47"/>
  <c r="G14" i="47"/>
  <c r="F14" i="47"/>
  <c r="H14" i="47" s="1"/>
  <c r="E14" i="47"/>
  <c r="H15" i="47" l="1"/>
  <c r="E13" i="47"/>
  <c r="G12" i="47" l="1"/>
  <c r="F12" i="47"/>
  <c r="E12" i="47"/>
  <c r="G11" i="47"/>
  <c r="F11" i="47"/>
  <c r="E11" i="47"/>
  <c r="H12" i="47" l="1"/>
  <c r="H11" i="47"/>
  <c r="G10" i="47"/>
  <c r="F10" i="47"/>
  <c r="H10" i="47" s="1"/>
  <c r="E10" i="47"/>
  <c r="G9" i="47" l="1"/>
  <c r="F9" i="47"/>
  <c r="E9" i="47"/>
  <c r="H9" i="47" l="1"/>
  <c r="G8" i="47"/>
  <c r="F8" i="47"/>
  <c r="E8" i="47"/>
  <c r="H8" i="47" l="1"/>
  <c r="G7" i="47"/>
  <c r="F7" i="47"/>
  <c r="H7" i="47" s="1"/>
  <c r="E7" i="47"/>
  <c r="E6" i="47" l="1"/>
  <c r="H6" i="47"/>
  <c r="E28" i="44" l="1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40" i="37" l="1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6" i="37"/>
  <c r="F1" i="37" s="1"/>
  <c r="C7" i="37"/>
  <c r="D1" i="37"/>
  <c r="U20" i="43" l="1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 s="1"/>
  <c r="Q17" i="44" a="1"/>
  <c r="Q17" i="44" s="1"/>
  <c r="Q16" i="44" a="1"/>
  <c r="Q16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 s="1"/>
  <c r="G10" i="9"/>
  <c r="G9" i="9"/>
  <c r="G8" i="9"/>
  <c r="F11" i="9"/>
  <c r="H44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 s="1"/>
  <c r="R4" i="20" s="1"/>
  <c r="C4" i="9"/>
  <c r="G10" i="20"/>
  <c r="Q8" i="20" s="1"/>
  <c r="G15" i="20"/>
  <c r="Q14" i="20" s="1"/>
  <c r="R14" i="20" s="1"/>
  <c r="G20" i="20"/>
  <c r="Q19" i="20"/>
  <c r="R19" i="20" s="1"/>
  <c r="G25" i="20"/>
  <c r="Q23" i="20" s="1"/>
  <c r="M3" i="7"/>
  <c r="M4" i="7"/>
  <c r="M5" i="7"/>
  <c r="M6" i="7"/>
  <c r="M7" i="7"/>
  <c r="G3" i="7"/>
  <c r="O6" i="18"/>
  <c r="A3" i="7"/>
  <c r="O4" i="18"/>
  <c r="AV37" i="7"/>
  <c r="AB9" i="18" s="1"/>
  <c r="AC9" i="18" s="1"/>
  <c r="AU37" i="7"/>
  <c r="AR37" i="7"/>
  <c r="E13" i="18" s="1"/>
  <c r="H13" i="18" s="1"/>
  <c r="AQ37" i="7"/>
  <c r="E8" i="18" s="1"/>
  <c r="AP37" i="7"/>
  <c r="E18" i="18" s="1"/>
  <c r="AO37" i="7"/>
  <c r="E17" i="18" s="1"/>
  <c r="AN37" i="7"/>
  <c r="E16" i="18" s="1"/>
  <c r="J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N699" i="33" s="1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L696" i="33"/>
  <c r="K696" i="33"/>
  <c r="J696" i="33"/>
  <c r="I696" i="33"/>
  <c r="G696" i="33"/>
  <c r="H696" i="33" s="1"/>
  <c r="F696" i="33"/>
  <c r="E696" i="33"/>
  <c r="D696" i="33"/>
  <c r="N696" i="33" s="1"/>
  <c r="M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L687" i="33"/>
  <c r="K687" i="33"/>
  <c r="J687" i="33"/>
  <c r="I687" i="33"/>
  <c r="G687" i="33"/>
  <c r="H687" i="33" s="1"/>
  <c r="F687" i="33"/>
  <c r="E687" i="33"/>
  <c r="D687" i="33"/>
  <c r="N687" i="33" s="1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N684" i="33" s="1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N680" i="33" s="1"/>
  <c r="M679" i="33"/>
  <c r="L679" i="33"/>
  <c r="K679" i="33"/>
  <c r="J679" i="33"/>
  <c r="I679" i="33"/>
  <c r="G679" i="33"/>
  <c r="H679" i="33" s="1"/>
  <c r="F679" i="33"/>
  <c r="E679" i="33"/>
  <c r="D679" i="33"/>
  <c r="N679" i="33" s="1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 s="1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 s="1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D652" i="33"/>
  <c r="N652" i="33" s="1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 s="1"/>
  <c r="D647" i="33"/>
  <c r="L647" i="33"/>
  <c r="K647" i="33"/>
  <c r="J647" i="33"/>
  <c r="I647" i="33"/>
  <c r="G647" i="33"/>
  <c r="H647" i="33" s="1"/>
  <c r="F647" i="33"/>
  <c r="E647" i="33"/>
  <c r="M646" i="33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N644" i="33" s="1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 s="1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 s="1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D621" i="33"/>
  <c r="N621" i="33" s="1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L598" i="33"/>
  <c r="K598" i="33"/>
  <c r="J598" i="33"/>
  <c r="I598" i="33"/>
  <c r="G598" i="33"/>
  <c r="H598" i="33" s="1"/>
  <c r="F598" i="33"/>
  <c r="E598" i="33"/>
  <c r="D598" i="33"/>
  <c r="N598" i="33" s="1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 s="1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 s="1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 s="1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L554" i="33"/>
  <c r="K554" i="33"/>
  <c r="J554" i="33"/>
  <c r="I554" i="33"/>
  <c r="G554" i="33"/>
  <c r="H554" i="33" s="1"/>
  <c r="F554" i="33"/>
  <c r="E554" i="33"/>
  <c r="D554" i="33"/>
  <c r="N554" i="33" s="1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N547" i="33" s="1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L542" i="33"/>
  <c r="K542" i="33"/>
  <c r="J542" i="33"/>
  <c r="I542" i="33"/>
  <c r="G542" i="33"/>
  <c r="H542" i="33" s="1"/>
  <c r="F542" i="33"/>
  <c r="E542" i="33"/>
  <c r="D542" i="33"/>
  <c r="N542" i="33" s="1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N536" i="33" s="1"/>
  <c r="M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 s="1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 s="1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N505" i="33" s="1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 s="1"/>
  <c r="M502" i="33"/>
  <c r="D502" i="33"/>
  <c r="N502" i="33" s="1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N499" i="33" s="1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L496" i="33"/>
  <c r="K496" i="33"/>
  <c r="J496" i="33"/>
  <c r="I496" i="33"/>
  <c r="G496" i="33"/>
  <c r="H496" i="33" s="1"/>
  <c r="F496" i="33"/>
  <c r="E496" i="33"/>
  <c r="D496" i="33"/>
  <c r="N496" i="33" s="1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N486" i="33" s="1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D480" i="33"/>
  <c r="N480" i="33" s="1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N477" i="33" s="1"/>
  <c r="M477" i="33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N461" i="33" s="1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 s="1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N451" i="33" s="1"/>
  <c r="M450" i="33"/>
  <c r="D450" i="33"/>
  <c r="N450" i="33" s="1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L447" i="33"/>
  <c r="K447" i="33"/>
  <c r="J447" i="33"/>
  <c r="I447" i="33"/>
  <c r="G447" i="33"/>
  <c r="H447" i="33" s="1"/>
  <c r="F447" i="33"/>
  <c r="E447" i="33"/>
  <c r="D447" i="33"/>
  <c r="N447" i="33" s="1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N443" i="33" s="1"/>
  <c r="L443" i="33"/>
  <c r="K443" i="33"/>
  <c r="J443" i="33"/>
  <c r="I443" i="33"/>
  <c r="G443" i="33"/>
  <c r="H443" i="33" s="1"/>
  <c r="F443" i="33"/>
  <c r="E443" i="33"/>
  <c r="M442" i="33"/>
  <c r="L442" i="33"/>
  <c r="K442" i="33"/>
  <c r="J442" i="33"/>
  <c r="I442" i="33"/>
  <c r="G442" i="33"/>
  <c r="H442" i="33" s="1"/>
  <c r="F442" i="33"/>
  <c r="E442" i="33"/>
  <c r="D442" i="33"/>
  <c r="N442" i="33" s="1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L434" i="33"/>
  <c r="K434" i="33"/>
  <c r="J434" i="33"/>
  <c r="I434" i="33"/>
  <c r="G434" i="33"/>
  <c r="H434" i="33" s="1"/>
  <c r="F434" i="33"/>
  <c r="E434" i="33"/>
  <c r="D434" i="33"/>
  <c r="N434" i="33" s="1"/>
  <c r="M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N432" i="33" s="1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D425" i="33"/>
  <c r="N425" i="33" s="1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D421" i="33"/>
  <c r="N421" i="33" s="1"/>
  <c r="L421" i="33"/>
  <c r="K421" i="33"/>
  <c r="J421" i="33"/>
  <c r="I421" i="33"/>
  <c r="G421" i="33"/>
  <c r="H421" i="33" s="1"/>
  <c r="F421" i="33"/>
  <c r="E421" i="33"/>
  <c r="M420" i="33"/>
  <c r="D420" i="33"/>
  <c r="N420" i="33" s="1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L26" i="33"/>
  <c r="M26" i="33" s="1"/>
  <c r="N26" i="33" s="1"/>
  <c r="D26" i="33"/>
  <c r="E26" i="33" s="1"/>
  <c r="L25" i="33"/>
  <c r="D25" i="33"/>
  <c r="E25" i="33" s="1"/>
  <c r="L24" i="33"/>
  <c r="D24" i="33"/>
  <c r="E24" i="33" s="1"/>
  <c r="L23" i="33"/>
  <c r="M23" i="33" s="1"/>
  <c r="N23" i="33" s="1"/>
  <c r="D23" i="33"/>
  <c r="E23" i="33"/>
  <c r="L22" i="33"/>
  <c r="L21" i="33"/>
  <c r="D21" i="33"/>
  <c r="E21" i="33" s="1"/>
  <c r="L20" i="33"/>
  <c r="D20" i="33"/>
  <c r="E20" i="33" s="1"/>
  <c r="L19" i="33"/>
  <c r="D19" i="33"/>
  <c r="L18" i="33"/>
  <c r="D18" i="33"/>
  <c r="E18" i="33" s="1"/>
  <c r="L17" i="33"/>
  <c r="M17" i="33" s="1"/>
  <c r="N17" i="33" s="1"/>
  <c r="D17" i="33"/>
  <c r="E17" i="33"/>
  <c r="L16" i="33"/>
  <c r="L15" i="33"/>
  <c r="D15" i="33"/>
  <c r="L14" i="33"/>
  <c r="M14" i="33" s="1"/>
  <c r="N14" i="33" s="1"/>
  <c r="D14" i="33"/>
  <c r="E14" i="33" s="1"/>
  <c r="L13" i="33"/>
  <c r="D13" i="33"/>
  <c r="E13" i="33" s="1"/>
  <c r="L12" i="33"/>
  <c r="M12" i="33" s="1"/>
  <c r="N12" i="33" s="1"/>
  <c r="D12" i="33"/>
  <c r="L11" i="33"/>
  <c r="L10" i="33"/>
  <c r="L8" i="33"/>
  <c r="M8" i="33" s="1"/>
  <c r="N8" i="33" s="1"/>
  <c r="D8" i="33"/>
  <c r="E8" i="33" s="1"/>
  <c r="L7" i="33"/>
  <c r="D7" i="33"/>
  <c r="E7" i="33" s="1"/>
  <c r="L6" i="33"/>
  <c r="D6" i="33"/>
  <c r="E6" i="33" s="1"/>
  <c r="L5" i="33"/>
  <c r="D5" i="33"/>
  <c r="L4" i="33"/>
  <c r="L3" i="33"/>
  <c r="D3" i="33"/>
  <c r="L9" i="33"/>
  <c r="J21" i="22"/>
  <c r="K21" i="22"/>
  <c r="L21" i="22"/>
  <c r="J20" i="22"/>
  <c r="K20" i="22"/>
  <c r="L20" i="22"/>
  <c r="J19" i="22"/>
  <c r="K19" i="22"/>
  <c r="J18" i="22"/>
  <c r="K18" i="22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 s="1"/>
  <c r="M397" i="33"/>
  <c r="D397" i="33"/>
  <c r="N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D393" i="33"/>
  <c r="K393" i="33"/>
  <c r="J393" i="33"/>
  <c r="I393" i="33"/>
  <c r="G393" i="33"/>
  <c r="H393" i="33" s="1"/>
  <c r="F393" i="33"/>
  <c r="E393" i="33"/>
  <c r="M392" i="33"/>
  <c r="D392" i="33"/>
  <c r="N392" i="33" s="1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D390" i="33"/>
  <c r="N390" i="33" s="1"/>
  <c r="K390" i="33"/>
  <c r="J390" i="33"/>
  <c r="I390" i="33"/>
  <c r="G390" i="33"/>
  <c r="H390" i="33" s="1"/>
  <c r="F390" i="33"/>
  <c r="E390" i="33"/>
  <c r="M389" i="33"/>
  <c r="D389" i="33"/>
  <c r="N389" i="33" s="1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 s="1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D384" i="33"/>
  <c r="N384" i="33" s="1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N381" i="33" s="1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N377" i="33" s="1"/>
  <c r="K377" i="33"/>
  <c r="J377" i="33"/>
  <c r="I377" i="33"/>
  <c r="G377" i="33"/>
  <c r="H377" i="33" s="1"/>
  <c r="F377" i="33"/>
  <c r="E377" i="33"/>
  <c r="M376" i="33"/>
  <c r="K376" i="33"/>
  <c r="J376" i="33"/>
  <c r="I376" i="33"/>
  <c r="G376" i="33"/>
  <c r="H376" i="33" s="1"/>
  <c r="F376" i="33"/>
  <c r="E376" i="33"/>
  <c r="D376" i="33"/>
  <c r="N376" i="33" s="1"/>
  <c r="M375" i="33"/>
  <c r="D375" i="33"/>
  <c r="K375" i="33"/>
  <c r="J375" i="33"/>
  <c r="I375" i="33"/>
  <c r="G375" i="33"/>
  <c r="H375" i="33" s="1"/>
  <c r="F375" i="33"/>
  <c r="E375" i="33"/>
  <c r="M374" i="33"/>
  <c r="D374" i="33"/>
  <c r="N374" i="33" s="1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D370" i="33"/>
  <c r="N370" i="33" s="1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D347" i="33"/>
  <c r="N347" i="33" s="1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K345" i="33"/>
  <c r="J345" i="33"/>
  <c r="I345" i="33"/>
  <c r="G345" i="33"/>
  <c r="H345" i="33" s="1"/>
  <c r="F345" i="33"/>
  <c r="E345" i="33"/>
  <c r="D345" i="33"/>
  <c r="N345" i="33" s="1"/>
  <c r="M344" i="33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D339" i="33"/>
  <c r="K339" i="33"/>
  <c r="J339" i="33"/>
  <c r="I339" i="33"/>
  <c r="G339" i="33"/>
  <c r="H339" i="33" s="1"/>
  <c r="F339" i="33"/>
  <c r="E339" i="33"/>
  <c r="M338" i="33"/>
  <c r="D338" i="33"/>
  <c r="N338" i="33" s="1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D336" i="33"/>
  <c r="N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K322" i="33"/>
  <c r="J322" i="33"/>
  <c r="I322" i="33"/>
  <c r="G322" i="33"/>
  <c r="H322" i="33" s="1"/>
  <c r="F322" i="33"/>
  <c r="E322" i="33"/>
  <c r="M321" i="33"/>
  <c r="D321" i="33"/>
  <c r="K321" i="33"/>
  <c r="J321" i="33"/>
  <c r="I321" i="33"/>
  <c r="G321" i="33"/>
  <c r="H321" i="33" s="1"/>
  <c r="F321" i="33"/>
  <c r="E321" i="33"/>
  <c r="M320" i="33"/>
  <c r="N320" i="33" s="1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D306" i="33"/>
  <c r="N306" i="33" s="1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D304" i="33"/>
  <c r="N304" i="33" s="1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D299" i="33"/>
  <c r="N299" i="33" s="1"/>
  <c r="K299" i="33"/>
  <c r="J299" i="33"/>
  <c r="I299" i="33"/>
  <c r="G299" i="33"/>
  <c r="H299" i="33" s="1"/>
  <c r="F299" i="33"/>
  <c r="E299" i="33"/>
  <c r="M298" i="33"/>
  <c r="D298" i="33"/>
  <c r="N298" i="33" s="1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D293" i="33"/>
  <c r="N293" i="33" s="1"/>
  <c r="K293" i="33"/>
  <c r="J293" i="33"/>
  <c r="I293" i="33"/>
  <c r="G293" i="33"/>
  <c r="H293" i="33" s="1"/>
  <c r="F293" i="33"/>
  <c r="E293" i="33"/>
  <c r="M292" i="33"/>
  <c r="D292" i="33"/>
  <c r="N292" i="33" s="1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D277" i="33"/>
  <c r="N277" i="33" s="1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 s="1"/>
  <c r="D220" i="33"/>
  <c r="E220" i="33" s="1"/>
  <c r="D219" i="33"/>
  <c r="E219" i="33" s="1"/>
  <c r="D218" i="33"/>
  <c r="D196" i="33"/>
  <c r="E196" i="33" s="1"/>
  <c r="D217" i="33"/>
  <c r="L217" i="33" s="1"/>
  <c r="M217" i="33" s="1"/>
  <c r="N217" i="33" s="1"/>
  <c r="D216" i="33"/>
  <c r="E216" i="33" s="1"/>
  <c r="D215" i="33"/>
  <c r="D214" i="33"/>
  <c r="E214" i="33"/>
  <c r="D213" i="33"/>
  <c r="D212" i="33"/>
  <c r="E212" i="33" s="1"/>
  <c r="D211" i="33"/>
  <c r="D210" i="33"/>
  <c r="E210" i="33" s="1"/>
  <c r="D209" i="33"/>
  <c r="D208" i="33"/>
  <c r="E208" i="33"/>
  <c r="D207" i="33"/>
  <c r="D206" i="33"/>
  <c r="D205" i="33"/>
  <c r="D204" i="33"/>
  <c r="E204" i="33" s="1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 s="1"/>
  <c r="D197" i="33"/>
  <c r="D195" i="33"/>
  <c r="D194" i="33"/>
  <c r="D193" i="33"/>
  <c r="E193" i="33" s="1"/>
  <c r="D192" i="33"/>
  <c r="E192" i="33"/>
  <c r="D191" i="33"/>
  <c r="D190" i="33"/>
  <c r="L190" i="33" s="1"/>
  <c r="M190" i="33" s="1"/>
  <c r="N190" i="33" s="1"/>
  <c r="D189" i="33"/>
  <c r="E189" i="33"/>
  <c r="D188" i="33"/>
  <c r="D187" i="33"/>
  <c r="D186" i="33"/>
  <c r="D185" i="33"/>
  <c r="L185" i="33" s="1"/>
  <c r="M185" i="33" s="1"/>
  <c r="N185" i="33" s="1"/>
  <c r="D184" i="33"/>
  <c r="E184" i="33" s="1"/>
  <c r="D183" i="33"/>
  <c r="E183" i="33" s="1"/>
  <c r="D182" i="33"/>
  <c r="E182" i="33"/>
  <c r="D181" i="33"/>
  <c r="D180" i="33"/>
  <c r="L180" i="33" s="1"/>
  <c r="M180" i="33" s="1"/>
  <c r="N180" i="33" s="1"/>
  <c r="D179" i="33"/>
  <c r="D178" i="33"/>
  <c r="E178" i="33" s="1"/>
  <c r="D177" i="33"/>
  <c r="E177" i="33" s="1"/>
  <c r="D176" i="33"/>
  <c r="E176" i="33"/>
  <c r="D175" i="33"/>
  <c r="D174" i="33"/>
  <c r="E174" i="33"/>
  <c r="D173" i="33"/>
  <c r="E173" i="33" s="1"/>
  <c r="D172" i="33"/>
  <c r="D171" i="33"/>
  <c r="E171" i="33" s="1"/>
  <c r="D170" i="33"/>
  <c r="E170" i="33"/>
  <c r="D169" i="33"/>
  <c r="E169" i="33" s="1"/>
  <c r="D168" i="33"/>
  <c r="E168" i="33" s="1"/>
  <c r="D167" i="33"/>
  <c r="E167" i="33" s="1"/>
  <c r="D166" i="33"/>
  <c r="L166" i="33" s="1"/>
  <c r="M166" i="33" s="1"/>
  <c r="N166" i="33" s="1"/>
  <c r="D165" i="33"/>
  <c r="E165" i="33" s="1"/>
  <c r="D164" i="33"/>
  <c r="D163" i="33"/>
  <c r="E163" i="33" s="1"/>
  <c r="D162" i="33"/>
  <c r="E162" i="33" s="1"/>
  <c r="D161" i="33"/>
  <c r="E161" i="33" s="1"/>
  <c r="D160" i="33"/>
  <c r="E160" i="33" s="1"/>
  <c r="D159" i="33"/>
  <c r="E159" i="33" s="1"/>
  <c r="D158" i="33"/>
  <c r="E158" i="33" s="1"/>
  <c r="D157" i="33"/>
  <c r="E157" i="33"/>
  <c r="D156" i="33"/>
  <c r="D155" i="33"/>
  <c r="E155" i="33" s="1"/>
  <c r="D154" i="33"/>
  <c r="E154" i="33" s="1"/>
  <c r="D153" i="33"/>
  <c r="D152" i="33"/>
  <c r="E152" i="33"/>
  <c r="D151" i="33"/>
  <c r="E151" i="33" s="1"/>
  <c r="D150" i="33"/>
  <c r="E150" i="33" s="1"/>
  <c r="D149" i="33"/>
  <c r="E149" i="33" s="1"/>
  <c r="D148" i="33"/>
  <c r="E148" i="33" s="1"/>
  <c r="D139" i="33"/>
  <c r="L139" i="33" s="1"/>
  <c r="M139" i="33" s="1"/>
  <c r="N139" i="33" s="1"/>
  <c r="D140" i="33"/>
  <c r="E140" i="33" s="1"/>
  <c r="D141" i="33"/>
  <c r="D142" i="33"/>
  <c r="E142" i="33" s="1"/>
  <c r="D143" i="33"/>
  <c r="D144" i="33"/>
  <c r="D145" i="33"/>
  <c r="E145" i="33" s="1"/>
  <c r="D146" i="33"/>
  <c r="D147" i="33"/>
  <c r="E147" i="33" s="1"/>
  <c r="D118" i="33"/>
  <c r="E118" i="33" s="1"/>
  <c r="D119" i="33"/>
  <c r="D120" i="33"/>
  <c r="E120" i="33" s="1"/>
  <c r="D121" i="33"/>
  <c r="E121" i="33" s="1"/>
  <c r="D122" i="33"/>
  <c r="L122" i="33" s="1"/>
  <c r="M122" i="33" s="1"/>
  <c r="N122" i="33" s="1"/>
  <c r="D123" i="33"/>
  <c r="L123" i="33" s="1"/>
  <c r="M123" i="33" s="1"/>
  <c r="N123" i="33" s="1"/>
  <c r="D124" i="33"/>
  <c r="E124" i="33"/>
  <c r="D125" i="33"/>
  <c r="L125" i="33" s="1"/>
  <c r="M125" i="33" s="1"/>
  <c r="N125" i="33" s="1"/>
  <c r="D126" i="33"/>
  <c r="D127" i="33"/>
  <c r="E127" i="33" s="1"/>
  <c r="D128" i="33"/>
  <c r="D65" i="33"/>
  <c r="D136" i="33"/>
  <c r="E136" i="33" s="1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 s="1"/>
  <c r="D116" i="33"/>
  <c r="L116" i="33" s="1"/>
  <c r="M116" i="33" s="1"/>
  <c r="N116" i="33" s="1"/>
  <c r="D117" i="33"/>
  <c r="A7" i="37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D115" i="33"/>
  <c r="E115" i="33" s="1"/>
  <c r="D114" i="33"/>
  <c r="D113" i="33"/>
  <c r="D112" i="33"/>
  <c r="D111" i="33"/>
  <c r="E111" i="33"/>
  <c r="D100" i="33"/>
  <c r="E100" i="33" s="1"/>
  <c r="D99" i="33"/>
  <c r="D98" i="33"/>
  <c r="E98" i="33"/>
  <c r="D97" i="33"/>
  <c r="E97" i="33" s="1"/>
  <c r="D96" i="33"/>
  <c r="L96" i="33" s="1"/>
  <c r="M96" i="33" s="1"/>
  <c r="N96" i="33" s="1"/>
  <c r="D95" i="33"/>
  <c r="E95" i="33" s="1"/>
  <c r="D94" i="33"/>
  <c r="E94" i="33" s="1"/>
  <c r="D93" i="33"/>
  <c r="E93" i="33" s="1"/>
  <c r="D92" i="33"/>
  <c r="E92" i="33" s="1"/>
  <c r="D91" i="33"/>
  <c r="L91" i="33"/>
  <c r="M91" i="33" s="1"/>
  <c r="N91" i="33" s="1"/>
  <c r="D90" i="33"/>
  <c r="D89" i="33"/>
  <c r="E89" i="33" s="1"/>
  <c r="D88" i="33"/>
  <c r="E88" i="33" s="1"/>
  <c r="D85" i="33"/>
  <c r="E85" i="33" s="1"/>
  <c r="D84" i="33"/>
  <c r="L84" i="33" s="1"/>
  <c r="M84" i="33" s="1"/>
  <c r="N84" i="33" s="1"/>
  <c r="D83" i="33"/>
  <c r="E83" i="33" s="1"/>
  <c r="D79" i="33"/>
  <c r="D4" i="33"/>
  <c r="E4" i="33" s="1"/>
  <c r="D110" i="33"/>
  <c r="D109" i="33"/>
  <c r="E109" i="33" s="1"/>
  <c r="D108" i="33"/>
  <c r="D107" i="33"/>
  <c r="D106" i="33"/>
  <c r="D105" i="33"/>
  <c r="D104" i="33"/>
  <c r="D103" i="33"/>
  <c r="E103" i="33" s="1"/>
  <c r="D102" i="33"/>
  <c r="E102" i="33" s="1"/>
  <c r="D101" i="33"/>
  <c r="E101" i="33" s="1"/>
  <c r="D87" i="33"/>
  <c r="E87" i="33" s="1"/>
  <c r="D86" i="33"/>
  <c r="E86" i="33" s="1"/>
  <c r="D82" i="33"/>
  <c r="L82" i="33" s="1"/>
  <c r="M82" i="33" s="1"/>
  <c r="N82" i="33" s="1"/>
  <c r="D81" i="33"/>
  <c r="D80" i="33"/>
  <c r="E80" i="33" s="1"/>
  <c r="G5" i="22"/>
  <c r="G4" i="22"/>
  <c r="G3" i="22"/>
  <c r="G6" i="22" s="1"/>
  <c r="F6" i="22" s="1"/>
  <c r="J6" i="22" s="1"/>
  <c r="D78" i="33"/>
  <c r="E78" i="33" s="1"/>
  <c r="D77" i="33"/>
  <c r="E77" i="33" s="1"/>
  <c r="D76" i="33"/>
  <c r="E76" i="33" s="1"/>
  <c r="D75" i="33"/>
  <c r="D74" i="33"/>
  <c r="D73" i="33"/>
  <c r="E73" i="33"/>
  <c r="D72" i="33"/>
  <c r="E72" i="33" s="1"/>
  <c r="D61" i="33"/>
  <c r="D71" i="33"/>
  <c r="E71" i="33" s="1"/>
  <c r="D70" i="33"/>
  <c r="D69" i="33"/>
  <c r="G2" i="33"/>
  <c r="F2" i="33"/>
  <c r="F1" i="33"/>
  <c r="M2" i="33"/>
  <c r="L2" i="33"/>
  <c r="J2" i="33"/>
  <c r="D68" i="33"/>
  <c r="L68" i="33" s="1"/>
  <c r="M68" i="33" s="1"/>
  <c r="N68" i="33" s="1"/>
  <c r="E68" i="33"/>
  <c r="D67" i="33"/>
  <c r="D66" i="33"/>
  <c r="D64" i="33"/>
  <c r="D63" i="33"/>
  <c r="E63" i="33" s="1"/>
  <c r="D62" i="33"/>
  <c r="E62" i="33" s="1"/>
  <c r="D60" i="33"/>
  <c r="E60" i="33" s="1"/>
  <c r="D59" i="33"/>
  <c r="E59" i="33"/>
  <c r="D58" i="33"/>
  <c r="D57" i="33"/>
  <c r="E57" i="33" s="1"/>
  <c r="D56" i="33"/>
  <c r="D55" i="33"/>
  <c r="E55" i="33" s="1"/>
  <c r="D54" i="33"/>
  <c r="E54" i="33" s="1"/>
  <c r="D53" i="33"/>
  <c r="E53" i="33" s="1"/>
  <c r="D52" i="33"/>
  <c r="D51" i="33"/>
  <c r="L51" i="33" s="1"/>
  <c r="M51" i="33" s="1"/>
  <c r="N51" i="33" s="1"/>
  <c r="D50" i="33"/>
  <c r="E50" i="33" s="1"/>
  <c r="D49" i="33"/>
  <c r="E49" i="33" s="1"/>
  <c r="D48" i="33"/>
  <c r="L48" i="33" s="1"/>
  <c r="M48" i="33" s="1"/>
  <c r="N48" i="33" s="1"/>
  <c r="D47" i="33"/>
  <c r="E47" i="33" s="1"/>
  <c r="D46" i="33"/>
  <c r="L46" i="33" s="1"/>
  <c r="M46" i="33" s="1"/>
  <c r="N46" i="33" s="1"/>
  <c r="D45" i="33"/>
  <c r="D44" i="33"/>
  <c r="D36" i="33"/>
  <c r="E36" i="33" s="1"/>
  <c r="D37" i="33"/>
  <c r="E37" i="33" s="1"/>
  <c r="D38" i="33"/>
  <c r="E38" i="33" s="1"/>
  <c r="D39" i="33"/>
  <c r="D40" i="33"/>
  <c r="E40" i="33" s="1"/>
  <c r="D41" i="33"/>
  <c r="D42" i="33"/>
  <c r="D43" i="33"/>
  <c r="L43" i="33" s="1"/>
  <c r="M43" i="33" s="1"/>
  <c r="N43" i="33" s="1"/>
  <c r="I2" i="33"/>
  <c r="I1" i="33"/>
  <c r="D31" i="33"/>
  <c r="D30" i="33"/>
  <c r="D35" i="33"/>
  <c r="D34" i="33"/>
  <c r="L34" i="33" s="1"/>
  <c r="M34" i="33" s="1"/>
  <c r="N34" i="33" s="1"/>
  <c r="D33" i="33"/>
  <c r="E33" i="33" s="1"/>
  <c r="D32" i="33"/>
  <c r="E32" i="33"/>
  <c r="D29" i="33"/>
  <c r="D28" i="33"/>
  <c r="E28" i="33" s="1"/>
  <c r="D27" i="33"/>
  <c r="E27" i="33" s="1"/>
  <c r="F10" i="21"/>
  <c r="B10" i="21" s="1"/>
  <c r="D22" i="33"/>
  <c r="E22" i="33" s="1"/>
  <c r="D16" i="33"/>
  <c r="D9" i="33"/>
  <c r="E9" i="33" s="1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 s="1"/>
  <c r="X17" i="18"/>
  <c r="W17" i="18"/>
  <c r="V17" i="18"/>
  <c r="U17" i="18"/>
  <c r="AE4" i="7"/>
  <c r="AI4" i="7"/>
  <c r="O16" i="18"/>
  <c r="AG4" i="7"/>
  <c r="S4" i="7"/>
  <c r="F6" i="21"/>
  <c r="G77" i="16"/>
  <c r="K77" i="16" s="1"/>
  <c r="M77" i="16" s="1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 s="1"/>
  <c r="M76" i="16" s="1"/>
  <c r="F76" i="16"/>
  <c r="J76" i="16" s="1"/>
  <c r="L76" i="16" s="1"/>
  <c r="E76" i="16"/>
  <c r="D76" i="16"/>
  <c r="F75" i="16"/>
  <c r="J75" i="16" s="1"/>
  <c r="L75" i="16" s="1"/>
  <c r="G75" i="16"/>
  <c r="K75" i="16" s="1"/>
  <c r="M75" i="16" s="1"/>
  <c r="F74" i="16"/>
  <c r="J74" i="16" s="1"/>
  <c r="L74" i="16" s="1"/>
  <c r="G74" i="16"/>
  <c r="K74" i="16"/>
  <c r="M74" i="16" s="1"/>
  <c r="G73" i="16"/>
  <c r="K73" i="16" s="1"/>
  <c r="M73" i="16" s="1"/>
  <c r="F73" i="16"/>
  <c r="J73" i="16" s="1"/>
  <c r="L73" i="16" s="1"/>
  <c r="G72" i="16"/>
  <c r="K72" i="16"/>
  <c r="M72" i="16" s="1"/>
  <c r="F72" i="16"/>
  <c r="J72" i="16" s="1"/>
  <c r="L72" i="16" s="1"/>
  <c r="G71" i="16"/>
  <c r="K71" i="16"/>
  <c r="M71" i="16" s="1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 s="1"/>
  <c r="F67" i="16"/>
  <c r="J67" i="16" s="1"/>
  <c r="L67" i="16" s="1"/>
  <c r="F71" i="16"/>
  <c r="J71" i="16" s="1"/>
  <c r="L71" i="16" s="1"/>
  <c r="G66" i="16"/>
  <c r="K66" i="16" s="1"/>
  <c r="M66" i="16" s="1"/>
  <c r="F66" i="16"/>
  <c r="J66" i="16" s="1"/>
  <c r="L66" i="16" s="1"/>
  <c r="A7" i="16"/>
  <c r="F52" i="16"/>
  <c r="J52" i="16" s="1"/>
  <c r="L52" i="16" s="1"/>
  <c r="G51" i="16"/>
  <c r="K51" i="16" s="1"/>
  <c r="M51" i="16" s="1"/>
  <c r="F51" i="16"/>
  <c r="J51" i="16" s="1"/>
  <c r="L51" i="16" s="1"/>
  <c r="F41" i="16"/>
  <c r="J41" i="16" s="1"/>
  <c r="L41" i="16" s="1"/>
  <c r="G37" i="16"/>
  <c r="K37" i="16"/>
  <c r="M37" i="16" s="1"/>
  <c r="G43" i="16"/>
  <c r="K43" i="16" s="1"/>
  <c r="M43" i="16" s="1"/>
  <c r="G47" i="16"/>
  <c r="K47" i="16"/>
  <c r="M47" i="16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 s="1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D3" i="21" s="1"/>
  <c r="E3" i="21"/>
  <c r="F12" i="21"/>
  <c r="C12" i="21" s="1"/>
  <c r="F11" i="21"/>
  <c r="C11" i="21" s="1"/>
  <c r="B9" i="21"/>
  <c r="F8" i="21"/>
  <c r="C8" i="21" s="1"/>
  <c r="B7" i="21"/>
  <c r="B4" i="21"/>
  <c r="K9" i="22"/>
  <c r="L9" i="22" s="1"/>
  <c r="K12" i="22"/>
  <c r="L12" i="22"/>
  <c r="K10" i="22"/>
  <c r="L10" i="22"/>
  <c r="K11" i="22"/>
  <c r="L11" i="22" s="1"/>
  <c r="K13" i="22"/>
  <c r="L13" i="22" s="1"/>
  <c r="C5" i="22"/>
  <c r="C3" i="22"/>
  <c r="C4" i="22"/>
  <c r="F3" i="22"/>
  <c r="J3" i="22" s="1"/>
  <c r="F4" i="22"/>
  <c r="J4" i="22" s="1"/>
  <c r="F5" i="22"/>
  <c r="J5" i="22" s="1"/>
  <c r="B5" i="22"/>
  <c r="B4" i="22"/>
  <c r="B3" i="22"/>
  <c r="F9" i="21"/>
  <c r="C9" i="21"/>
  <c r="F7" i="21"/>
  <c r="C7" i="21" s="1"/>
  <c r="F5" i="21"/>
  <c r="D5" i="21" s="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 s="1"/>
  <c r="G12" i="19" s="1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 s="1"/>
  <c r="M28" i="16" s="1"/>
  <c r="F36" i="16"/>
  <c r="J36" i="16" s="1"/>
  <c r="L36" i="16" s="1"/>
  <c r="F24" i="16"/>
  <c r="J24" i="16" s="1"/>
  <c r="L24" i="16" s="1"/>
  <c r="G26" i="16"/>
  <c r="K26" i="16"/>
  <c r="M26" i="16" s="1"/>
  <c r="G31" i="16"/>
  <c r="K31" i="16"/>
  <c r="M31" i="16" s="1"/>
  <c r="F29" i="16"/>
  <c r="J29" i="16" s="1"/>
  <c r="L29" i="16" s="1"/>
  <c r="F25" i="16"/>
  <c r="J25" i="16" s="1"/>
  <c r="L25" i="16" s="1"/>
  <c r="G23" i="16"/>
  <c r="K23" i="16" s="1"/>
  <c r="M23" i="16" s="1"/>
  <c r="F30" i="16"/>
  <c r="J30" i="16" s="1"/>
  <c r="L30" i="16" s="1"/>
  <c r="G27" i="16"/>
  <c r="K27" i="16" s="1"/>
  <c r="M27" i="16" s="1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 s="1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 s="1"/>
  <c r="M22" i="16"/>
  <c r="G17" i="16"/>
  <c r="K17" i="16" s="1"/>
  <c r="M17" i="16" s="1"/>
  <c r="G13" i="16"/>
  <c r="K13" i="16"/>
  <c r="M13" i="16" s="1"/>
  <c r="G16" i="16"/>
  <c r="K16" i="16" s="1"/>
  <c r="M16" i="16" s="1"/>
  <c r="G19" i="16"/>
  <c r="K19" i="16" s="1"/>
  <c r="M19" i="16" s="1"/>
  <c r="G10" i="16"/>
  <c r="K10" i="16" s="1"/>
  <c r="M10" i="16" s="1"/>
  <c r="G15" i="16"/>
  <c r="K15" i="16" s="1"/>
  <c r="M15" i="16" s="1"/>
  <c r="G41" i="16"/>
  <c r="K41" i="16" s="1"/>
  <c r="M41" i="16"/>
  <c r="G30" i="16"/>
  <c r="K30" i="16" s="1"/>
  <c r="M30" i="16" s="1"/>
  <c r="G38" i="16"/>
  <c r="K38" i="16"/>
  <c r="M38" i="16" s="1"/>
  <c r="F42" i="16"/>
  <c r="J42" i="16" s="1"/>
  <c r="L42" i="16" s="1"/>
  <c r="G33" i="16"/>
  <c r="K33" i="16" s="1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 s="1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 s="1"/>
  <c r="M32" i="16" s="1"/>
  <c r="F33" i="16"/>
  <c r="J33" i="16" s="1"/>
  <c r="L33" i="16" s="1"/>
  <c r="G24" i="16"/>
  <c r="K24" i="16" s="1"/>
  <c r="M24" i="16" s="1"/>
  <c r="G12" i="16"/>
  <c r="K12" i="16" s="1"/>
  <c r="M12" i="16"/>
  <c r="G39" i="16"/>
  <c r="K39" i="16" s="1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 s="1"/>
  <c r="M25" i="16" s="1"/>
  <c r="G8" i="16"/>
  <c r="K8" i="16"/>
  <c r="M8" i="16" s="1"/>
  <c r="G14" i="16"/>
  <c r="K14" i="16" s="1"/>
  <c r="M14" i="16"/>
  <c r="F21" i="16"/>
  <c r="J21" i="16" s="1"/>
  <c r="L21" i="16" s="1"/>
  <c r="G29" i="16"/>
  <c r="K29" i="16"/>
  <c r="M29" i="16" s="1"/>
  <c r="F9" i="16"/>
  <c r="J9" i="16" s="1"/>
  <c r="L9" i="16" s="1"/>
  <c r="F37" i="16"/>
  <c r="J37" i="16" s="1"/>
  <c r="L37" i="16" s="1"/>
  <c r="G65" i="16"/>
  <c r="K65" i="16" s="1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 s="1"/>
  <c r="M55" i="16" s="1"/>
  <c r="G59" i="16"/>
  <c r="K59" i="16" s="1"/>
  <c r="M59" i="16" s="1"/>
  <c r="G64" i="16"/>
  <c r="K64" i="16"/>
  <c r="M64" i="16" s="1"/>
  <c r="F55" i="16"/>
  <c r="J55" i="16" s="1"/>
  <c r="L55" i="16" s="1"/>
  <c r="F64" i="16"/>
  <c r="J64" i="16" s="1"/>
  <c r="L64" i="16" s="1"/>
  <c r="F59" i="16"/>
  <c r="J59" i="16" s="1"/>
  <c r="L59" i="16" s="1"/>
  <c r="G54" i="16"/>
  <c r="K54" i="16" s="1"/>
  <c r="M54" i="16"/>
  <c r="F63" i="16"/>
  <c r="J63" i="16" s="1"/>
  <c r="L63" i="16" s="1"/>
  <c r="G58" i="16"/>
  <c r="K58" i="16" s="1"/>
  <c r="M58" i="16" s="1"/>
  <c r="G53" i="16"/>
  <c r="K53" i="16"/>
  <c r="M53" i="16" s="1"/>
  <c r="G63" i="16"/>
  <c r="K63" i="16" s="1"/>
  <c r="M63" i="16"/>
  <c r="F54" i="16"/>
  <c r="J54" i="16" s="1"/>
  <c r="L54" i="16" s="1"/>
  <c r="G62" i="16"/>
  <c r="K62" i="16" s="1"/>
  <c r="M62" i="16" s="1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 s="1"/>
  <c r="G57" i="16"/>
  <c r="K57" i="16" s="1"/>
  <c r="M57" i="16" s="1"/>
  <c r="F49" i="16"/>
  <c r="J49" i="16" s="1"/>
  <c r="L49" i="16" s="1"/>
  <c r="G49" i="16"/>
  <c r="K49" i="16" s="1"/>
  <c r="M49" i="16" s="1"/>
  <c r="F50" i="16"/>
  <c r="J50" i="16" s="1"/>
  <c r="L50" i="16" s="1"/>
  <c r="G52" i="16"/>
  <c r="K52" i="16" s="1"/>
  <c r="M52" i="16" s="1"/>
  <c r="F22" i="16"/>
  <c r="J22" i="16" s="1"/>
  <c r="L22" i="16" s="1"/>
  <c r="G44" i="16"/>
  <c r="K44" i="16" s="1"/>
  <c r="M44" i="16" s="1"/>
  <c r="G46" i="16"/>
  <c r="K46" i="16" s="1"/>
  <c r="M46" i="16" s="1"/>
  <c r="F43" i="16"/>
  <c r="J43" i="16" s="1"/>
  <c r="L43" i="16" s="1"/>
  <c r="G50" i="16"/>
  <c r="K50" i="16"/>
  <c r="M50" i="16" s="1"/>
  <c r="G48" i="16"/>
  <c r="K48" i="16"/>
  <c r="M48" i="16" s="1"/>
  <c r="F69" i="16"/>
  <c r="J69" i="16" s="1"/>
  <c r="L69" i="16" s="1"/>
  <c r="G69" i="16"/>
  <c r="K69" i="16" s="1"/>
  <c r="M69" i="16" s="1"/>
  <c r="G70" i="16"/>
  <c r="K70" i="16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287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N607" i="33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N309" i="33"/>
  <c r="N295" i="33"/>
  <c r="E139" i="33"/>
  <c r="N369" i="33"/>
  <c r="N633" i="33"/>
  <c r="Q18" i="20"/>
  <c r="R18" i="20" s="1"/>
  <c r="Q3" i="20"/>
  <c r="Q13" i="20"/>
  <c r="Q24" i="20"/>
  <c r="R24" i="20" s="1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617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321" i="33"/>
  <c r="N418" i="33"/>
  <c r="N469" i="33"/>
  <c r="N558" i="33"/>
  <c r="N639" i="33"/>
  <c r="N671" i="33"/>
  <c r="N678" i="33"/>
  <c r="N401" i="33"/>
  <c r="N611" i="33"/>
  <c r="N691" i="33"/>
  <c r="P42" i="20"/>
  <c r="R42" i="20" s="1"/>
  <c r="N648" i="33"/>
  <c r="N660" i="33"/>
  <c r="N688" i="33"/>
  <c r="N694" i="33"/>
  <c r="N700" i="33"/>
  <c r="N456" i="33"/>
  <c r="N528" i="33"/>
  <c r="N545" i="33"/>
  <c r="N550" i="33"/>
  <c r="N620" i="33"/>
  <c r="N668" i="33"/>
  <c r="N675" i="33"/>
  <c r="N695" i="33"/>
  <c r="C5" i="9"/>
  <c r="G19" i="20"/>
  <c r="Q17" i="20"/>
  <c r="N355" i="33"/>
  <c r="N472" i="33"/>
  <c r="N514" i="33"/>
  <c r="N560" i="33"/>
  <c r="N561" i="33"/>
  <c r="N576" i="33"/>
  <c r="N618" i="33"/>
  <c r="N676" i="33"/>
  <c r="N297" i="33"/>
  <c r="N337" i="33"/>
  <c r="N339" i="33"/>
  <c r="N341" i="33"/>
  <c r="N409" i="33"/>
  <c r="N497" i="33"/>
  <c r="N569" i="33"/>
  <c r="N594" i="33"/>
  <c r="N627" i="33"/>
  <c r="N667" i="33"/>
  <c r="N673" i="33"/>
  <c r="N692" i="33"/>
  <c r="P34" i="20"/>
  <c r="R34" i="20" s="1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524" i="33"/>
  <c r="N300" i="33"/>
  <c r="N312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332" i="33"/>
  <c r="N380" i="33"/>
  <c r="N383" i="33"/>
  <c r="N464" i="33"/>
  <c r="N551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22" i="33"/>
  <c r="N328" i="33"/>
  <c r="N373" i="33"/>
  <c r="N484" i="33"/>
  <c r="N395" i="33"/>
  <c r="N270" i="33"/>
  <c r="N273" i="33"/>
  <c r="N458" i="33"/>
  <c r="N657" i="33"/>
  <c r="N697" i="33"/>
  <c r="R3" i="20"/>
  <c r="K22" i="22"/>
  <c r="L19" i="22"/>
  <c r="G4" i="20"/>
  <c r="G6" i="20" s="1"/>
  <c r="Q6" i="20" s="1"/>
  <c r="R6" i="20" s="1"/>
  <c r="G14" i="20"/>
  <c r="G16" i="20" s="1"/>
  <c r="Q16" i="20" s="1"/>
  <c r="R16" i="20" s="1"/>
  <c r="G9" i="20"/>
  <c r="Q7" i="20" s="1"/>
  <c r="R7" i="20" s="1"/>
  <c r="G24" i="20"/>
  <c r="Q22" i="20" s="1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2" i="33"/>
  <c r="N388" i="33"/>
  <c r="N391" i="33"/>
  <c r="N416" i="33"/>
  <c r="N423" i="33"/>
  <c r="N517" i="33"/>
  <c r="N553" i="33"/>
  <c r="N577" i="33"/>
  <c r="N585" i="33"/>
  <c r="N600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358" i="33"/>
  <c r="M21" i="33"/>
  <c r="N21" i="33" s="1"/>
  <c r="N441" i="33"/>
  <c r="N501" i="33"/>
  <c r="N534" i="33"/>
  <c r="N565" i="33"/>
  <c r="N589" i="33"/>
  <c r="N605" i="33"/>
  <c r="N643" i="33"/>
  <c r="R6" i="19"/>
  <c r="N489" i="33"/>
  <c r="N537" i="33"/>
  <c r="N590" i="33"/>
  <c r="N615" i="33"/>
  <c r="R17" i="20"/>
  <c r="G21" i="20"/>
  <c r="Q21" i="20" s="1"/>
  <c r="R21" i="20" s="1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N372" i="33"/>
  <c r="G7" i="16"/>
  <c r="K7" i="16" s="1"/>
  <c r="M7" i="16" s="1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 s="1"/>
  <c r="N342" i="33"/>
  <c r="N352" i="33"/>
  <c r="N402" i="33"/>
  <c r="N430" i="33"/>
  <c r="N481" i="33"/>
  <c r="N535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33" i="33"/>
  <c r="N495" i="33"/>
  <c r="N543" i="33"/>
  <c r="N581" i="33"/>
  <c r="N635" i="33"/>
  <c r="N641" i="33"/>
  <c r="N670" i="33"/>
  <c r="N412" i="33"/>
  <c r="N274" i="33"/>
  <c r="N329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 s="1"/>
  <c r="I52" i="33"/>
  <c r="AQ17" i="7"/>
  <c r="AV36" i="7"/>
  <c r="I92" i="33"/>
  <c r="AP34" i="7"/>
  <c r="I159" i="33"/>
  <c r="AU34" i="7"/>
  <c r="F89" i="33"/>
  <c r="F30" i="33"/>
  <c r="I172" i="33"/>
  <c r="AU27" i="7"/>
  <c r="AP20" i="7"/>
  <c r="F23" i="33"/>
  <c r="F38" i="33"/>
  <c r="G13" i="18"/>
  <c r="AR17" i="7"/>
  <c r="AV13" i="7"/>
  <c r="E7" i="16"/>
  <c r="I189" i="33"/>
  <c r="I74" i="33"/>
  <c r="F73" i="33"/>
  <c r="AV33" i="7"/>
  <c r="I6" i="33"/>
  <c r="I5" i="33"/>
  <c r="F41" i="33"/>
  <c r="AP17" i="7"/>
  <c r="I144" i="33"/>
  <c r="AP31" i="7"/>
  <c r="I27" i="33"/>
  <c r="AP27" i="7"/>
  <c r="F180" i="33"/>
  <c r="F60" i="33"/>
  <c r="F164" i="33"/>
  <c r="I155" i="33"/>
  <c r="I171" i="33"/>
  <c r="I7" i="16"/>
  <c r="I76" i="33"/>
  <c r="AO30" i="7"/>
  <c r="AU32" i="7"/>
  <c r="I66" i="33"/>
  <c r="I157" i="33"/>
  <c r="AV34" i="7"/>
  <c r="F153" i="33"/>
  <c r="F152" i="33"/>
  <c r="F131" i="33"/>
  <c r="AV20" i="7"/>
  <c r="I29" i="33"/>
  <c r="I15" i="33"/>
  <c r="I97" i="33"/>
  <c r="I18" i="33"/>
  <c r="F222" i="33"/>
  <c r="I68" i="33"/>
  <c r="AP36" i="7"/>
  <c r="I166" i="33"/>
  <c r="F187" i="33"/>
  <c r="F206" i="33"/>
  <c r="I49" i="33"/>
  <c r="AR10" i="7"/>
  <c r="I170" i="33"/>
  <c r="F135" i="33"/>
  <c r="I90" i="33"/>
  <c r="I38" i="33"/>
  <c r="I205" i="33"/>
  <c r="F53" i="33"/>
  <c r="F191" i="33"/>
  <c r="I56" i="33"/>
  <c r="AO4" i="7"/>
  <c r="AQ18" i="7"/>
  <c r="I163" i="33"/>
  <c r="I75" i="33"/>
  <c r="F17" i="33"/>
  <c r="AP18" i="7"/>
  <c r="I198" i="33"/>
  <c r="I110" i="33"/>
  <c r="F218" i="33"/>
  <c r="AQ28" i="7"/>
  <c r="I102" i="33"/>
  <c r="F163" i="33"/>
  <c r="AR24" i="7"/>
  <c r="I107" i="33"/>
  <c r="F67" i="33"/>
  <c r="I146" i="33"/>
  <c r="AO15" i="7"/>
  <c r="F45" i="33"/>
  <c r="F125" i="33"/>
  <c r="I190" i="33"/>
  <c r="AP21" i="7"/>
  <c r="I143" i="33"/>
  <c r="F79" i="33"/>
  <c r="AU6" i="7"/>
  <c r="AV31" i="7"/>
  <c r="I64" i="33"/>
  <c r="F16" i="33"/>
  <c r="AU14" i="7"/>
  <c r="AU30" i="7"/>
  <c r="AN19" i="7"/>
  <c r="F177" i="33"/>
  <c r="I30" i="33"/>
  <c r="AU25" i="7"/>
  <c r="F205" i="33"/>
  <c r="I219" i="33"/>
  <c r="F12" i="33"/>
  <c r="AN33" i="7"/>
  <c r="I134" i="33"/>
  <c r="F118" i="33"/>
  <c r="AP24" i="7"/>
  <c r="I156" i="33"/>
  <c r="AQ4" i="7"/>
  <c r="F146" i="33"/>
  <c r="F90" i="33"/>
  <c r="AN13" i="7"/>
  <c r="AR18" i="7"/>
  <c r="F120" i="33"/>
  <c r="F62" i="33"/>
  <c r="I202" i="33"/>
  <c r="I37" i="33"/>
  <c r="F44" i="33"/>
  <c r="I65" i="33"/>
  <c r="AP30" i="7"/>
  <c r="AQ23" i="7"/>
  <c r="F182" i="33"/>
  <c r="F214" i="33"/>
  <c r="AV16" i="7"/>
  <c r="AN20" i="7"/>
  <c r="F203" i="33"/>
  <c r="AQ7" i="7"/>
  <c r="F201" i="33"/>
  <c r="AV30" i="7"/>
  <c r="F36" i="33"/>
  <c r="AV26" i="7"/>
  <c r="AV10" i="7"/>
  <c r="I183" i="33"/>
  <c r="F84" i="33"/>
  <c r="F109" i="33"/>
  <c r="I218" i="33"/>
  <c r="I41" i="33"/>
  <c r="F174" i="33"/>
  <c r="AQ20" i="7"/>
  <c r="AP14" i="7"/>
  <c r="F96" i="33"/>
  <c r="I149" i="33"/>
  <c r="I60" i="33"/>
  <c r="I40" i="33"/>
  <c r="F82" i="33"/>
  <c r="AN6" i="7"/>
  <c r="AQ15" i="7"/>
  <c r="AQ34" i="7"/>
  <c r="AV18" i="7"/>
  <c r="I193" i="33"/>
  <c r="F49" i="33"/>
  <c r="F50" i="33"/>
  <c r="F20" i="33"/>
  <c r="AN21" i="7"/>
  <c r="I88" i="33"/>
  <c r="AV28" i="7"/>
  <c r="F151" i="33"/>
  <c r="F4" i="33"/>
  <c r="F136" i="33"/>
  <c r="F104" i="33"/>
  <c r="AQ36" i="7"/>
  <c r="F140" i="33"/>
  <c r="I22" i="33"/>
  <c r="D8" i="16"/>
  <c r="F145" i="33"/>
  <c r="I206" i="33"/>
  <c r="AO11" i="7"/>
  <c r="I114" i="33"/>
  <c r="AV22" i="7"/>
  <c r="D9" i="16"/>
  <c r="AV24" i="7"/>
  <c r="AO14" i="7"/>
  <c r="I196" i="33"/>
  <c r="AR13" i="7"/>
  <c r="I221" i="33"/>
  <c r="G11" i="18"/>
  <c r="AR25" i="7"/>
  <c r="I178" i="33"/>
  <c r="I201" i="33"/>
  <c r="AU13" i="7"/>
  <c r="AR26" i="7"/>
  <c r="F219" i="33"/>
  <c r="F173" i="33"/>
  <c r="AP12" i="7"/>
  <c r="I17" i="33"/>
  <c r="AR33" i="7"/>
  <c r="AU36" i="7"/>
  <c r="AV7" i="7"/>
  <c r="AO34" i="7"/>
  <c r="I72" i="33"/>
  <c r="AN11" i="7"/>
  <c r="I180" i="33"/>
  <c r="AO35" i="7"/>
  <c r="F119" i="33"/>
  <c r="D7" i="16"/>
  <c r="I9" i="16"/>
  <c r="I147" i="33"/>
  <c r="I209" i="33"/>
  <c r="I4" i="33"/>
  <c r="F26" i="33"/>
  <c r="AN26" i="7"/>
  <c r="AN22" i="7"/>
  <c r="I214" i="33"/>
  <c r="I69" i="33"/>
  <c r="F190" i="33"/>
  <c r="G12" i="18"/>
  <c r="F78" i="33"/>
  <c r="I33" i="33"/>
  <c r="AN18" i="7"/>
  <c r="AN29" i="7"/>
  <c r="F194" i="33"/>
  <c r="AR28" i="7"/>
  <c r="F108" i="33"/>
  <c r="I7" i="33"/>
  <c r="I128" i="33"/>
  <c r="AU20" i="7"/>
  <c r="AQ24" i="7"/>
  <c r="F211" i="33"/>
  <c r="AN35" i="7"/>
  <c r="E9" i="16"/>
  <c r="AP32" i="7"/>
  <c r="F129" i="33"/>
  <c r="F103" i="33"/>
  <c r="AP23" i="7"/>
  <c r="F106" i="33"/>
  <c r="F57" i="33"/>
  <c r="F81" i="33"/>
  <c r="F176" i="33"/>
  <c r="F181" i="33"/>
  <c r="F3" i="33"/>
  <c r="I203" i="33"/>
  <c r="F28" i="33"/>
  <c r="AR29" i="7"/>
  <c r="I150" i="33"/>
  <c r="F32" i="33"/>
  <c r="F69" i="33"/>
  <c r="AN31" i="7"/>
  <c r="AP9" i="7"/>
  <c r="F207" i="33"/>
  <c r="I124" i="33"/>
  <c r="F193" i="33"/>
  <c r="F128" i="33"/>
  <c r="AP4" i="7"/>
  <c r="AV17" i="7"/>
  <c r="F216" i="33"/>
  <c r="AR11" i="7"/>
  <c r="F24" i="33"/>
  <c r="H7" i="16"/>
  <c r="AO16" i="7"/>
  <c r="F138" i="33"/>
  <c r="F11" i="33"/>
  <c r="H8" i="16"/>
  <c r="AU8" i="7"/>
  <c r="F185" i="33"/>
  <c r="AQ22" i="7"/>
  <c r="I174" i="33"/>
  <c r="AV23" i="7"/>
  <c r="AN32" i="7"/>
  <c r="I212" i="33"/>
  <c r="AU26" i="7"/>
  <c r="F74" i="33"/>
  <c r="F77" i="33"/>
  <c r="I113" i="33"/>
  <c r="F212" i="33"/>
  <c r="AV35" i="7"/>
  <c r="AV25" i="7"/>
  <c r="F34" i="33"/>
  <c r="AR4" i="7"/>
  <c r="I62" i="33"/>
  <c r="AR23" i="7"/>
  <c r="AO8" i="7"/>
  <c r="AN10" i="7"/>
  <c r="I12" i="33"/>
  <c r="F165" i="33"/>
  <c r="H9" i="16"/>
  <c r="F102" i="33"/>
  <c r="AP26" i="7"/>
  <c r="AP22" i="7"/>
  <c r="I91" i="33"/>
  <c r="AN7" i="7"/>
  <c r="AN30" i="7"/>
  <c r="AR15" i="7"/>
  <c r="AQ26" i="7"/>
  <c r="F76" i="33"/>
  <c r="AU31" i="7"/>
  <c r="AO26" i="7"/>
  <c r="I82" i="33"/>
  <c r="F208" i="33"/>
  <c r="AN24" i="7"/>
  <c r="F13" i="33"/>
  <c r="AO28" i="7"/>
  <c r="AQ19" i="7"/>
  <c r="F202" i="33"/>
  <c r="I61" i="33"/>
  <c r="I67" i="33"/>
  <c r="AQ11" i="7"/>
  <c r="F175" i="33"/>
  <c r="F158" i="33"/>
  <c r="I45" i="33"/>
  <c r="I3" i="33"/>
  <c r="F137" i="33"/>
  <c r="I161" i="33"/>
  <c r="AV4" i="7"/>
  <c r="F55" i="33"/>
  <c r="AU12" i="7"/>
  <c r="I220" i="33"/>
  <c r="G16" i="18"/>
  <c r="AP29" i="7"/>
  <c r="F144" i="33"/>
  <c r="F61" i="33"/>
  <c r="F188" i="33"/>
  <c r="F168" i="33"/>
  <c r="I119" i="33"/>
  <c r="AN15" i="7"/>
  <c r="F33" i="33"/>
  <c r="I25" i="33"/>
  <c r="AQ10" i="7"/>
  <c r="F51" i="33"/>
  <c r="AO25" i="7"/>
  <c r="F7" i="33"/>
  <c r="F65" i="33"/>
  <c r="AU17" i="7"/>
  <c r="AU9" i="7"/>
  <c r="F121" i="33"/>
  <c r="F123" i="33"/>
  <c r="AQ14" i="7"/>
  <c r="F101" i="33"/>
  <c r="F99" i="33"/>
  <c r="F105" i="33"/>
  <c r="I84" i="33"/>
  <c r="F112" i="33"/>
  <c r="F71" i="33"/>
  <c r="AU7" i="7"/>
  <c r="I86" i="33"/>
  <c r="AN14" i="7"/>
  <c r="F183" i="33"/>
  <c r="I80" i="33"/>
  <c r="AR14" i="7"/>
  <c r="F39" i="33"/>
  <c r="I130" i="33"/>
  <c r="AR7" i="7"/>
  <c r="I186" i="33"/>
  <c r="F198" i="33"/>
  <c r="AR34" i="7"/>
  <c r="F91" i="33"/>
  <c r="I188" i="33"/>
  <c r="F141" i="33"/>
  <c r="AO23" i="7"/>
  <c r="AR20" i="7"/>
  <c r="I20" i="33"/>
  <c r="F122" i="33"/>
  <c r="F150" i="33"/>
  <c r="AR32" i="7"/>
  <c r="I215" i="33"/>
  <c r="F93" i="33"/>
  <c r="I187" i="33"/>
  <c r="AV9" i="7"/>
  <c r="F70" i="33"/>
  <c r="G6" i="18"/>
  <c r="AU28" i="7"/>
  <c r="AR8" i="7"/>
  <c r="AU33" i="7"/>
  <c r="AU3" i="7"/>
  <c r="AO31" i="7"/>
  <c r="I31" i="33"/>
  <c r="F161" i="33"/>
  <c r="I87" i="33"/>
  <c r="F156" i="33"/>
  <c r="F111" i="33"/>
  <c r="AR5" i="7"/>
  <c r="I79" i="33"/>
  <c r="F86" i="33"/>
  <c r="F117" i="33"/>
  <c r="I71" i="33"/>
  <c r="F52" i="33"/>
  <c r="I21" i="33"/>
  <c r="G10" i="18"/>
  <c r="I95" i="33"/>
  <c r="AO12" i="7"/>
  <c r="G9" i="18"/>
  <c r="AV19" i="7"/>
  <c r="AU35" i="7"/>
  <c r="I98" i="33"/>
  <c r="I175" i="33"/>
  <c r="F95" i="33"/>
  <c r="F159" i="33"/>
  <c r="AV6" i="7"/>
  <c r="AO32" i="7"/>
  <c r="AO7" i="7"/>
  <c r="I78" i="33"/>
  <c r="AU22" i="7"/>
  <c r="F178" i="33"/>
  <c r="AN28" i="7"/>
  <c r="F210" i="33"/>
  <c r="I181" i="33"/>
  <c r="I184" i="33"/>
  <c r="AQ25" i="7"/>
  <c r="F130" i="33"/>
  <c r="AP28" i="7"/>
  <c r="I44" i="33"/>
  <c r="AN4" i="7"/>
  <c r="F56" i="33"/>
  <c r="F46" i="33"/>
  <c r="I8" i="33"/>
  <c r="F169" i="33"/>
  <c r="F124" i="33"/>
  <c r="I63" i="33"/>
  <c r="AO13" i="7"/>
  <c r="F139" i="33"/>
  <c r="F48" i="33"/>
  <c r="I179" i="33"/>
  <c r="I47" i="33"/>
  <c r="I10" i="33"/>
  <c r="I104" i="33"/>
  <c r="I158" i="33"/>
  <c r="I103" i="33"/>
  <c r="F179" i="33"/>
  <c r="F133" i="33"/>
  <c r="F114" i="33"/>
  <c r="I100" i="33"/>
  <c r="I112" i="33"/>
  <c r="I70" i="33"/>
  <c r="F113" i="33"/>
  <c r="F215" i="33"/>
  <c r="F127" i="33"/>
  <c r="AV29" i="7"/>
  <c r="AQ13" i="7"/>
  <c r="F47" i="33"/>
  <c r="F27" i="33"/>
  <c r="I108" i="33"/>
  <c r="I154" i="33"/>
  <c r="AU21" i="7"/>
  <c r="AO17" i="7"/>
  <c r="F43" i="33"/>
  <c r="F196" i="33"/>
  <c r="AU23" i="7"/>
  <c r="I123" i="33"/>
  <c r="F162" i="33"/>
  <c r="AQ9" i="7"/>
  <c r="I54" i="33"/>
  <c r="I135" i="33"/>
  <c r="I160" i="33"/>
  <c r="I210" i="33"/>
  <c r="AV15" i="7"/>
  <c r="F197" i="33"/>
  <c r="I177" i="33"/>
  <c r="AO24" i="7"/>
  <c r="AN3" i="7"/>
  <c r="F21" i="33"/>
  <c r="AP5" i="7"/>
  <c r="I73" i="33"/>
  <c r="I43" i="33"/>
  <c r="I115" i="33"/>
  <c r="F64" i="33"/>
  <c r="I42" i="33"/>
  <c r="F87" i="33"/>
  <c r="AR3" i="7"/>
  <c r="I199" i="33"/>
  <c r="I117" i="33"/>
  <c r="I35" i="33"/>
  <c r="F29" i="33"/>
  <c r="AO36" i="7"/>
  <c r="F166" i="33"/>
  <c r="I213" i="33"/>
  <c r="I34" i="33"/>
  <c r="I162" i="33"/>
  <c r="I120" i="33"/>
  <c r="AO19" i="7"/>
  <c r="I195" i="33"/>
  <c r="I46" i="33"/>
  <c r="F110" i="33"/>
  <c r="AQ8" i="7"/>
  <c r="AU16" i="7"/>
  <c r="I176" i="33"/>
  <c r="F200" i="33"/>
  <c r="AV3" i="7"/>
  <c r="AP25" i="7"/>
  <c r="I148" i="33"/>
  <c r="I152" i="33"/>
  <c r="AN36" i="7"/>
  <c r="I138" i="33"/>
  <c r="I96" i="33"/>
  <c r="F58" i="33"/>
  <c r="AO5" i="7"/>
  <c r="AO22" i="7"/>
  <c r="I16" i="33"/>
  <c r="AO29" i="7"/>
  <c r="AO6" i="7"/>
  <c r="G7" i="18"/>
  <c r="AQ29" i="7"/>
  <c r="I217" i="33"/>
  <c r="E8" i="16"/>
  <c r="I83" i="33"/>
  <c r="AQ21" i="7"/>
  <c r="I39" i="33"/>
  <c r="I131" i="33"/>
  <c r="F83" i="33"/>
  <c r="AV27" i="7"/>
  <c r="I140" i="33"/>
  <c r="F116" i="33"/>
  <c r="I50" i="33"/>
  <c r="I122" i="33"/>
  <c r="I32" i="33"/>
  <c r="I57" i="33"/>
  <c r="F37" i="33"/>
  <c r="F54" i="33"/>
  <c r="G4" i="18"/>
  <c r="AP11" i="7"/>
  <c r="AR35" i="7"/>
  <c r="I125" i="33"/>
  <c r="F10" i="33"/>
  <c r="AV11" i="7"/>
  <c r="I55" i="33"/>
  <c r="AP33" i="7"/>
  <c r="AP13" i="7"/>
  <c r="AU18" i="7"/>
  <c r="AN23" i="7"/>
  <c r="I28" i="33"/>
  <c r="I137" i="33"/>
  <c r="I58" i="33"/>
  <c r="I197" i="33"/>
  <c r="AV5" i="7"/>
  <c r="AQ12" i="7"/>
  <c r="I77" i="33"/>
  <c r="F167" i="33"/>
  <c r="I207" i="33"/>
  <c r="F18" i="33"/>
  <c r="AN12" i="7"/>
  <c r="AO18" i="7"/>
  <c r="F98" i="33"/>
  <c r="I126" i="33"/>
  <c r="I116" i="33"/>
  <c r="F68" i="33"/>
  <c r="I153" i="33"/>
  <c r="F72" i="33"/>
  <c r="AV8" i="7"/>
  <c r="I136" i="33"/>
  <c r="F189" i="33"/>
  <c r="F170" i="33"/>
  <c r="I99" i="33"/>
  <c r="I132" i="33"/>
  <c r="F80" i="33"/>
  <c r="I204" i="33"/>
  <c r="AO33" i="7"/>
  <c r="G18" i="18"/>
  <c r="I24" i="33"/>
  <c r="AR36" i="7"/>
  <c r="F22" i="33"/>
  <c r="I11" i="33"/>
  <c r="F75" i="33"/>
  <c r="AV14" i="7"/>
  <c r="AN34" i="7"/>
  <c r="AN9" i="7"/>
  <c r="AV21" i="7"/>
  <c r="F155" i="33"/>
  <c r="F186" i="33"/>
  <c r="F115" i="33"/>
  <c r="AO20" i="7"/>
  <c r="AN16" i="7"/>
  <c r="I111" i="33"/>
  <c r="AU24" i="7"/>
  <c r="I106" i="33"/>
  <c r="AP6" i="7"/>
  <c r="F97" i="33"/>
  <c r="G17" i="18"/>
  <c r="F85" i="33"/>
  <c r="F148" i="33"/>
  <c r="F204" i="33"/>
  <c r="I85" i="33"/>
  <c r="AO21" i="7"/>
  <c r="F107" i="33"/>
  <c r="I222" i="33"/>
  <c r="F132" i="33"/>
  <c r="AO10" i="7"/>
  <c r="I185" i="33"/>
  <c r="I145" i="33"/>
  <c r="AR19" i="7"/>
  <c r="I9" i="33"/>
  <c r="F63" i="33"/>
  <c r="F92" i="33"/>
  <c r="AP10" i="7"/>
  <c r="I14" i="33"/>
  <c r="F143" i="33"/>
  <c r="F6" i="33"/>
  <c r="AN17" i="7"/>
  <c r="AR21" i="7"/>
  <c r="AO3" i="7"/>
  <c r="I191" i="33"/>
  <c r="AV32" i="7"/>
  <c r="AR6" i="7"/>
  <c r="AU10" i="7"/>
  <c r="AV12" i="7"/>
  <c r="I165" i="33"/>
  <c r="I151" i="33"/>
  <c r="I200" i="33"/>
  <c r="F35" i="33"/>
  <c r="AN27" i="7"/>
  <c r="I141" i="33"/>
  <c r="F40" i="33"/>
  <c r="AN25" i="7"/>
  <c r="I93" i="33"/>
  <c r="AP15" i="7"/>
  <c r="AR9" i="7"/>
  <c r="AU19" i="7"/>
  <c r="AU15" i="7"/>
  <c r="I23" i="33"/>
  <c r="I89" i="33"/>
  <c r="F147" i="33"/>
  <c r="I168" i="33"/>
  <c r="F31" i="33"/>
  <c r="F134" i="33"/>
  <c r="I194" i="33"/>
  <c r="AU11" i="7"/>
  <c r="I59" i="33"/>
  <c r="AO9" i="7"/>
  <c r="I169" i="33"/>
  <c r="AQ16" i="7"/>
  <c r="F94" i="33"/>
  <c r="I173" i="33"/>
  <c r="F220" i="33"/>
  <c r="AR30" i="7"/>
  <c r="I164" i="33"/>
  <c r="F171" i="33"/>
  <c r="AN5" i="7"/>
  <c r="F213" i="33"/>
  <c r="I94" i="33"/>
  <c r="AQ6" i="7"/>
  <c r="I51" i="33"/>
  <c r="F19" i="33"/>
  <c r="F9" i="33"/>
  <c r="AR16" i="7"/>
  <c r="I139" i="33"/>
  <c r="F209" i="33"/>
  <c r="F15" i="33"/>
  <c r="I121" i="33"/>
  <c r="F172" i="33"/>
  <c r="F142" i="33"/>
  <c r="F25" i="33"/>
  <c r="I142" i="33"/>
  <c r="F184" i="33"/>
  <c r="F217" i="33"/>
  <c r="G5" i="18"/>
  <c r="AU5" i="7"/>
  <c r="F157" i="33"/>
  <c r="I81" i="33"/>
  <c r="AO27" i="7"/>
  <c r="F100" i="33"/>
  <c r="F199" i="33"/>
  <c r="F192" i="33"/>
  <c r="F149" i="33"/>
  <c r="AR12" i="7"/>
  <c r="AR27" i="7"/>
  <c r="I48" i="33"/>
  <c r="AP7" i="7"/>
  <c r="I118" i="33"/>
  <c r="F195" i="33"/>
  <c r="F160" i="33"/>
  <c r="I101" i="33"/>
  <c r="AQ30" i="7"/>
  <c r="AQ33" i="7"/>
  <c r="AQ3" i="7"/>
  <c r="I167" i="33"/>
  <c r="I127" i="33"/>
  <c r="I129" i="33"/>
  <c r="AP8" i="7"/>
  <c r="F5" i="33"/>
  <c r="I19" i="33"/>
  <c r="I53" i="33"/>
  <c r="F14" i="33"/>
  <c r="I36" i="33"/>
  <c r="I192" i="33"/>
  <c r="AR22" i="7"/>
  <c r="I211" i="33"/>
  <c r="I105" i="33"/>
  <c r="I8" i="16"/>
  <c r="I182" i="33"/>
  <c r="F59" i="33"/>
  <c r="I208" i="33"/>
  <c r="F42" i="33"/>
  <c r="F66" i="33"/>
  <c r="F221" i="33"/>
  <c r="AQ27" i="7"/>
  <c r="F126" i="33"/>
  <c r="AU29" i="7"/>
  <c r="AQ31" i="7"/>
  <c r="F8" i="33"/>
  <c r="AQ35" i="7"/>
  <c r="I13" i="33"/>
  <c r="AU4" i="7"/>
  <c r="AN8" i="7"/>
  <c r="AP35" i="7"/>
  <c r="F154" i="33"/>
  <c r="AR31" i="7"/>
  <c r="AQ32" i="7"/>
  <c r="AP3" i="7"/>
  <c r="AQ5" i="7"/>
  <c r="AP16" i="7"/>
  <c r="I216" i="33"/>
  <c r="F88" i="33"/>
  <c r="I109" i="33"/>
  <c r="I26" i="33"/>
  <c r="AP19" i="7"/>
  <c r="G8" i="18"/>
  <c r="I133" i="33"/>
  <c r="M19" i="33" l="1"/>
  <c r="N19" i="33" s="1"/>
  <c r="E116" i="33"/>
  <c r="L63" i="33"/>
  <c r="M63" i="33" s="1"/>
  <c r="N63" i="33" s="1"/>
  <c r="C3" i="21"/>
  <c r="N344" i="33"/>
  <c r="N350" i="33"/>
  <c r="C19" i="19"/>
  <c r="N417" i="33"/>
  <c r="N445" i="33"/>
  <c r="N507" i="33"/>
  <c r="N552" i="33"/>
  <c r="N646" i="33"/>
  <c r="N669" i="33"/>
  <c r="Q10" i="20"/>
  <c r="R10" i="20" s="1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M6" i="33"/>
  <c r="N6" i="33" s="1"/>
  <c r="M24" i="33"/>
  <c r="N24" i="33" s="1"/>
  <c r="N424" i="33"/>
  <c r="N440" i="33"/>
  <c r="N522" i="33"/>
  <c r="N587" i="33"/>
  <c r="N623" i="33"/>
  <c r="N649" i="33"/>
  <c r="N661" i="33"/>
  <c r="N664" i="33"/>
  <c r="O15" i="18"/>
  <c r="E46" i="33"/>
  <c r="N478" i="33"/>
  <c r="N527" i="33"/>
  <c r="N651" i="33"/>
  <c r="N685" i="33"/>
  <c r="Q12" i="20"/>
  <c r="R12" i="20" s="1"/>
  <c r="B8" i="21"/>
  <c r="L83" i="33"/>
  <c r="M83" i="33" s="1"/>
  <c r="N83" i="33" s="1"/>
  <c r="L103" i="33"/>
  <c r="M103" i="33" s="1"/>
  <c r="N103" i="33" s="1"/>
  <c r="N276" i="33"/>
  <c r="N279" i="33"/>
  <c r="N282" i="33"/>
  <c r="N288" i="33"/>
  <c r="N291" i="33"/>
  <c r="M7" i="33"/>
  <c r="N7" i="33" s="1"/>
  <c r="M20" i="33"/>
  <c r="N20" i="33" s="1"/>
  <c r="M25" i="33"/>
  <c r="N25" i="33" s="1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M9" i="33"/>
  <c r="N9" i="33" s="1"/>
  <c r="M16" i="33"/>
  <c r="N16" i="33" s="1"/>
  <c r="N406" i="33"/>
  <c r="N414" i="33"/>
  <c r="N426" i="33"/>
  <c r="N436" i="33"/>
  <c r="N448" i="33"/>
  <c r="N530" i="33"/>
  <c r="N567" i="33"/>
  <c r="N674" i="33"/>
  <c r="M27" i="33"/>
  <c r="N27" i="33" s="1"/>
  <c r="C7" i="19"/>
  <c r="N403" i="33"/>
  <c r="O14" i="18"/>
  <c r="L171" i="33"/>
  <c r="M171" i="33" s="1"/>
  <c r="N171" i="33" s="1"/>
  <c r="B12" i="21"/>
  <c r="L173" i="33"/>
  <c r="M173" i="33" s="1"/>
  <c r="N173" i="33" s="1"/>
  <c r="D12" i="21"/>
  <c r="N275" i="33"/>
  <c r="N314" i="33"/>
  <c r="N393" i="33"/>
  <c r="M22" i="33"/>
  <c r="N22" i="33" s="1"/>
  <c r="N427" i="33"/>
  <c r="N508" i="33"/>
  <c r="N532" i="33"/>
  <c r="N625" i="33"/>
  <c r="N629" i="33"/>
  <c r="Q9" i="20"/>
  <c r="R9" i="20" s="1"/>
  <c r="R8" i="20"/>
  <c r="M5" i="33"/>
  <c r="N5" i="33" s="1"/>
  <c r="R28" i="44" a="1"/>
  <c r="R28" i="44" s="1"/>
  <c r="T28" i="44" s="1"/>
  <c r="R24" i="44" a="1"/>
  <c r="R24" i="44" s="1"/>
  <c r="U24" i="44" s="1"/>
  <c r="R13" i="44" a="1"/>
  <c r="R13" i="44" s="1"/>
  <c r="U13" i="44" s="1"/>
  <c r="R16" i="44" a="1"/>
  <c r="R16" i="44" s="1"/>
  <c r="T16" i="44" s="1"/>
  <c r="R21" i="44" a="1"/>
  <c r="R21" i="44" s="1"/>
  <c r="U21" i="44" s="1"/>
  <c r="R25" i="44" a="1"/>
  <c r="R25" i="44" s="1"/>
  <c r="U25" i="44" s="1"/>
  <c r="R17" i="44" a="1"/>
  <c r="R17" i="44" s="1"/>
  <c r="V17" i="44" s="1"/>
  <c r="R29" i="44" a="1"/>
  <c r="R29" i="44" s="1"/>
  <c r="Q21" i="44" a="1"/>
  <c r="Q21" i="44" s="1"/>
  <c r="N223" i="33"/>
  <c r="N260" i="33"/>
  <c r="N226" i="33"/>
  <c r="N232" i="33"/>
  <c r="N235" i="33"/>
  <c r="V4" i="18"/>
  <c r="W4" i="18" s="1"/>
  <c r="V6" i="18"/>
  <c r="W6" i="18" s="1"/>
  <c r="R22" i="20"/>
  <c r="Q25" i="20"/>
  <c r="R25" i="20" s="1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 s="1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 s="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Q20" i="44" a="1"/>
  <c r="Q20" i="44" s="1"/>
  <c r="R20" i="44" a="1"/>
  <c r="R20" i="44" s="1"/>
  <c r="V20" i="44" s="1"/>
  <c r="L193" i="33"/>
  <c r="M193" i="33" s="1"/>
  <c r="N193" i="33" s="1"/>
  <c r="F14" i="21"/>
  <c r="B3" i="21"/>
  <c r="E11" i="33"/>
  <c r="M11" i="33"/>
  <c r="N11" i="33" s="1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 s="1"/>
  <c r="E41" i="33"/>
  <c r="L41" i="33"/>
  <c r="M41" i="33" s="1"/>
  <c r="N41" i="33" s="1"/>
  <c r="G11" i="20"/>
  <c r="Q11" i="20" s="1"/>
  <c r="R11" i="20" s="1"/>
  <c r="B11" i="21"/>
  <c r="C6" i="21"/>
  <c r="L35" i="33"/>
  <c r="M35" i="33" s="1"/>
  <c r="N35" i="33" s="1"/>
  <c r="E35" i="33"/>
  <c r="E200" i="33"/>
  <c r="L200" i="33"/>
  <c r="M200" i="33" s="1"/>
  <c r="N200" i="33" s="1"/>
  <c r="N557" i="33"/>
  <c r="E5" i="21"/>
  <c r="B5" i="21"/>
  <c r="C5" i="21"/>
  <c r="M18" i="33"/>
  <c r="N18" i="33" s="1"/>
  <c r="N405" i="33"/>
  <c r="N431" i="33"/>
  <c r="N37" i="20"/>
  <c r="L141" i="33"/>
  <c r="M141" i="33" s="1"/>
  <c r="N141" i="33" s="1"/>
  <c r="M28" i="33"/>
  <c r="N28" i="33" s="1"/>
  <c r="K37" i="20"/>
  <c r="R12" i="44" a="1"/>
  <c r="R12" i="44" s="1"/>
  <c r="L32" i="33"/>
  <c r="M32" i="33" s="1"/>
  <c r="N32" i="33" s="1"/>
  <c r="E61" i="33"/>
  <c r="L61" i="33"/>
  <c r="M61" i="33" s="1"/>
  <c r="N61" i="33" s="1"/>
  <c r="L195" i="33"/>
  <c r="M195" i="33" s="1"/>
  <c r="N195" i="33" s="1"/>
  <c r="M13" i="33"/>
  <c r="N13" i="33" s="1"/>
  <c r="N408" i="33"/>
  <c r="N439" i="33"/>
  <c r="C6" i="22"/>
  <c r="B6" i="22" s="1"/>
  <c r="E104" i="33"/>
  <c r="L104" i="33"/>
  <c r="M104" i="33" s="1"/>
  <c r="N104" i="33" s="1"/>
  <c r="E125" i="33"/>
  <c r="N237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 s="1"/>
  <c r="R39" i="20" s="1"/>
  <c r="I53" i="20"/>
  <c r="L53" i="20"/>
  <c r="J49" i="20"/>
  <c r="H37" i="20"/>
  <c r="P35" i="20" s="1"/>
  <c r="R35" i="20" s="1"/>
  <c r="N435" i="33"/>
  <c r="N548" i="33"/>
  <c r="N588" i="33"/>
  <c r="N613" i="33"/>
  <c r="N630" i="33"/>
  <c r="N230" i="33"/>
  <c r="N255" i="33"/>
  <c r="N258" i="33"/>
  <c r="N261" i="33"/>
  <c r="N264" i="33"/>
  <c r="N573" i="33"/>
  <c r="N591" i="33"/>
  <c r="N665" i="33"/>
  <c r="K48" i="20"/>
  <c r="Q24" i="44" a="1"/>
  <c r="Q24" i="44" s="1"/>
  <c r="N686" i="33"/>
  <c r="L16" i="18"/>
  <c r="N16" i="18" s="1"/>
  <c r="J48" i="20"/>
  <c r="P46" i="20" s="1"/>
  <c r="R46" i="20" s="1"/>
  <c r="N251" i="33"/>
  <c r="N254" i="33"/>
  <c r="N257" i="33"/>
  <c r="M3" i="33"/>
  <c r="N3" i="33" s="1"/>
  <c r="M15" i="33"/>
  <c r="N15" i="33" s="1"/>
  <c r="N500" i="33"/>
  <c r="M4" i="33"/>
  <c r="N4" i="33" s="1"/>
  <c r="M10" i="33"/>
  <c r="N10" i="33" s="1"/>
  <c r="N563" i="33"/>
  <c r="N580" i="33"/>
  <c r="N614" i="33"/>
  <c r="N693" i="33"/>
  <c r="N238" i="33"/>
  <c r="N241" i="33"/>
  <c r="N244" i="33"/>
  <c r="N284" i="33"/>
  <c r="N290" i="33"/>
  <c r="N468" i="33"/>
  <c r="N525" i="33"/>
  <c r="L52" i="20"/>
  <c r="P50" i="20" s="1"/>
  <c r="R50" i="20" s="1"/>
  <c r="Q25" i="44" a="1"/>
  <c r="Q25" i="44" s="1"/>
  <c r="V25" i="44"/>
  <c r="AB10" i="18"/>
  <c r="AC10" i="18" s="1"/>
  <c r="AB4" i="18"/>
  <c r="AC4" i="18" s="1"/>
  <c r="AB8" i="18"/>
  <c r="AC8" i="18" s="1"/>
  <c r="AB6" i="18"/>
  <c r="AC6" i="18" s="1"/>
  <c r="AB7" i="18"/>
  <c r="AC7" i="18" s="1"/>
  <c r="AB5" i="18"/>
  <c r="AC5" i="18" s="1"/>
  <c r="H16" i="18"/>
  <c r="AB11" i="18"/>
  <c r="AC11" i="18" s="1"/>
  <c r="V11" i="18"/>
  <c r="W11" i="18" s="1"/>
  <c r="V8" i="18"/>
  <c r="W8" i="18" s="1"/>
  <c r="V10" i="18"/>
  <c r="W10" i="18" s="1"/>
  <c r="V5" i="18"/>
  <c r="W5" i="18" s="1"/>
  <c r="V9" i="18"/>
  <c r="W9" i="18" s="1"/>
  <c r="V7" i="18"/>
  <c r="W7" i="18" s="1"/>
  <c r="J18" i="18"/>
  <c r="L18" i="18" s="1"/>
  <c r="N18" i="18" s="1"/>
  <c r="H18" i="18"/>
  <c r="H8" i="18"/>
  <c r="J8" i="18"/>
  <c r="L8" i="18" s="1"/>
  <c r="H17" i="18"/>
  <c r="J17" i="18"/>
  <c r="L17" i="18" s="1"/>
  <c r="N17" i="18" s="1"/>
  <c r="J13" i="18"/>
  <c r="L13" i="18" s="1"/>
  <c r="E9" i="18"/>
  <c r="E10" i="18"/>
  <c r="E4" i="18"/>
  <c r="E5" i="18"/>
  <c r="H5" i="18" s="1"/>
  <c r="E12" i="18"/>
  <c r="J12" i="18" s="1"/>
  <c r="M12" i="18" s="1"/>
  <c r="N12" i="18" s="1"/>
  <c r="E6" i="18"/>
  <c r="E7" i="18"/>
  <c r="E11" i="18"/>
  <c r="J126" i="33"/>
  <c r="K126" i="33" s="1"/>
  <c r="J108" i="33"/>
  <c r="K108" i="33" s="1"/>
  <c r="G93" i="33"/>
  <c r="H93" i="33" s="1"/>
  <c r="J88" i="33"/>
  <c r="K88" i="33" s="1"/>
  <c r="J206" i="33"/>
  <c r="K206" i="33" s="1"/>
  <c r="G112" i="33"/>
  <c r="H112" i="33" s="1"/>
  <c r="G76" i="33"/>
  <c r="H76" i="33" s="1"/>
  <c r="G211" i="33"/>
  <c r="H211" i="33" s="1"/>
  <c r="J102" i="33"/>
  <c r="K102" i="33" s="1"/>
  <c r="G117" i="33"/>
  <c r="H117" i="33" s="1"/>
  <c r="N9" i="16"/>
  <c r="G21" i="33"/>
  <c r="H21" i="33" s="1"/>
  <c r="G196" i="33"/>
  <c r="H196" i="33" s="1"/>
  <c r="G220" i="33"/>
  <c r="H220" i="33" s="1"/>
  <c r="J4" i="33"/>
  <c r="K4" i="33" s="1"/>
  <c r="G201" i="33"/>
  <c r="H201" i="33" s="1"/>
  <c r="G208" i="33"/>
  <c r="H208" i="33" s="1"/>
  <c r="G75" i="33"/>
  <c r="H75" i="33" s="1"/>
  <c r="J181" i="33"/>
  <c r="K181" i="33" s="1"/>
  <c r="G222" i="33"/>
  <c r="H222" i="33" s="1"/>
  <c r="J159" i="33"/>
  <c r="K159" i="33" s="1"/>
  <c r="J70" i="33"/>
  <c r="K70" i="33" s="1"/>
  <c r="G172" i="33"/>
  <c r="H172" i="33" s="1"/>
  <c r="G12" i="33"/>
  <c r="H12" i="33" s="1"/>
  <c r="J61" i="33"/>
  <c r="K61" i="33" s="1"/>
  <c r="J214" i="33"/>
  <c r="K214" i="33" s="1"/>
  <c r="J58" i="33"/>
  <c r="K58" i="33" s="1"/>
  <c r="G118" i="33"/>
  <c r="H118" i="33" s="1"/>
  <c r="J160" i="33"/>
  <c r="K160" i="33" s="1"/>
  <c r="G37" i="33"/>
  <c r="H37" i="33" s="1"/>
  <c r="G158" i="33"/>
  <c r="H158" i="33" s="1"/>
  <c r="G30" i="33"/>
  <c r="H30" i="33" s="1"/>
  <c r="G83" i="33"/>
  <c r="H83" i="33" s="1"/>
  <c r="G198" i="33"/>
  <c r="H198" i="33" s="1"/>
  <c r="J162" i="33"/>
  <c r="K162" i="33" s="1"/>
  <c r="J212" i="33"/>
  <c r="K212" i="33" s="1"/>
  <c r="G39" i="33"/>
  <c r="H39" i="33" s="1"/>
  <c r="G191" i="33"/>
  <c r="H191" i="33" s="1"/>
  <c r="G85" i="33"/>
  <c r="H85" i="33" s="1"/>
  <c r="G77" i="33"/>
  <c r="H77" i="33" s="1"/>
  <c r="G7" i="33"/>
  <c r="H7" i="33" s="1"/>
  <c r="J213" i="33"/>
  <c r="K213" i="33" s="1"/>
  <c r="G94" i="33"/>
  <c r="H94" i="33" s="1"/>
  <c r="G216" i="33"/>
  <c r="H216" i="33" s="1"/>
  <c r="J21" i="33"/>
  <c r="K21" i="33" s="1"/>
  <c r="G133" i="33"/>
  <c r="H133" i="33" s="1"/>
  <c r="J76" i="33"/>
  <c r="K76" i="33" s="1"/>
  <c r="J17" i="33"/>
  <c r="K17" i="33" s="1"/>
  <c r="J128" i="33"/>
  <c r="K128" i="33" s="1"/>
  <c r="J121" i="33"/>
  <c r="K121" i="33" s="1"/>
  <c r="G95" i="33"/>
  <c r="H95" i="33" s="1"/>
  <c r="J111" i="33"/>
  <c r="K111" i="33" s="1"/>
  <c r="J171" i="33"/>
  <c r="K171" i="33" s="1"/>
  <c r="J86" i="33"/>
  <c r="K86" i="33" s="1"/>
  <c r="J116" i="33"/>
  <c r="K116" i="33" s="1"/>
  <c r="G203" i="33"/>
  <c r="H203" i="33" s="1"/>
  <c r="G98" i="33"/>
  <c r="H98" i="33" s="1"/>
  <c r="J60" i="33"/>
  <c r="K60" i="33" s="1"/>
  <c r="J39" i="33"/>
  <c r="K39" i="33" s="1"/>
  <c r="J142" i="33"/>
  <c r="K142" i="33" s="1"/>
  <c r="G167" i="33"/>
  <c r="H167" i="33" s="1"/>
  <c r="J26" i="33"/>
  <c r="K26" i="33" s="1"/>
  <c r="J141" i="33"/>
  <c r="K141" i="33" s="1"/>
  <c r="J59" i="33"/>
  <c r="K59" i="33" s="1"/>
  <c r="J82" i="33"/>
  <c r="K82" i="33" s="1"/>
  <c r="G11" i="33"/>
  <c r="H11" i="33" s="1"/>
  <c r="G13" i="33"/>
  <c r="H13" i="33" s="1"/>
  <c r="G8" i="33"/>
  <c r="H8" i="33" s="1"/>
  <c r="G107" i="33"/>
  <c r="H107" i="33" s="1"/>
  <c r="G197" i="33"/>
  <c r="H197" i="33" s="1"/>
  <c r="J143" i="33"/>
  <c r="K143" i="33" s="1"/>
  <c r="J164" i="33"/>
  <c r="K164" i="33" s="1"/>
  <c r="J41" i="33"/>
  <c r="K41" i="33" s="1"/>
  <c r="J144" i="33"/>
  <c r="K144" i="33" s="1"/>
  <c r="G141" i="33"/>
  <c r="H141" i="33" s="1"/>
  <c r="G49" i="33"/>
  <c r="H49" i="33" s="1"/>
  <c r="J23" i="33"/>
  <c r="K23" i="33" s="1"/>
  <c r="G164" i="33"/>
  <c r="H164" i="33" s="1"/>
  <c r="G38" i="33"/>
  <c r="H38" i="33" s="1"/>
  <c r="G110" i="33"/>
  <c r="H110" i="33" s="1"/>
  <c r="J151" i="33"/>
  <c r="K151" i="33" s="1"/>
  <c r="G74" i="33"/>
  <c r="H74" i="33" s="1"/>
  <c r="G189" i="33"/>
  <c r="H189" i="33" s="1"/>
  <c r="G134" i="33"/>
  <c r="H134" i="33" s="1"/>
  <c r="J208" i="33"/>
  <c r="K208" i="33" s="1"/>
  <c r="G174" i="33"/>
  <c r="H174" i="33" s="1"/>
  <c r="O9" i="16"/>
  <c r="G186" i="33"/>
  <c r="H186" i="33" s="1"/>
  <c r="G70" i="33"/>
  <c r="H70" i="33" s="1"/>
  <c r="J42" i="33"/>
  <c r="K42" i="33" s="1"/>
  <c r="J55" i="33"/>
  <c r="K55" i="33" s="1"/>
  <c r="G121" i="33"/>
  <c r="H121" i="33" s="1"/>
  <c r="J15" i="33"/>
  <c r="K15" i="33" s="1"/>
  <c r="J30" i="33"/>
  <c r="K30" i="33" s="1"/>
  <c r="G6" i="33"/>
  <c r="H6" i="33" s="1"/>
  <c r="G15" i="18"/>
  <c r="G33" i="33"/>
  <c r="H33" i="33" s="1"/>
  <c r="J185" i="33"/>
  <c r="K185" i="33" s="1"/>
  <c r="J10" i="33"/>
  <c r="K10" i="33" s="1"/>
  <c r="J182" i="33"/>
  <c r="K182" i="33" s="1"/>
  <c r="J132" i="33"/>
  <c r="K132" i="33" s="1"/>
  <c r="G46" i="33"/>
  <c r="H46" i="33" s="1"/>
  <c r="G154" i="33"/>
  <c r="H154" i="33" s="1"/>
  <c r="J40" i="33"/>
  <c r="K40" i="33" s="1"/>
  <c r="J74" i="33"/>
  <c r="K74" i="33" s="1"/>
  <c r="J79" i="33"/>
  <c r="K79" i="33" s="1"/>
  <c r="G67" i="33"/>
  <c r="H67" i="33" s="1"/>
  <c r="G163" i="33"/>
  <c r="H163" i="33" s="1"/>
  <c r="J184" i="33"/>
  <c r="K184" i="33" s="1"/>
  <c r="J51" i="33"/>
  <c r="K51" i="33" s="1"/>
  <c r="J66" i="33"/>
  <c r="K66" i="33" s="1"/>
  <c r="J122" i="33"/>
  <c r="K122" i="33" s="1"/>
  <c r="J103" i="33"/>
  <c r="K103" i="33" s="1"/>
  <c r="J45" i="33"/>
  <c r="K45" i="33" s="1"/>
  <c r="G149" i="33"/>
  <c r="H149" i="33" s="1"/>
  <c r="J136" i="33"/>
  <c r="K136" i="33" s="1"/>
  <c r="G22" i="33"/>
  <c r="H22" i="33" s="1"/>
  <c r="G165" i="33"/>
  <c r="H165" i="33" s="1"/>
  <c r="G116" i="33"/>
  <c r="H116" i="33" s="1"/>
  <c r="J125" i="33"/>
  <c r="K125" i="33" s="1"/>
  <c r="G66" i="33"/>
  <c r="H66" i="33" s="1"/>
  <c r="J186" i="33"/>
  <c r="K186" i="33" s="1"/>
  <c r="G171" i="33"/>
  <c r="H171" i="33" s="1"/>
  <c r="J65" i="33"/>
  <c r="K65" i="33" s="1"/>
  <c r="G214" i="33"/>
  <c r="H214" i="33" s="1"/>
  <c r="J106" i="33"/>
  <c r="K106" i="33" s="1"/>
  <c r="J101" i="33"/>
  <c r="K101" i="33" s="1"/>
  <c r="J6" i="33"/>
  <c r="K6" i="33" s="1"/>
  <c r="J146" i="33"/>
  <c r="K146" i="33" s="1"/>
  <c r="J73" i="33"/>
  <c r="K73" i="33" s="1"/>
  <c r="G207" i="33"/>
  <c r="H207" i="33" s="1"/>
  <c r="O7" i="16"/>
  <c r="J27" i="33"/>
  <c r="K27" i="33" s="1"/>
  <c r="G58" i="33"/>
  <c r="H58" i="33" s="1"/>
  <c r="J67" i="33"/>
  <c r="K67" i="33" s="1"/>
  <c r="G130" i="33"/>
  <c r="H130" i="33" s="1"/>
  <c r="G192" i="33"/>
  <c r="H192" i="33" s="1"/>
  <c r="J188" i="33"/>
  <c r="K188" i="33" s="1"/>
  <c r="G114" i="33"/>
  <c r="H114" i="33" s="1"/>
  <c r="G80" i="33"/>
  <c r="H80" i="33" s="1"/>
  <c r="J100" i="33"/>
  <c r="K100" i="33" s="1"/>
  <c r="G148" i="33"/>
  <c r="H148" i="33" s="1"/>
  <c r="G213" i="33"/>
  <c r="H213" i="33" s="1"/>
  <c r="G179" i="33"/>
  <c r="H179" i="33" s="1"/>
  <c r="G176" i="33"/>
  <c r="H176" i="33" s="1"/>
  <c r="G180" i="33"/>
  <c r="H180" i="33" s="1"/>
  <c r="J117" i="33"/>
  <c r="K117" i="33" s="1"/>
  <c r="J85" i="33"/>
  <c r="K85" i="33" s="1"/>
  <c r="J165" i="33"/>
  <c r="K165" i="33" s="1"/>
  <c r="J205" i="33"/>
  <c r="K205" i="33" s="1"/>
  <c r="J95" i="33"/>
  <c r="K95" i="33" s="1"/>
  <c r="G26" i="33"/>
  <c r="H26" i="33" s="1"/>
  <c r="G79" i="33"/>
  <c r="H79" i="33" s="1"/>
  <c r="G122" i="33"/>
  <c r="H122" i="33" s="1"/>
  <c r="G161" i="33"/>
  <c r="H161" i="33" s="1"/>
  <c r="G219" i="33"/>
  <c r="H219" i="33" s="1"/>
  <c r="J183" i="33"/>
  <c r="K183" i="33" s="1"/>
  <c r="G194" i="33"/>
  <c r="H194" i="33" s="1"/>
  <c r="G182" i="33"/>
  <c r="H182" i="33" s="1"/>
  <c r="G173" i="33"/>
  <c r="H173" i="33" s="1"/>
  <c r="G206" i="33"/>
  <c r="H206" i="33" s="1"/>
  <c r="G19" i="33"/>
  <c r="H19" i="33" s="1"/>
  <c r="J204" i="33"/>
  <c r="K204" i="33" s="1"/>
  <c r="G88" i="33"/>
  <c r="H88" i="33" s="1"/>
  <c r="G166" i="33"/>
  <c r="H166" i="33" s="1"/>
  <c r="G217" i="33"/>
  <c r="H217" i="33" s="1"/>
  <c r="J176" i="33"/>
  <c r="K176" i="33" s="1"/>
  <c r="J13" i="33"/>
  <c r="K13" i="33" s="1"/>
  <c r="J148" i="33"/>
  <c r="K148" i="33" s="1"/>
  <c r="G135" i="33"/>
  <c r="H135" i="33" s="1"/>
  <c r="G20" i="33"/>
  <c r="H20" i="33" s="1"/>
  <c r="G145" i="33"/>
  <c r="H145" i="33" s="1"/>
  <c r="G139" i="33"/>
  <c r="H139" i="33" s="1"/>
  <c r="J91" i="33"/>
  <c r="K91" i="33" s="1"/>
  <c r="G40" i="33"/>
  <c r="H40" i="33" s="1"/>
  <c r="J105" i="33"/>
  <c r="K105" i="33" s="1"/>
  <c r="G87" i="33"/>
  <c r="H87" i="33" s="1"/>
  <c r="J172" i="33"/>
  <c r="K172" i="33" s="1"/>
  <c r="G27" i="33"/>
  <c r="H27" i="33" s="1"/>
  <c r="G64" i="33"/>
  <c r="H64" i="33" s="1"/>
  <c r="G150" i="33"/>
  <c r="H150" i="33" s="1"/>
  <c r="J192" i="33"/>
  <c r="K192" i="33" s="1"/>
  <c r="J201" i="33"/>
  <c r="K201" i="33" s="1"/>
  <c r="J19" i="33"/>
  <c r="K19" i="33" s="1"/>
  <c r="J77" i="33"/>
  <c r="K77" i="33" s="1"/>
  <c r="G36" i="33"/>
  <c r="H36" i="33" s="1"/>
  <c r="J210" i="33"/>
  <c r="K210" i="33" s="1"/>
  <c r="J48" i="33"/>
  <c r="K48" i="33" s="1"/>
  <c r="J174" i="33"/>
  <c r="K174" i="33" s="1"/>
  <c r="J153" i="33"/>
  <c r="K153" i="33" s="1"/>
  <c r="G9" i="33"/>
  <c r="H9" i="33" s="1"/>
  <c r="G53" i="33"/>
  <c r="H53" i="33" s="1"/>
  <c r="J107" i="33"/>
  <c r="K107" i="33" s="1"/>
  <c r="J119" i="33"/>
  <c r="K119" i="33" s="1"/>
  <c r="G136" i="33"/>
  <c r="H136" i="33" s="1"/>
  <c r="J168" i="33"/>
  <c r="K168" i="33" s="1"/>
  <c r="G181" i="33"/>
  <c r="H181" i="33" s="1"/>
  <c r="G61" i="33"/>
  <c r="H61" i="33" s="1"/>
  <c r="J37" i="33"/>
  <c r="K37" i="33" s="1"/>
  <c r="J166" i="33"/>
  <c r="K166" i="33" s="1"/>
  <c r="G108" i="33"/>
  <c r="H108" i="33" s="1"/>
  <c r="J35" i="33"/>
  <c r="K35" i="33" s="1"/>
  <c r="G78" i="33"/>
  <c r="H78" i="33" s="1"/>
  <c r="J47" i="33"/>
  <c r="K47" i="33" s="1"/>
  <c r="G123" i="33"/>
  <c r="H123" i="33" s="1"/>
  <c r="G18" i="33"/>
  <c r="H18" i="33" s="1"/>
  <c r="G170" i="33"/>
  <c r="H170" i="33" s="1"/>
  <c r="G51" i="33"/>
  <c r="H51" i="33" s="1"/>
  <c r="J115" i="33"/>
  <c r="K115" i="33" s="1"/>
  <c r="J16" i="33"/>
  <c r="K16" i="33" s="1"/>
  <c r="G45" i="33"/>
  <c r="H45" i="33" s="1"/>
  <c r="G99" i="33"/>
  <c r="H99" i="33" s="1"/>
  <c r="G97" i="33"/>
  <c r="H97" i="33" s="1"/>
  <c r="J57" i="33"/>
  <c r="K57" i="33" s="1"/>
  <c r="J29" i="33"/>
  <c r="K29" i="33" s="1"/>
  <c r="G91" i="33"/>
  <c r="H91" i="33" s="1"/>
  <c r="J161" i="33"/>
  <c r="K161" i="33" s="1"/>
  <c r="G185" i="33"/>
  <c r="H185" i="33" s="1"/>
  <c r="G193" i="33"/>
  <c r="H193" i="33" s="1"/>
  <c r="G43" i="33"/>
  <c r="H43" i="33" s="1"/>
  <c r="J134" i="33"/>
  <c r="K134" i="33" s="1"/>
  <c r="G195" i="33"/>
  <c r="H195" i="33" s="1"/>
  <c r="J150" i="33"/>
  <c r="K150" i="33" s="1"/>
  <c r="J137" i="33"/>
  <c r="K137" i="33" s="1"/>
  <c r="G84" i="33"/>
  <c r="H84" i="33" s="1"/>
  <c r="J83" i="33"/>
  <c r="K83" i="33" s="1"/>
  <c r="G55" i="33"/>
  <c r="H55" i="33" s="1"/>
  <c r="J20" i="33"/>
  <c r="K20" i="33" s="1"/>
  <c r="J94" i="33"/>
  <c r="K94" i="33" s="1"/>
  <c r="J99" i="33"/>
  <c r="K99" i="33" s="1"/>
  <c r="J222" i="33"/>
  <c r="K222" i="33" s="1"/>
  <c r="G16" i="33"/>
  <c r="H16" i="33" s="1"/>
  <c r="G106" i="33"/>
  <c r="H106" i="33" s="1"/>
  <c r="J202" i="33"/>
  <c r="K202" i="33" s="1"/>
  <c r="J158" i="33"/>
  <c r="K158" i="33" s="1"/>
  <c r="J145" i="33"/>
  <c r="K145" i="33" s="1"/>
  <c r="J209" i="33"/>
  <c r="K209" i="33" s="1"/>
  <c r="J169" i="33"/>
  <c r="K169" i="33" s="1"/>
  <c r="G205" i="33"/>
  <c r="H205" i="33" s="1"/>
  <c r="O8" i="16"/>
  <c r="J163" i="33"/>
  <c r="K163" i="33" s="1"/>
  <c r="J90" i="33"/>
  <c r="K90" i="33" s="1"/>
  <c r="G215" i="33"/>
  <c r="H215" i="33" s="1"/>
  <c r="F16" i="18"/>
  <c r="J68" i="33"/>
  <c r="K68" i="33" s="1"/>
  <c r="G69" i="33"/>
  <c r="H69" i="33" s="1"/>
  <c r="J215" i="33"/>
  <c r="K215" i="33" s="1"/>
  <c r="J139" i="33"/>
  <c r="K139" i="33" s="1"/>
  <c r="J28" i="33"/>
  <c r="K28" i="33" s="1"/>
  <c r="G127" i="33"/>
  <c r="H127" i="33" s="1"/>
  <c r="G142" i="33"/>
  <c r="H142" i="33" s="1"/>
  <c r="G175" i="33"/>
  <c r="H175" i="33" s="1"/>
  <c r="G160" i="33"/>
  <c r="H160" i="33" s="1"/>
  <c r="J120" i="33"/>
  <c r="K120" i="33" s="1"/>
  <c r="G204" i="33"/>
  <c r="H204" i="33" s="1"/>
  <c r="J130" i="33"/>
  <c r="K130" i="33" s="1"/>
  <c r="G41" i="33"/>
  <c r="H41" i="33" s="1"/>
  <c r="J3" i="33"/>
  <c r="K3" i="33" s="1"/>
  <c r="J173" i="33"/>
  <c r="K173" i="33" s="1"/>
  <c r="G4" i="33"/>
  <c r="H4" i="33" s="1"/>
  <c r="G24" i="33"/>
  <c r="H24" i="33" s="1"/>
  <c r="G47" i="33"/>
  <c r="H47" i="33" s="1"/>
  <c r="G68" i="33"/>
  <c r="H68" i="33" s="1"/>
  <c r="J63" i="33"/>
  <c r="K63" i="33" s="1"/>
  <c r="J140" i="33"/>
  <c r="K140" i="33" s="1"/>
  <c r="J11" i="33"/>
  <c r="K11" i="33" s="1"/>
  <c r="G105" i="33"/>
  <c r="H105" i="33" s="1"/>
  <c r="J194" i="33"/>
  <c r="K194" i="33" s="1"/>
  <c r="G71" i="33"/>
  <c r="H71" i="33" s="1"/>
  <c r="J175" i="33"/>
  <c r="K175" i="33" s="1"/>
  <c r="G86" i="33"/>
  <c r="H86" i="33" s="1"/>
  <c r="J71" i="33"/>
  <c r="K71" i="33" s="1"/>
  <c r="G146" i="33"/>
  <c r="H146" i="33" s="1"/>
  <c r="J80" i="33"/>
  <c r="K80" i="33" s="1"/>
  <c r="J124" i="33"/>
  <c r="K124" i="33" s="1"/>
  <c r="J199" i="33"/>
  <c r="K199" i="33" s="1"/>
  <c r="G57" i="33"/>
  <c r="H57" i="33" s="1"/>
  <c r="G82" i="33"/>
  <c r="H82" i="33" s="1"/>
  <c r="J217" i="33"/>
  <c r="K217" i="33" s="1"/>
  <c r="G159" i="33"/>
  <c r="H159" i="33" s="1"/>
  <c r="J75" i="33"/>
  <c r="K75" i="33" s="1"/>
  <c r="J72" i="33"/>
  <c r="K72" i="33" s="1"/>
  <c r="J52" i="33"/>
  <c r="K52" i="33" s="1"/>
  <c r="J12" i="33"/>
  <c r="K12" i="33" s="1"/>
  <c r="G35" i="33"/>
  <c r="H35" i="33" s="1"/>
  <c r="G119" i="33"/>
  <c r="H119" i="33" s="1"/>
  <c r="J62" i="33"/>
  <c r="K62" i="33" s="1"/>
  <c r="J218" i="33"/>
  <c r="K218" i="33" s="1"/>
  <c r="J198" i="33"/>
  <c r="K198" i="33" s="1"/>
  <c r="J135" i="33"/>
  <c r="K135" i="33" s="1"/>
  <c r="G125" i="33"/>
  <c r="H125" i="33" s="1"/>
  <c r="J53" i="33"/>
  <c r="K53" i="33" s="1"/>
  <c r="J203" i="33"/>
  <c r="K203" i="33" s="1"/>
  <c r="J138" i="33"/>
  <c r="K138" i="33" s="1"/>
  <c r="J64" i="33"/>
  <c r="K64" i="33" s="1"/>
  <c r="J154" i="33"/>
  <c r="K154" i="33" s="1"/>
  <c r="G184" i="33"/>
  <c r="H184" i="33" s="1"/>
  <c r="J149" i="33"/>
  <c r="K149" i="33" s="1"/>
  <c r="J34" i="33"/>
  <c r="K34" i="33" s="1"/>
  <c r="G44" i="33"/>
  <c r="H44" i="33" s="1"/>
  <c r="J207" i="33"/>
  <c r="K207" i="33" s="1"/>
  <c r="G113" i="33"/>
  <c r="H113" i="33" s="1"/>
  <c r="J189" i="33"/>
  <c r="K189" i="33" s="1"/>
  <c r="J177" i="33"/>
  <c r="K177" i="33" s="1"/>
  <c r="J179" i="33"/>
  <c r="K179" i="33" s="1"/>
  <c r="J127" i="33"/>
  <c r="K127" i="33" s="1"/>
  <c r="J56" i="33"/>
  <c r="K56" i="33" s="1"/>
  <c r="J8" i="33"/>
  <c r="K8" i="33" s="1"/>
  <c r="G25" i="33"/>
  <c r="H25" i="33" s="1"/>
  <c r="G156" i="33"/>
  <c r="H156" i="33" s="1"/>
  <c r="J18" i="33"/>
  <c r="K18" i="33" s="1"/>
  <c r="G178" i="33"/>
  <c r="H178" i="33" s="1"/>
  <c r="G54" i="33"/>
  <c r="H54" i="33" s="1"/>
  <c r="J92" i="33"/>
  <c r="K92" i="33" s="1"/>
  <c r="J31" i="33"/>
  <c r="K31" i="33" s="1"/>
  <c r="G60" i="33"/>
  <c r="H60" i="33" s="1"/>
  <c r="G124" i="33"/>
  <c r="H124" i="33" s="1"/>
  <c r="J220" i="33"/>
  <c r="K220" i="33" s="1"/>
  <c r="G102" i="33"/>
  <c r="H102" i="33" s="1"/>
  <c r="J32" i="33"/>
  <c r="K32" i="33" s="1"/>
  <c r="J69" i="33"/>
  <c r="K69" i="33" s="1"/>
  <c r="J178" i="33"/>
  <c r="K178" i="33" s="1"/>
  <c r="G202" i="33"/>
  <c r="H202" i="33" s="1"/>
  <c r="G31" i="33"/>
  <c r="H31" i="33" s="1"/>
  <c r="J197" i="33"/>
  <c r="K197" i="33" s="1"/>
  <c r="J38" i="33"/>
  <c r="K38" i="33" s="1"/>
  <c r="J87" i="33"/>
  <c r="K87" i="33" s="1"/>
  <c r="G168" i="33"/>
  <c r="H168" i="33" s="1"/>
  <c r="G17" i="33"/>
  <c r="H17" i="33" s="1"/>
  <c r="G101" i="33"/>
  <c r="H101" i="33" s="1"/>
  <c r="G104" i="33"/>
  <c r="H104" i="33" s="1"/>
  <c r="J167" i="33"/>
  <c r="K167" i="33" s="1"/>
  <c r="G183" i="33"/>
  <c r="H183" i="33" s="1"/>
  <c r="J129" i="33"/>
  <c r="K129" i="33" s="1"/>
  <c r="J84" i="33"/>
  <c r="K84" i="33" s="1"/>
  <c r="J97" i="33"/>
  <c r="K97" i="33" s="1"/>
  <c r="J104" i="33"/>
  <c r="K104" i="33" s="1"/>
  <c r="G15" i="33"/>
  <c r="H15" i="33" s="1"/>
  <c r="J147" i="33"/>
  <c r="K147" i="33" s="1"/>
  <c r="J200" i="33"/>
  <c r="K200" i="33" s="1"/>
  <c r="J110" i="33"/>
  <c r="K110" i="33" s="1"/>
  <c r="G210" i="33"/>
  <c r="H210" i="33" s="1"/>
  <c r="G72" i="33"/>
  <c r="H72" i="33" s="1"/>
  <c r="J193" i="33"/>
  <c r="K193" i="33" s="1"/>
  <c r="J196" i="33"/>
  <c r="K196" i="33" s="1"/>
  <c r="J46" i="33"/>
  <c r="K46" i="33" s="1"/>
  <c r="G5" i="33"/>
  <c r="H5" i="33" s="1"/>
  <c r="G151" i="33"/>
  <c r="H151" i="33" s="1"/>
  <c r="J156" i="33"/>
  <c r="K156" i="33" s="1"/>
  <c r="J98" i="33"/>
  <c r="K98" i="33" s="1"/>
  <c r="G28" i="33"/>
  <c r="H28" i="33" s="1"/>
  <c r="G177" i="33"/>
  <c r="H177" i="33" s="1"/>
  <c r="G3" i="33"/>
  <c r="H3" i="33" s="1"/>
  <c r="G153" i="33"/>
  <c r="H153" i="33" s="1"/>
  <c r="G143" i="33"/>
  <c r="H143" i="33" s="1"/>
  <c r="G65" i="33"/>
  <c r="H65" i="33" s="1"/>
  <c r="G52" i="33"/>
  <c r="H52" i="33" s="1"/>
  <c r="J187" i="33"/>
  <c r="K187" i="33" s="1"/>
  <c r="G200" i="33"/>
  <c r="H200" i="33" s="1"/>
  <c r="G140" i="33"/>
  <c r="H140" i="33" s="1"/>
  <c r="J112" i="33"/>
  <c r="K112" i="33" s="1"/>
  <c r="J78" i="33"/>
  <c r="K78" i="33" s="1"/>
  <c r="G199" i="33"/>
  <c r="H199" i="33" s="1"/>
  <c r="J22" i="33"/>
  <c r="K22" i="33" s="1"/>
  <c r="N8" i="16"/>
  <c r="J36" i="33"/>
  <c r="K36" i="33" s="1"/>
  <c r="G56" i="33"/>
  <c r="H56" i="33" s="1"/>
  <c r="J33" i="33"/>
  <c r="K33" i="33" s="1"/>
  <c r="G162" i="33"/>
  <c r="H162" i="33" s="1"/>
  <c r="G129" i="33"/>
  <c r="H129" i="33" s="1"/>
  <c r="J96" i="33"/>
  <c r="K96" i="33" s="1"/>
  <c r="G29" i="33"/>
  <c r="H29" i="33" s="1"/>
  <c r="J5" i="33"/>
  <c r="K5" i="33" s="1"/>
  <c r="G147" i="33"/>
  <c r="H147" i="33" s="1"/>
  <c r="J118" i="33"/>
  <c r="K118" i="33" s="1"/>
  <c r="G48" i="33"/>
  <c r="H48" i="33" s="1"/>
  <c r="J14" i="33"/>
  <c r="K14" i="33" s="1"/>
  <c r="G14" i="18"/>
  <c r="J49" i="33"/>
  <c r="K49" i="33" s="1"/>
  <c r="J43" i="33"/>
  <c r="K43" i="33" s="1"/>
  <c r="G103" i="33"/>
  <c r="H103" i="33" s="1"/>
  <c r="G169" i="33"/>
  <c r="H169" i="33" s="1"/>
  <c r="J190" i="33"/>
  <c r="K190" i="33" s="1"/>
  <c r="G42" i="33"/>
  <c r="H42" i="33" s="1"/>
  <c r="G187" i="33"/>
  <c r="H187" i="33" s="1"/>
  <c r="G190" i="33"/>
  <c r="H190" i="33" s="1"/>
  <c r="J113" i="33"/>
  <c r="K113" i="33" s="1"/>
  <c r="G100" i="33"/>
  <c r="H100" i="33" s="1"/>
  <c r="G50" i="33"/>
  <c r="H50" i="33" s="1"/>
  <c r="G132" i="33"/>
  <c r="H132" i="33" s="1"/>
  <c r="G34" i="33"/>
  <c r="H34" i="33" s="1"/>
  <c r="J54" i="33"/>
  <c r="K54" i="33" s="1"/>
  <c r="G92" i="33"/>
  <c r="H92" i="33" s="1"/>
  <c r="G14" i="33"/>
  <c r="H14" i="33" s="1"/>
  <c r="J170" i="33"/>
  <c r="K170" i="33" s="1"/>
  <c r="J9" i="33"/>
  <c r="K9" i="33" s="1"/>
  <c r="G155" i="33"/>
  <c r="H155" i="33" s="1"/>
  <c r="G138" i="33"/>
  <c r="H138" i="33" s="1"/>
  <c r="J180" i="33"/>
  <c r="K180" i="33" s="1"/>
  <c r="G73" i="33"/>
  <c r="H73" i="33" s="1"/>
  <c r="J44" i="33"/>
  <c r="K44" i="33" s="1"/>
  <c r="G89" i="33"/>
  <c r="H89" i="33" s="1"/>
  <c r="J191" i="33"/>
  <c r="K191" i="33" s="1"/>
  <c r="G188" i="33"/>
  <c r="H188" i="33" s="1"/>
  <c r="G218" i="33"/>
  <c r="H218" i="33" s="1"/>
  <c r="G23" i="33"/>
  <c r="H23" i="33" s="1"/>
  <c r="G137" i="33"/>
  <c r="H137" i="33" s="1"/>
  <c r="J25" i="33"/>
  <c r="K25" i="33" s="1"/>
  <c r="J216" i="33"/>
  <c r="K216" i="33" s="1"/>
  <c r="G115" i="33"/>
  <c r="H115" i="33" s="1"/>
  <c r="G131" i="33"/>
  <c r="H131" i="33" s="1"/>
  <c r="J219" i="33"/>
  <c r="K219" i="33" s="1"/>
  <c r="G81" i="33"/>
  <c r="H81" i="33" s="1"/>
  <c r="G63" i="33"/>
  <c r="H63" i="33" s="1"/>
  <c r="G120" i="33"/>
  <c r="H120" i="33" s="1"/>
  <c r="J50" i="33"/>
  <c r="K50" i="33" s="1"/>
  <c r="J155" i="33"/>
  <c r="K155" i="33" s="1"/>
  <c r="G32" i="33"/>
  <c r="H32" i="33" s="1"/>
  <c r="J123" i="33"/>
  <c r="K123" i="33" s="1"/>
  <c r="J157" i="33"/>
  <c r="K157" i="33" s="1"/>
  <c r="G221" i="33"/>
  <c r="H221" i="33" s="1"/>
  <c r="J81" i="33"/>
  <c r="K81" i="33" s="1"/>
  <c r="G212" i="33"/>
  <c r="H212" i="33" s="1"/>
  <c r="J211" i="33"/>
  <c r="K211" i="33" s="1"/>
  <c r="J131" i="33"/>
  <c r="K131" i="33" s="1"/>
  <c r="G126" i="33"/>
  <c r="H126" i="33" s="1"/>
  <c r="J221" i="33"/>
  <c r="K221" i="33" s="1"/>
  <c r="J114" i="33"/>
  <c r="K114" i="33" s="1"/>
  <c r="J24" i="33"/>
  <c r="K24" i="33" s="1"/>
  <c r="G157" i="33"/>
  <c r="H157" i="33" s="1"/>
  <c r="G209" i="33"/>
  <c r="H209" i="33" s="1"/>
  <c r="G111" i="33"/>
  <c r="H111" i="33" s="1"/>
  <c r="G109" i="33"/>
  <c r="H109" i="33" s="1"/>
  <c r="G96" i="33"/>
  <c r="H96" i="33" s="1"/>
  <c r="N7" i="16"/>
  <c r="G144" i="33"/>
  <c r="H144" i="33" s="1"/>
  <c r="G62" i="33"/>
  <c r="H62" i="33" s="1"/>
  <c r="J195" i="33"/>
  <c r="K195" i="33" s="1"/>
  <c r="J152" i="33"/>
  <c r="K152" i="33" s="1"/>
  <c r="G59" i="33"/>
  <c r="H59" i="33" s="1"/>
  <c r="J109" i="33"/>
  <c r="K109" i="33" s="1"/>
  <c r="G152" i="33"/>
  <c r="H152" i="33" s="1"/>
  <c r="J89" i="33"/>
  <c r="K89" i="33" s="1"/>
  <c r="G128" i="33"/>
  <c r="H128" i="33" s="1"/>
  <c r="J93" i="33"/>
  <c r="K93" i="33" s="1"/>
  <c r="G10" i="33"/>
  <c r="H10" i="33" s="1"/>
  <c r="J133" i="33"/>
  <c r="K133" i="33" s="1"/>
  <c r="J7" i="33"/>
  <c r="K7" i="33" s="1"/>
  <c r="G90" i="33"/>
  <c r="H90" i="33" s="1"/>
  <c r="G3" i="19" l="1"/>
  <c r="C9" i="19"/>
  <c r="C10" i="19" s="1"/>
  <c r="G4" i="19" s="1"/>
  <c r="G5" i="19" s="1"/>
  <c r="G15" i="19"/>
  <c r="C21" i="19"/>
  <c r="C22" i="19" s="1"/>
  <c r="G16" i="19" s="1"/>
  <c r="G17" i="19" s="1"/>
  <c r="V24" i="44"/>
  <c r="T24" i="44"/>
  <c r="V21" i="44"/>
  <c r="V28" i="44"/>
  <c r="U28" i="44"/>
  <c r="T20" i="44"/>
  <c r="U20" i="44"/>
  <c r="U16" i="44"/>
  <c r="V13" i="44"/>
  <c r="V16" i="44"/>
  <c r="V29" i="44"/>
  <c r="U29" i="44"/>
  <c r="U17" i="44"/>
  <c r="L3" i="22"/>
  <c r="L6" i="22"/>
  <c r="P47" i="20"/>
  <c r="R47" i="20" s="1"/>
  <c r="K3" i="22"/>
  <c r="U12" i="44"/>
  <c r="T12" i="44"/>
  <c r="V12" i="44"/>
  <c r="K5" i="22"/>
  <c r="L4" i="22"/>
  <c r="R2" i="20"/>
  <c r="Q5" i="20"/>
  <c r="R5" i="20" s="1"/>
  <c r="K4" i="22"/>
  <c r="K6" i="22"/>
  <c r="E14" i="21"/>
  <c r="B14" i="21"/>
  <c r="C14" i="21"/>
  <c r="D14" i="21"/>
  <c r="P51" i="20"/>
  <c r="R51" i="20" s="1"/>
  <c r="P43" i="20"/>
  <c r="R43" i="20" s="1"/>
  <c r="F17" i="18"/>
  <c r="K17" i="18" s="1"/>
  <c r="F12" i="18"/>
  <c r="K16" i="18"/>
  <c r="F18" i="18"/>
  <c r="K18" i="18" s="1"/>
  <c r="F8" i="18"/>
  <c r="K8" i="18" s="1"/>
  <c r="M13" i="18"/>
  <c r="N13" i="18" s="1"/>
  <c r="E15" i="18"/>
  <c r="F13" i="18"/>
  <c r="K13" i="18" s="1"/>
  <c r="L20" i="18"/>
  <c r="M8" i="18"/>
  <c r="N8" i="18" s="1"/>
  <c r="H12" i="18"/>
  <c r="L12" i="18"/>
  <c r="J5" i="18"/>
  <c r="F5" i="18" s="1"/>
  <c r="K5" i="18" s="1"/>
  <c r="J10" i="18"/>
  <c r="H10" i="18"/>
  <c r="J4" i="18"/>
  <c r="H4" i="18"/>
  <c r="H9" i="18"/>
  <c r="J9" i="18"/>
  <c r="H6" i="18"/>
  <c r="J6" i="18"/>
  <c r="E14" i="18"/>
  <c r="H11" i="18"/>
  <c r="J11" i="18"/>
  <c r="J7" i="18"/>
  <c r="H7" i="18"/>
  <c r="K12" i="18" l="1"/>
  <c r="H15" i="18"/>
  <c r="H14" i="18"/>
  <c r="M6" i="18"/>
  <c r="N6" i="18" s="1"/>
  <c r="F6" i="18"/>
  <c r="K6" i="18" s="1"/>
  <c r="L6" i="18"/>
  <c r="L9" i="18"/>
  <c r="F9" i="18"/>
  <c r="K9" i="18" s="1"/>
  <c r="M9" i="18"/>
  <c r="N9" i="18" s="1"/>
  <c r="L4" i="18"/>
  <c r="M4" i="18"/>
  <c r="N4" i="18" s="1"/>
  <c r="J14" i="18"/>
  <c r="F4" i="18"/>
  <c r="M5" i="18"/>
  <c r="N5" i="18" s="1"/>
  <c r="L5" i="18"/>
  <c r="L10" i="18"/>
  <c r="M10" i="18"/>
  <c r="N10" i="18" s="1"/>
  <c r="F10" i="18"/>
  <c r="K10" i="18" s="1"/>
  <c r="M11" i="18"/>
  <c r="N11" i="18" s="1"/>
  <c r="L11" i="18"/>
  <c r="F11" i="18"/>
  <c r="K11" i="18" s="1"/>
  <c r="J15" i="18"/>
  <c r="L7" i="18"/>
  <c r="F7" i="18"/>
  <c r="M7" i="18"/>
  <c r="N7" i="18" s="1"/>
  <c r="L14" i="18" l="1"/>
  <c r="F14" i="18"/>
  <c r="K14" i="18" s="1"/>
  <c r="K4" i="18"/>
  <c r="M14" i="18"/>
  <c r="N14" i="18"/>
  <c r="K7" i="18"/>
  <c r="F15" i="18"/>
  <c r="K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<sst xmlns="http://schemas.openxmlformats.org/spreadsheetml/2006/main" count="1305" uniqueCount="462">
  <si>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</si>
  <si>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</si>
  <si>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</si>
  <si>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</si>
  <si>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</si>
  <si>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</si>
  <si>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</si>
  <si>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</si>
  <si>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</si>
  <si>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</si>
  <si>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</si>
  <si>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</si>
  <si>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</si>
  <si>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</si>
  <si>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</si>
  <si>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</si>
  <si>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</si>
  <si>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</si>
  <si>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</si>
  <si>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</si>
  <si>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</si>
  <si>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</si>
  <si>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</si>
  <si>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</si>
  <si>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</si>
  <si>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</si>
  <si>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</si>
  <si>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</si>
  <si>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</si>
  <si>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</si>
  <si>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</si>
  <si>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</si>
  <si>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</si>
  <si>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</si>
  <si>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</si>
  <si>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</si>
  <si>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</si>
  <si>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</si>
  <si>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</si>
  <si>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</si>
  <si>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</si>
  <si>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</si>
  <si>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</si>
  <si>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</si>
  <si>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</si>
  <si>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</si>
  <si>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</si>
  <si>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</si>
  <si>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</si>
  <si>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</si>
  <si>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</si>
  <si>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</si>
  <si>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</si>
  <si>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</si>
  <si>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</si>
  <si>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</si>
  <si>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</si>
  <si>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</si>
  <si>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</si>
  <si>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</si>
  <si>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</si>
  <si>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</si>
  <si>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</si>
  <si>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</si>
  <si>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</si>
  <si>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</si>
  <si>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</si>
  <si>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</si>
  <si>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</si>
  <si>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</si>
  <si>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</si>
  <si>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</si>
  <si>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</si>
  <si>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</si>
  <si>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</si>
  <si>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</si>
  <si>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</si>
  <si>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</si>
  <si>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</si>
  <si>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</si>
  <si>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</si>
  <si>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</si>
  <si>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</si>
  <si>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</si>
  <si>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</si>
  <si>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</si>
  <si>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</si>
  <si>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</si>
  <si>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</si>
  <si>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</si>
  <si>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</si>
  <si>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</si>
  <si>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</si>
  <si>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</si>
  <si>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</si>
  <si>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</si>
  <si>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</si>
  <si>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</si>
  <si>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</si>
  <si>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</si>
  <si>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</si>
  <si>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</si>
  <si>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</si>
  <si>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</si>
  <si>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</si>
  <si>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</si>
  <si>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</si>
  <si>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</si>
  <si>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</si>
  <si>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</si>
  <si>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</si>
  <si>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</si>
  <si>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</si>
  <si>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</si>
  <si>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</si>
  <si>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</si>
  <si>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</si>
  <si>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</si>
  <si>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</si>
  <si>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</si>
  <si>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</si>
  <si>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</si>
  <si>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</si>
  <si>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</si>
  <si>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</si>
  <si>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</si>
  <si>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</si>
  <si>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</si>
  <si>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</si>
  <si>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</si>
  <si>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</si>
  <si>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</si>
  <si>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</si>
  <si>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</si>
  <si>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</si>
  <si>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</si>
  <si>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</si>
  <si>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</si>
  <si>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</si>
  <si>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</si>
  <si>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</si>
  <si>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</si>
  <si>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</si>
  <si>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</si>
  <si>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</si>
  <si>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</si>
  <si>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</si>
  <si>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</si>
  <si>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</si>
  <si>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</si>
  <si>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</si>
  <si>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</si>
  <si>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</si>
  <si>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</si>
  <si>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</si>
  <si>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</si>
  <si>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</si>
  <si>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</si>
  <si>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</si>
  <si>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</si>
  <si>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</si>
  <si>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</si>
  <si>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</si>
  <si>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</si>
  <si>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</si>
  <si>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</si>
  <si>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</si>
  <si>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</si>
  <si>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</si>
  <si>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</si>
  <si>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</si>
  <si>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</si>
  <si>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</si>
  <si>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</si>
  <si>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</si>
  <si>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</si>
  <si>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</si>
  <si>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</si>
  <si>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</si>
  <si>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</si>
  <si>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</si>
  <si>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</si>
  <si>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</si>
  <si>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</si>
  <si>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</si>
  <si>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</si>
  <si>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</si>
  <si>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</si>
  <si>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</si>
  <si>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</si>
  <si>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</si>
  <si>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</si>
  <si>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</si>
  <si>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</si>
  <si>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</si>
  <si>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</si>
  <si>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</si>
  <si>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</si>
  <si>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</si>
  <si>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</si>
  <si>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</si>
  <si>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</si>
  <si>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</si>
  <si>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</si>
  <si>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</si>
  <si>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</si>
  <si>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</si>
  <si>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</si>
  <si>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</si>
  <si>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</si>
  <si>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</si>
  <si>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</si>
  <si>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</si>
  <si>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</si>
  <si>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</si>
  <si>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</si>
  <si>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</si>
  <si>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</si>
  <si>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</si>
  <si>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</si>
  <si>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</si>
  <si>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</si>
  <si>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</si>
  <si>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</si>
  <si>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</si>
  <si>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</si>
  <si>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</si>
  <si>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</si>
  <si>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</si>
  <si>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</si>
  <si>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</si>
  <si>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</si>
  <si>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</si>
  <si>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</si>
  <si>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</si>
  <si>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</si>
  <si>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</si>
  <si>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</si>
  <si>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</si>
  <si>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</si>
  <si>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</si>
  <si>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</si>
  <si>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</si>
  <si>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</si>
  <si>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</si>
  <si>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</si>
  <si>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</si>
  <si>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</si>
  <si>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</si>
  <si>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</si>
  <si>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</si>
  <si>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</si>
  <si>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</si>
  <si>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</si>
  <si>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</si>
  <si>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</si>
  <si>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</si>
  <si>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</si>
  <si>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</si>
  <si>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</si>
  <si>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</si>
  <si>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</si>
  <si>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</si>
  <si>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</si>
  <si>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</si>
  <si>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</si>
  <si>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</si>
  <si>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</si>
  <si>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</si>
  <si>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</si>
  <si>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</si>
  <si>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</si>
  <si>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</si>
  <si>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</si>
  <si>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</si>
  <si>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</si>
  <si>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</si>
  <si>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</si>
  <si>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超水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</si>
  <si>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</si>
  <si>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</si>
  <si>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</si>
  <si>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</si>
  <si>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</si>
  <si>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</si>
  <si>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</si>
  <si>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</si>
  <si>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</si>
  <si>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</si>
  <si>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</si>
  <si>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</si>
  <si>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</si>
  <si>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</si>
  <si>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</si>
  <si>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</si>
  <si>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</si>
  <si>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</si>
  <si>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</si>
  <si>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</si>
  <si>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</si>
  <si>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</si>
  <si>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</si>
  <si>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</si>
  <si>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</si>
  <si>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</si>
  <si>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</si>
  <si>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</si>
  <si>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S1 3層刀傷優先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</si>
  <si>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</si>
  <si>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</si>
  <si>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</si>
  <si>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</si>
  <si>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</si>
  <si>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</si>
  <si>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</si>
  <si>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</si>
  <si>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</si>
  <si>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</si>
  <si>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</si>
  <si>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</si>
  <si>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</si>
  <si>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</si>
  <si>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</si>
  <si>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</si>
  <si>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</si>
  <si>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</si>
  <si>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</si>
  <si>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</si>
  <si>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</si>
  <si>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</si>
  <si>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</si>
  <si>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</si>
  <si>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</si>
  <si>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</si>
  <si>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</si>
  <si>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</si>
  <si>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</si>
  <si>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</si>
  <si>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</si>
  <si>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</si>
  <si>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</si>
  <si>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</si>
  <si>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</si>
  <si>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</si>
  <si>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</si>
  <si>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</si>
  <si>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</si>
  <si>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</si>
  <si>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</si>
  <si>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</si>
  <si>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</si>
  <si>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</si>
  <si>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</si>
  <si>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</si>
  <si>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</si>
  <si>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</si>
  <si>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</si>
  <si>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</si>
  <si>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</si>
  <si>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</si>
  <si>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</si>
  <si>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</si>
  <si>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</si>
  <si>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</si>
  <si>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</si>
  <si>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</si>
  <si>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</si>
  <si>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</si>
  <si>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</si>
  <si>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</si>
  <si>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</si>
  <si>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</si>
  <si>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</si>
  <si>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</si>
  <si>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</si>
  <si>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</si>
  <si>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</si>
  <si>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</si>
  <si>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</si>
  <si>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</si>
  <si>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</si>
  <si>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</si>
  <si>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</si>
  <si>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</si>
  <si>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</si>
  <si>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</si>
  <si>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</si>
  <si>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</si>
  <si>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</si>
  <si>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</si>
  <si>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</si>
  <si>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</si>
  <si>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</si>
  <si>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</si>
  <si>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</si>
  <si>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</si>
  <si>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</si>
  <si>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</si>
  <si>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</si>
  <si>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</si>
  <si>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</si>
  <si>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</si>
  <si>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</si>
  <si>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</si>
  <si>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</si>
  <si>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</si>
  <si>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</si>
  <si>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</si>
  <si>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</si>
  <si>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</si>
  <si>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</si>
  <si>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</si>
  <si>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</si>
  <si>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</si>
  <si>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女僕斧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</si>
  <si>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</si>
  <si>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</si>
  <si>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</si>
  <si>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</si>
  <si>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</si>
  <si>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</si>
  <si>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</si>
  <si>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</si>
  <si>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</si>
  <si>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</si>
  <si>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</si>
  <si>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</si>
  <si>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</si>
  <si>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</si>
  <si>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</si>
  <si>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</si>
  <si>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</si>
  <si>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</si>
  <si>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</si>
  <si>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</si>
  <si>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</si>
  <si>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</si>
  <si>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</si>
  <si>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</si>
  <si>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</si>
  <si>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預估時間點</t>
  </si>
  <si>
    <t>距今差異</t>
  </si>
  <si>
    <t>龍絆日夏儂 / 禮包</t>
  </si>
  <si>
    <t>每日變化</t>
  </si>
  <si>
    <t>鑽量</t>
  </si>
  <si>
    <t>$</t>
  </si>
  <si>
    <t>課金</t>
  </si>
  <si>
    <t>1.5周年任務</t>
  </si>
  <si>
    <t>黑人弓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</si>
  <si>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(2020/03/30)</t>
    </r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</si>
  <si>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</si>
  <si>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</si>
  <si>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</si>
  <si>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</si>
  <si>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</si>
  <si>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</si>
  <si>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</si>
  <si>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</si>
  <si>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</si>
  <si>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</si>
  <si>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(2020/04/01)</t>
    </r>
  </si>
  <si>
    <t>龍瞳軌跡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</si>
</sst>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\+0.0;[Red]\-0.0;0.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230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3" fontId="6" fillId="0" borderId="6" xfId="0" applyNumberFormat="1" applyFont="1" applyBorder="1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183" fontId="3" fillId="0" borderId="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15" t="s">
        <v>197</v>
      </c>
      <c r="B10" s="439" t="s">
        <v>198</v>
      </c>
    </row>
    <row r="11" spans="1:3" s="426" customFormat="1" ht="35.25" customHeight="1" x14ac:dyDescent="0.25">
      <c r="A11" s="816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17" t="s">
        <v>194</v>
      </c>
      <c r="B17" s="812" t="s">
        <v>194</v>
      </c>
      <c r="C17" s="442" t="s">
        <v>202</v>
      </c>
    </row>
    <row r="18" spans="1:3" s="425" customFormat="1" ht="22.5" customHeight="1" x14ac:dyDescent="0.25">
      <c r="A18" s="818"/>
      <c r="B18" s="813"/>
      <c r="C18" s="442" t="s">
        <v>232</v>
      </c>
    </row>
    <row r="19" spans="1:3" s="425" customFormat="1" ht="22.5" customHeight="1" x14ac:dyDescent="0.25">
      <c r="A19" s="818"/>
      <c r="B19" s="813"/>
      <c r="C19" s="447" t="s">
        <v>229</v>
      </c>
    </row>
    <row r="20" spans="1:3" s="425" customFormat="1" ht="22.5" customHeight="1" x14ac:dyDescent="0.25">
      <c r="A20" s="818"/>
      <c r="B20" s="813"/>
      <c r="C20" s="447" t="s">
        <v>228</v>
      </c>
    </row>
    <row r="21" spans="1:3" s="438" customFormat="1" ht="22.5" customHeight="1" thickBot="1" x14ac:dyDescent="0.3">
      <c r="A21" s="819"/>
      <c r="B21" s="814"/>
      <c r="C21" s="443" t="s">
        <v>233</v>
      </c>
    </row>
    <row r="22" spans="1:3" s="435" customFormat="1" ht="22.5" customHeight="1" x14ac:dyDescent="0.25">
      <c r="A22" s="817" t="s">
        <v>207</v>
      </c>
      <c r="B22" s="812" t="s">
        <v>208</v>
      </c>
      <c r="C22" s="441" t="s">
        <v>209</v>
      </c>
    </row>
    <row r="23" spans="1:3" s="425" customFormat="1" ht="22.5" customHeight="1" x14ac:dyDescent="0.25">
      <c r="A23" s="818"/>
      <c r="B23" s="813"/>
      <c r="C23" s="442" t="s">
        <v>210</v>
      </c>
    </row>
    <row r="24" spans="1:3" s="425" customFormat="1" ht="22.5" customHeight="1" x14ac:dyDescent="0.25">
      <c r="A24" s="818"/>
      <c r="B24" s="813"/>
      <c r="C24" s="425" t="s">
        <v>213</v>
      </c>
    </row>
    <row r="25" spans="1:3" s="425" customFormat="1" ht="22.5" customHeight="1" x14ac:dyDescent="0.25">
      <c r="A25" s="818"/>
      <c r="B25" s="813"/>
      <c r="C25" s="442" t="s">
        <v>211</v>
      </c>
    </row>
    <row r="26" spans="1:3" s="438" customFormat="1" ht="22.5" customHeight="1" thickBot="1" x14ac:dyDescent="0.3">
      <c r="A26" s="819"/>
      <c r="B26" s="814"/>
      <c r="C26" s="438" t="s">
        <v>212</v>
      </c>
    </row>
    <row r="27" spans="1:3" s="435" customFormat="1" ht="22.5" customHeight="1" x14ac:dyDescent="0.25">
      <c r="A27" s="817" t="s">
        <v>215</v>
      </c>
      <c r="B27" s="812" t="s">
        <v>215</v>
      </c>
      <c r="C27" s="441" t="s">
        <v>216</v>
      </c>
    </row>
    <row r="28" spans="1:3" s="425" customFormat="1" ht="22.5" customHeight="1" x14ac:dyDescent="0.25">
      <c r="A28" s="818"/>
      <c r="B28" s="813"/>
      <c r="C28" s="447" t="s">
        <v>268</v>
      </c>
    </row>
    <row r="29" spans="1:3" s="425" customFormat="1" ht="22.5" customHeight="1" x14ac:dyDescent="0.25">
      <c r="A29" s="818"/>
      <c r="B29" s="813"/>
      <c r="C29" s="447" t="s">
        <v>270</v>
      </c>
    </row>
    <row r="30" spans="1:3" s="425" customFormat="1" ht="22.5" customHeight="1" x14ac:dyDescent="0.25">
      <c r="A30" s="818"/>
      <c r="B30" s="813"/>
      <c r="C30" s="425" t="s">
        <v>269</v>
      </c>
    </row>
    <row r="31" spans="1:3" s="437" customFormat="1" ht="22.5" customHeight="1" thickBot="1" x14ac:dyDescent="0.3">
      <c r="A31" s="819"/>
      <c r="B31" s="436" t="s">
        <v>217</v>
      </c>
      <c r="C31" s="437" t="s">
        <v>343</v>
      </c>
    </row>
    <row r="32" spans="1:3" s="435" customFormat="1" ht="22.5" customHeight="1" x14ac:dyDescent="0.25">
      <c r="A32" s="809" t="s">
        <v>221</v>
      </c>
      <c r="B32" s="806" t="s">
        <v>221</v>
      </c>
      <c r="C32" s="441" t="s">
        <v>222</v>
      </c>
    </row>
    <row r="33" spans="1:3" s="425" customFormat="1" ht="22.5" customHeight="1" x14ac:dyDescent="0.25">
      <c r="A33" s="810"/>
      <c r="B33" s="807"/>
      <c r="C33" s="442" t="s">
        <v>223</v>
      </c>
    </row>
    <row r="34" spans="1:3" s="425" customFormat="1" ht="22.5" customHeight="1" x14ac:dyDescent="0.25">
      <c r="A34" s="810"/>
      <c r="B34" s="807"/>
      <c r="C34" s="442" t="s">
        <v>224</v>
      </c>
    </row>
    <row r="35" spans="1:3" s="438" customFormat="1" ht="22.5" customHeight="1" thickBot="1" x14ac:dyDescent="0.3">
      <c r="A35" s="811"/>
      <c r="B35" s="808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27" t="s">
        <v>456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</row>
    <row r="2" spans="1:21" s="11" customFormat="1" ht="18.75" customHeight="1" x14ac:dyDescent="0.25">
      <c r="A2" s="828" t="s">
        <v>344</v>
      </c>
      <c r="B2" s="828"/>
      <c r="C2" s="828"/>
      <c r="D2" s="828"/>
      <c r="E2" s="828"/>
      <c r="F2" s="828"/>
      <c r="G2" s="828"/>
      <c r="H2" s="828"/>
      <c r="I2" s="828"/>
      <c r="J2" s="828"/>
      <c r="K2" s="828"/>
      <c r="L2" s="828"/>
      <c r="M2" s="828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54" t="s">
        <v>275</v>
      </c>
      <c r="B3" s="852" t="s">
        <v>338</v>
      </c>
      <c r="C3" s="853"/>
      <c r="D3" s="852" t="s">
        <v>324</v>
      </c>
      <c r="E3" s="853"/>
      <c r="F3" s="852" t="s">
        <v>328</v>
      </c>
      <c r="G3" s="853"/>
      <c r="H3" s="852" t="s">
        <v>328</v>
      </c>
      <c r="I3" s="853"/>
      <c r="J3" s="852" t="s">
        <v>367</v>
      </c>
      <c r="K3" s="853"/>
      <c r="L3" s="852"/>
      <c r="M3" s="853"/>
      <c r="N3" s="852"/>
      <c r="O3" s="853"/>
      <c r="P3" s="852"/>
      <c r="Q3" s="853"/>
      <c r="R3" s="852"/>
      <c r="S3" s="853"/>
      <c r="T3" s="852"/>
      <c r="U3" s="853"/>
    </row>
    <row r="4" spans="1:21" s="612" customFormat="1" ht="21" customHeight="1" x14ac:dyDescent="0.25">
      <c r="A4" s="855"/>
      <c r="B4" s="610" t="s">
        <v>272</v>
      </c>
      <c r="C4" s="611" t="s">
        <v>293</v>
      </c>
      <c r="D4" s="610" t="s">
        <v>288</v>
      </c>
      <c r="E4" s="611" t="s">
        <v>326</v>
      </c>
      <c r="F4" s="610" t="s">
        <v>295</v>
      </c>
      <c r="G4" s="611" t="s">
        <v>272</v>
      </c>
      <c r="H4" s="610" t="s">
        <v>295</v>
      </c>
      <c r="I4" s="611" t="s">
        <v>331</v>
      </c>
      <c r="J4" s="610" t="s">
        <v>368</v>
      </c>
      <c r="K4" s="611" t="s">
        <v>369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56"/>
      <c r="B5" s="850" t="s">
        <v>339</v>
      </c>
      <c r="C5" s="851"/>
      <c r="D5" s="850" t="s">
        <v>327</v>
      </c>
      <c r="E5" s="851"/>
      <c r="F5" s="850" t="s">
        <v>332</v>
      </c>
      <c r="G5" s="857"/>
      <c r="H5" s="857"/>
      <c r="I5" s="851"/>
      <c r="J5" s="850" t="s">
        <v>370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609" customFormat="1" ht="21" customHeight="1" x14ac:dyDescent="0.25">
      <c r="A6" s="824" t="s">
        <v>277</v>
      </c>
      <c r="B6" s="820" t="s">
        <v>271</v>
      </c>
      <c r="C6" s="821"/>
      <c r="D6" s="820" t="s">
        <v>297</v>
      </c>
      <c r="E6" s="821"/>
      <c r="F6" s="820" t="s">
        <v>305</v>
      </c>
      <c r="G6" s="821"/>
      <c r="H6" s="820" t="s">
        <v>422</v>
      </c>
      <c r="I6" s="821"/>
      <c r="J6" s="820"/>
      <c r="K6" s="821"/>
      <c r="L6" s="820"/>
      <c r="M6" s="821"/>
      <c r="N6" s="820"/>
      <c r="O6" s="821"/>
      <c r="P6" s="820"/>
      <c r="Q6" s="821"/>
      <c r="R6" s="820"/>
      <c r="S6" s="821"/>
      <c r="T6" s="820"/>
      <c r="U6" s="821"/>
    </row>
    <row r="7" spans="1:21" s="613" customFormat="1" ht="21" customHeight="1" x14ac:dyDescent="0.25">
      <c r="A7" s="825"/>
      <c r="B7" s="610" t="s">
        <v>329</v>
      </c>
      <c r="C7" s="611" t="s">
        <v>421</v>
      </c>
      <c r="D7" s="610" t="s">
        <v>361</v>
      </c>
      <c r="E7" s="611" t="s">
        <v>345</v>
      </c>
      <c r="F7" s="610" t="s">
        <v>364</v>
      </c>
      <c r="G7" s="611" t="s">
        <v>421</v>
      </c>
      <c r="H7" s="610" t="s">
        <v>285</v>
      </c>
      <c r="I7" s="611" t="s">
        <v>421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25"/>
      <c r="B8" s="822" t="s">
        <v>420</v>
      </c>
      <c r="C8" s="823"/>
      <c r="D8" s="822"/>
      <c r="E8" s="823"/>
      <c r="F8" s="822" t="s">
        <v>330</v>
      </c>
      <c r="G8" s="823"/>
      <c r="H8" s="822"/>
      <c r="I8" s="823"/>
      <c r="J8" s="822"/>
      <c r="K8" s="823"/>
      <c r="L8" s="822"/>
      <c r="M8" s="823"/>
      <c r="N8" s="822"/>
      <c r="O8" s="823"/>
      <c r="P8" s="822"/>
      <c r="Q8" s="823"/>
      <c r="R8" s="822"/>
      <c r="S8" s="823"/>
      <c r="T8" s="822"/>
      <c r="U8" s="823"/>
    </row>
    <row r="9" spans="1:21" s="803" customFormat="1" ht="21" customHeight="1" x14ac:dyDescent="0.25">
      <c r="A9" s="825"/>
      <c r="B9" s="820" t="s">
        <v>450</v>
      </c>
      <c r="C9" s="821"/>
      <c r="D9" s="820" t="s">
        <v>297</v>
      </c>
      <c r="E9" s="821"/>
      <c r="F9" s="820" t="s">
        <v>454</v>
      </c>
      <c r="G9" s="821"/>
      <c r="H9" s="820"/>
      <c r="I9" s="821"/>
      <c r="J9" s="820"/>
      <c r="K9" s="821"/>
      <c r="L9" s="820"/>
      <c r="M9" s="821"/>
      <c r="N9" s="820"/>
      <c r="O9" s="821"/>
      <c r="P9" s="820"/>
      <c r="Q9" s="821"/>
      <c r="R9" s="820"/>
      <c r="S9" s="821"/>
      <c r="T9" s="820"/>
      <c r="U9" s="821"/>
    </row>
    <row r="10" spans="1:21" s="613" customFormat="1" ht="21" customHeight="1" x14ac:dyDescent="0.25">
      <c r="A10" s="825"/>
      <c r="B10" s="610" t="s">
        <v>451</v>
      </c>
      <c r="C10" s="611" t="s">
        <v>421</v>
      </c>
      <c r="D10" s="610" t="s">
        <v>451</v>
      </c>
      <c r="E10" s="611" t="s">
        <v>316</v>
      </c>
      <c r="F10" s="610" t="s">
        <v>455</v>
      </c>
      <c r="G10" s="611" t="s">
        <v>288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804" customFormat="1" ht="21" customHeight="1" x14ac:dyDescent="0.25">
      <c r="A11" s="826"/>
      <c r="B11" s="822" t="s">
        <v>453</v>
      </c>
      <c r="C11" s="823"/>
      <c r="D11" s="822" t="s">
        <v>452</v>
      </c>
      <c r="E11" s="823"/>
      <c r="F11" s="822" t="s">
        <v>452</v>
      </c>
      <c r="G11" s="823"/>
      <c r="H11" s="822"/>
      <c r="I11" s="823"/>
      <c r="J11" s="822"/>
      <c r="K11" s="823"/>
      <c r="L11" s="822"/>
      <c r="M11" s="823"/>
      <c r="N11" s="822"/>
      <c r="O11" s="823"/>
      <c r="P11" s="822"/>
      <c r="Q11" s="823"/>
      <c r="R11" s="822"/>
      <c r="S11" s="823"/>
      <c r="T11" s="822"/>
      <c r="U11" s="823"/>
    </row>
    <row r="12" spans="1:21" s="153" customFormat="1" ht="21" customHeight="1" x14ac:dyDescent="0.25">
      <c r="A12" s="847" t="s">
        <v>279</v>
      </c>
      <c r="B12" s="845" t="s">
        <v>304</v>
      </c>
      <c r="C12" s="846"/>
      <c r="D12" s="845" t="s">
        <v>312</v>
      </c>
      <c r="E12" s="846"/>
      <c r="F12" s="845"/>
      <c r="G12" s="846"/>
      <c r="H12" s="845"/>
      <c r="I12" s="846"/>
      <c r="J12" s="845"/>
      <c r="K12" s="846"/>
      <c r="L12" s="845"/>
      <c r="M12" s="846"/>
      <c r="N12" s="845"/>
      <c r="O12" s="846"/>
      <c r="P12" s="845"/>
      <c r="Q12" s="846"/>
      <c r="R12" s="845"/>
      <c r="S12" s="846"/>
      <c r="T12" s="845"/>
      <c r="U12" s="846"/>
    </row>
    <row r="13" spans="1:21" s="612" customFormat="1" ht="21" customHeight="1" x14ac:dyDescent="0.25">
      <c r="A13" s="848"/>
      <c r="B13" s="610" t="s">
        <v>300</v>
      </c>
      <c r="C13" s="611" t="s">
        <v>302</v>
      </c>
      <c r="D13" s="610" t="s">
        <v>298</v>
      </c>
      <c r="E13" s="611" t="s">
        <v>316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49"/>
      <c r="B14" s="843" t="s">
        <v>309</v>
      </c>
      <c r="C14" s="844"/>
      <c r="D14" s="843" t="s">
        <v>317</v>
      </c>
      <c r="E14" s="844"/>
      <c r="F14" s="843"/>
      <c r="G14" s="844"/>
      <c r="H14" s="843"/>
      <c r="I14" s="844"/>
      <c r="J14" s="843"/>
      <c r="K14" s="844"/>
      <c r="L14" s="843"/>
      <c r="M14" s="844"/>
      <c r="N14" s="843"/>
      <c r="O14" s="844"/>
      <c r="P14" s="843"/>
      <c r="Q14" s="844"/>
      <c r="R14" s="843"/>
      <c r="S14" s="844"/>
      <c r="T14" s="843"/>
      <c r="U14" s="844"/>
    </row>
    <row r="15" spans="1:21" s="161" customFormat="1" ht="21" customHeight="1" x14ac:dyDescent="0.25">
      <c r="A15" s="840" t="s">
        <v>281</v>
      </c>
      <c r="B15" s="838" t="s">
        <v>286</v>
      </c>
      <c r="C15" s="839"/>
      <c r="D15" s="838" t="s">
        <v>286</v>
      </c>
      <c r="E15" s="839"/>
      <c r="F15" s="838"/>
      <c r="G15" s="839"/>
      <c r="H15" s="838"/>
      <c r="I15" s="839"/>
      <c r="J15" s="838"/>
      <c r="K15" s="839"/>
      <c r="L15" s="838"/>
      <c r="M15" s="839"/>
      <c r="N15" s="838"/>
      <c r="O15" s="839"/>
      <c r="P15" s="838"/>
      <c r="Q15" s="839"/>
      <c r="R15" s="838"/>
      <c r="S15" s="839"/>
      <c r="T15" s="838"/>
      <c r="U15" s="839"/>
    </row>
    <row r="16" spans="1:21" s="612" customFormat="1" ht="21" customHeight="1" x14ac:dyDescent="0.25">
      <c r="A16" s="841"/>
      <c r="B16" s="610" t="s">
        <v>285</v>
      </c>
      <c r="C16" s="611" t="s">
        <v>295</v>
      </c>
      <c r="D16" s="610" t="s">
        <v>287</v>
      </c>
      <c r="E16" s="611" t="s">
        <v>285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42"/>
      <c r="B17" s="836" t="s">
        <v>341</v>
      </c>
      <c r="C17" s="837"/>
      <c r="D17" s="836" t="s">
        <v>299</v>
      </c>
      <c r="E17" s="837"/>
      <c r="F17" s="836"/>
      <c r="G17" s="837"/>
      <c r="H17" s="836"/>
      <c r="I17" s="837"/>
      <c r="J17" s="836"/>
      <c r="K17" s="837"/>
      <c r="L17" s="836"/>
      <c r="M17" s="837"/>
      <c r="N17" s="836"/>
      <c r="O17" s="837"/>
      <c r="P17" s="836"/>
      <c r="Q17" s="837"/>
      <c r="R17" s="836"/>
      <c r="S17" s="837"/>
      <c r="T17" s="836"/>
      <c r="U17" s="837"/>
    </row>
    <row r="18" spans="1:21" s="168" customFormat="1" ht="21" customHeight="1" x14ac:dyDescent="0.25">
      <c r="A18" s="833" t="s">
        <v>283</v>
      </c>
      <c r="B18" s="831" t="s">
        <v>289</v>
      </c>
      <c r="C18" s="832"/>
      <c r="D18" s="831" t="s">
        <v>363</v>
      </c>
      <c r="E18" s="832"/>
      <c r="F18" s="831" t="s">
        <v>291</v>
      </c>
      <c r="G18" s="832"/>
      <c r="H18" s="831" t="s">
        <v>342</v>
      </c>
      <c r="I18" s="832"/>
      <c r="J18" s="831"/>
      <c r="K18" s="832"/>
      <c r="L18" s="831"/>
      <c r="M18" s="832"/>
      <c r="N18" s="831"/>
      <c r="O18" s="832"/>
      <c r="P18" s="831"/>
      <c r="Q18" s="832"/>
      <c r="R18" s="831"/>
      <c r="S18" s="832"/>
      <c r="T18" s="831"/>
      <c r="U18" s="832"/>
    </row>
    <row r="19" spans="1:21" s="612" customFormat="1" ht="21" customHeight="1" x14ac:dyDescent="0.25">
      <c r="A19" s="834"/>
      <c r="B19" s="732" t="s">
        <v>290</v>
      </c>
      <c r="C19" s="611" t="s">
        <v>362</v>
      </c>
      <c r="D19" s="610" t="s">
        <v>364</v>
      </c>
      <c r="E19" s="611" t="s">
        <v>362</v>
      </c>
      <c r="F19" s="610" t="s">
        <v>288</v>
      </c>
      <c r="G19" s="611" t="s">
        <v>293</v>
      </c>
      <c r="H19" s="610" t="s">
        <v>310</v>
      </c>
      <c r="I19" s="611" t="s">
        <v>340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35"/>
      <c r="B20" s="829"/>
      <c r="C20" s="830"/>
      <c r="D20" s="829"/>
      <c r="E20" s="830"/>
      <c r="F20" s="829" t="s">
        <v>292</v>
      </c>
      <c r="G20" s="830"/>
      <c r="H20" s="829"/>
      <c r="I20" s="830"/>
      <c r="J20" s="829"/>
      <c r="K20" s="830"/>
      <c r="L20" s="829"/>
      <c r="M20" s="830"/>
      <c r="N20" s="829"/>
      <c r="O20" s="830"/>
      <c r="P20" s="829"/>
      <c r="Q20" s="830"/>
      <c r="R20" s="829"/>
      <c r="S20" s="830"/>
      <c r="T20" s="829"/>
      <c r="U20" s="83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22"/>
  <sheetViews>
    <sheetView workbookViewId="0">
      <selection activeCell="F10" sqref="F10:G10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58" t="s">
        <v>449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</row>
    <row r="2" spans="1:21" s="141" customFormat="1" ht="21" customHeight="1" x14ac:dyDescent="0.25">
      <c r="A2" s="859" t="s">
        <v>276</v>
      </c>
      <c r="B2" s="852" t="s">
        <v>338</v>
      </c>
      <c r="C2" s="853"/>
      <c r="D2" s="852" t="s">
        <v>324</v>
      </c>
      <c r="E2" s="853"/>
      <c r="F2" s="852" t="s">
        <v>328</v>
      </c>
      <c r="G2" s="853"/>
      <c r="H2" s="852" t="s">
        <v>328</v>
      </c>
      <c r="I2" s="853"/>
      <c r="J2" s="852" t="s">
        <v>423</v>
      </c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612" customFormat="1" ht="21" customHeight="1" x14ac:dyDescent="0.25">
      <c r="A3" s="860"/>
      <c r="B3" s="732" t="s">
        <v>272</v>
      </c>
      <c r="C3" s="611" t="s">
        <v>293</v>
      </c>
      <c r="D3" s="610" t="s">
        <v>288</v>
      </c>
      <c r="E3" s="611" t="s">
        <v>326</v>
      </c>
      <c r="F3" s="610" t="s">
        <v>295</v>
      </c>
      <c r="G3" s="611" t="s">
        <v>272</v>
      </c>
      <c r="H3" s="610" t="s">
        <v>295</v>
      </c>
      <c r="I3" s="611" t="s">
        <v>331</v>
      </c>
      <c r="J3" s="610" t="s">
        <v>288</v>
      </c>
      <c r="K3" s="611" t="s">
        <v>394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0"/>
      <c r="B4" s="850" t="s">
        <v>339</v>
      </c>
      <c r="C4" s="851"/>
      <c r="D4" s="850" t="s">
        <v>327</v>
      </c>
      <c r="E4" s="851"/>
      <c r="F4" s="850" t="s">
        <v>332</v>
      </c>
      <c r="G4" s="857"/>
      <c r="H4" s="857"/>
      <c r="I4" s="851"/>
      <c r="J4" s="850" t="s">
        <v>431</v>
      </c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609" customFormat="1" ht="21" customHeight="1" x14ac:dyDescent="0.25">
      <c r="A5" s="824" t="s">
        <v>278</v>
      </c>
      <c r="B5" s="872" t="s">
        <v>271</v>
      </c>
      <c r="C5" s="821"/>
      <c r="D5" s="820" t="s">
        <v>297</v>
      </c>
      <c r="E5" s="821"/>
      <c r="F5" s="820" t="s">
        <v>305</v>
      </c>
      <c r="G5" s="821"/>
      <c r="H5" s="820" t="s">
        <v>414</v>
      </c>
      <c r="I5" s="821"/>
      <c r="J5" s="820"/>
      <c r="K5" s="821"/>
      <c r="L5" s="820"/>
      <c r="M5" s="821"/>
      <c r="N5" s="820"/>
      <c r="O5" s="821"/>
      <c r="P5" s="820"/>
      <c r="Q5" s="821"/>
      <c r="R5" s="820"/>
      <c r="S5" s="821"/>
      <c r="T5" s="820"/>
      <c r="U5" s="821"/>
    </row>
    <row r="6" spans="1:21" s="613" customFormat="1" ht="21" customHeight="1" x14ac:dyDescent="0.25">
      <c r="A6" s="825"/>
      <c r="B6" s="613" t="s">
        <v>329</v>
      </c>
      <c r="C6" s="611" t="s">
        <v>285</v>
      </c>
      <c r="D6" s="610" t="s">
        <v>451</v>
      </c>
      <c r="E6" s="611" t="s">
        <v>285</v>
      </c>
      <c r="F6" s="610" t="s">
        <v>364</v>
      </c>
      <c r="G6" s="611" t="s">
        <v>285</v>
      </c>
      <c r="H6" s="610" t="s">
        <v>310</v>
      </c>
      <c r="I6" s="611" t="s">
        <v>285</v>
      </c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14" customFormat="1" ht="21" customHeight="1" x14ac:dyDescent="0.25">
      <c r="A7" s="825"/>
      <c r="B7" s="873"/>
      <c r="C7" s="823"/>
      <c r="D7" s="822"/>
      <c r="E7" s="823"/>
      <c r="F7" s="822" t="s">
        <v>307</v>
      </c>
      <c r="G7" s="823"/>
      <c r="H7" s="822"/>
      <c r="I7" s="823"/>
      <c r="J7" s="822"/>
      <c r="K7" s="823"/>
      <c r="L7" s="822"/>
      <c r="M7" s="823"/>
      <c r="N7" s="822"/>
      <c r="O7" s="823"/>
      <c r="P7" s="822"/>
      <c r="Q7" s="823"/>
      <c r="R7" s="822"/>
      <c r="S7" s="823"/>
      <c r="T7" s="822"/>
      <c r="U7" s="823"/>
    </row>
    <row r="8" spans="1:21" s="803" customFormat="1" ht="21" customHeight="1" x14ac:dyDescent="0.25">
      <c r="A8" s="825"/>
      <c r="B8" s="820" t="s">
        <v>450</v>
      </c>
      <c r="C8" s="821"/>
      <c r="D8" s="820" t="s">
        <v>448</v>
      </c>
      <c r="E8" s="821"/>
      <c r="F8" s="820" t="s">
        <v>88</v>
      </c>
      <c r="G8" s="821"/>
      <c r="H8" s="820"/>
      <c r="I8" s="821"/>
      <c r="J8" s="820"/>
      <c r="K8" s="821"/>
      <c r="L8" s="820"/>
      <c r="M8" s="821"/>
      <c r="N8" s="820"/>
      <c r="O8" s="821"/>
      <c r="P8" s="820"/>
      <c r="Q8" s="821"/>
      <c r="R8" s="820"/>
      <c r="S8" s="821"/>
      <c r="T8" s="820"/>
      <c r="U8" s="821"/>
    </row>
    <row r="9" spans="1:21" s="613" customFormat="1" ht="21" customHeight="1" x14ac:dyDescent="0.25">
      <c r="A9" s="825"/>
      <c r="B9" s="610" t="s">
        <v>451</v>
      </c>
      <c r="C9" s="611" t="s">
        <v>288</v>
      </c>
      <c r="D9" s="610" t="s">
        <v>288</v>
      </c>
      <c r="E9" s="611" t="s">
        <v>409</v>
      </c>
      <c r="F9" s="610" t="s">
        <v>451</v>
      </c>
      <c r="G9" s="611" t="s">
        <v>316</v>
      </c>
      <c r="H9" s="610"/>
      <c r="I9" s="611"/>
      <c r="J9" s="610"/>
      <c r="K9" s="611"/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804" customFormat="1" ht="21" customHeight="1" x14ac:dyDescent="0.25">
      <c r="A10" s="826"/>
      <c r="B10" s="822" t="s">
        <v>452</v>
      </c>
      <c r="C10" s="823"/>
      <c r="D10" s="822" t="s">
        <v>452</v>
      </c>
      <c r="E10" s="823"/>
      <c r="F10" s="822" t="s">
        <v>452</v>
      </c>
      <c r="G10" s="823"/>
      <c r="H10" s="822"/>
      <c r="I10" s="823"/>
      <c r="J10" s="822"/>
      <c r="K10" s="823"/>
      <c r="L10" s="822"/>
      <c r="M10" s="823"/>
      <c r="N10" s="822"/>
      <c r="O10" s="823"/>
      <c r="P10" s="822"/>
      <c r="Q10" s="823"/>
      <c r="R10" s="822"/>
      <c r="S10" s="823"/>
      <c r="T10" s="822"/>
      <c r="U10" s="823"/>
    </row>
    <row r="11" spans="1:21" s="153" customFormat="1" ht="21" customHeight="1" x14ac:dyDescent="0.25">
      <c r="A11" s="869" t="s">
        <v>280</v>
      </c>
      <c r="B11" s="867" t="s">
        <v>294</v>
      </c>
      <c r="C11" s="846"/>
      <c r="D11" s="845" t="s">
        <v>304</v>
      </c>
      <c r="E11" s="846"/>
      <c r="F11" s="845" t="s">
        <v>301</v>
      </c>
      <c r="G11" s="846"/>
      <c r="H11" s="845" t="s">
        <v>312</v>
      </c>
      <c r="I11" s="846"/>
      <c r="J11" s="845" t="s">
        <v>312</v>
      </c>
      <c r="K11" s="846"/>
      <c r="L11" s="845" t="s">
        <v>347</v>
      </c>
      <c r="M11" s="846"/>
      <c r="N11" s="845"/>
      <c r="O11" s="846"/>
      <c r="P11" s="845"/>
      <c r="Q11" s="846"/>
      <c r="R11" s="845"/>
      <c r="S11" s="846"/>
      <c r="T11" s="845"/>
      <c r="U11" s="846"/>
    </row>
    <row r="12" spans="1:21" s="612" customFormat="1" ht="21" customHeight="1" x14ac:dyDescent="0.25">
      <c r="A12" s="870"/>
      <c r="B12" s="613" t="s">
        <v>285</v>
      </c>
      <c r="C12" s="611" t="s">
        <v>295</v>
      </c>
      <c r="D12" s="610" t="s">
        <v>300</v>
      </c>
      <c r="E12" s="611" t="s">
        <v>302</v>
      </c>
      <c r="F12" s="610" t="s">
        <v>306</v>
      </c>
      <c r="G12" s="611" t="s">
        <v>308</v>
      </c>
      <c r="H12" s="610" t="s">
        <v>288</v>
      </c>
      <c r="I12" s="611" t="s">
        <v>313</v>
      </c>
      <c r="J12" s="610" t="s">
        <v>333</v>
      </c>
      <c r="K12" s="611" t="s">
        <v>313</v>
      </c>
      <c r="L12" s="610" t="s">
        <v>298</v>
      </c>
      <c r="M12" s="611" t="s">
        <v>432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0"/>
      <c r="B13" s="868" t="s">
        <v>296</v>
      </c>
      <c r="C13" s="844"/>
      <c r="D13" s="843" t="s">
        <v>309</v>
      </c>
      <c r="E13" s="844"/>
      <c r="F13" s="843" t="s">
        <v>303</v>
      </c>
      <c r="G13" s="844"/>
      <c r="H13" s="843"/>
      <c r="I13" s="844"/>
      <c r="J13" s="843" t="s">
        <v>334</v>
      </c>
      <c r="K13" s="844"/>
      <c r="L13" s="843"/>
      <c r="M13" s="844"/>
      <c r="N13" s="843"/>
      <c r="O13" s="844"/>
      <c r="P13" s="843"/>
      <c r="Q13" s="844"/>
      <c r="R13" s="843"/>
      <c r="S13" s="844"/>
      <c r="T13" s="843"/>
      <c r="U13" s="844"/>
    </row>
    <row r="14" spans="1:21" s="153" customFormat="1" ht="21" customHeight="1" x14ac:dyDescent="0.25">
      <c r="A14" s="870"/>
      <c r="B14" s="867" t="s">
        <v>314</v>
      </c>
      <c r="C14" s="846"/>
      <c r="D14" s="845" t="s">
        <v>318</v>
      </c>
      <c r="E14" s="846"/>
      <c r="F14" s="845" t="s">
        <v>321</v>
      </c>
      <c r="G14" s="846"/>
      <c r="H14" s="845" t="s">
        <v>335</v>
      </c>
      <c r="I14" s="846"/>
      <c r="J14" s="845" t="s">
        <v>335</v>
      </c>
      <c r="K14" s="846"/>
      <c r="L14" s="845" t="s">
        <v>291</v>
      </c>
      <c r="M14" s="846"/>
      <c r="N14" s="845"/>
      <c r="O14" s="846"/>
      <c r="P14" s="845"/>
      <c r="Q14" s="846"/>
      <c r="R14" s="845"/>
      <c r="S14" s="846"/>
      <c r="T14" s="845"/>
      <c r="U14" s="846"/>
    </row>
    <row r="15" spans="1:21" s="612" customFormat="1" ht="21" customHeight="1" x14ac:dyDescent="0.25">
      <c r="A15" s="870"/>
      <c r="B15" s="613" t="s">
        <v>285</v>
      </c>
      <c r="C15" s="611" t="s">
        <v>288</v>
      </c>
      <c r="D15" s="610" t="s">
        <v>319</v>
      </c>
      <c r="E15" s="611" t="s">
        <v>302</v>
      </c>
      <c r="F15" s="610" t="s">
        <v>311</v>
      </c>
      <c r="G15" s="611" t="s">
        <v>322</v>
      </c>
      <c r="H15" s="610" t="s">
        <v>311</v>
      </c>
      <c r="I15" s="611" t="s">
        <v>322</v>
      </c>
      <c r="J15" s="610" t="s">
        <v>311</v>
      </c>
      <c r="K15" s="611" t="s">
        <v>337</v>
      </c>
      <c r="L15" s="610" t="s">
        <v>374</v>
      </c>
      <c r="M15" s="611" t="s">
        <v>308</v>
      </c>
      <c r="N15" s="610"/>
      <c r="O15" s="611"/>
      <c r="P15" s="610"/>
      <c r="Q15" s="611"/>
      <c r="R15" s="610"/>
      <c r="S15" s="611"/>
      <c r="T15" s="610"/>
      <c r="U15" s="611"/>
    </row>
    <row r="16" spans="1:21" s="156" customFormat="1" ht="21" customHeight="1" x14ac:dyDescent="0.25">
      <c r="A16" s="871"/>
      <c r="B16" s="868" t="s">
        <v>315</v>
      </c>
      <c r="C16" s="844"/>
      <c r="D16" s="843" t="s">
        <v>320</v>
      </c>
      <c r="E16" s="844"/>
      <c r="F16" s="843" t="s">
        <v>323</v>
      </c>
      <c r="G16" s="844"/>
      <c r="H16" s="843" t="s">
        <v>336</v>
      </c>
      <c r="I16" s="844"/>
      <c r="J16" s="843"/>
      <c r="K16" s="844"/>
      <c r="L16" s="843" t="s">
        <v>425</v>
      </c>
      <c r="M16" s="844"/>
      <c r="N16" s="843"/>
      <c r="O16" s="844"/>
      <c r="P16" s="843"/>
      <c r="Q16" s="844"/>
      <c r="R16" s="843"/>
      <c r="S16" s="844"/>
      <c r="T16" s="843"/>
      <c r="U16" s="844"/>
    </row>
    <row r="17" spans="1:21" s="161" customFormat="1" ht="21" customHeight="1" x14ac:dyDescent="0.25">
      <c r="A17" s="864" t="s">
        <v>282</v>
      </c>
      <c r="B17" s="874" t="s">
        <v>286</v>
      </c>
      <c r="C17" s="839"/>
      <c r="D17" s="838" t="s">
        <v>273</v>
      </c>
      <c r="E17" s="839"/>
      <c r="F17" s="838" t="s">
        <v>385</v>
      </c>
      <c r="G17" s="839"/>
      <c r="H17" s="838" t="s">
        <v>286</v>
      </c>
      <c r="I17" s="839"/>
      <c r="J17" s="838"/>
      <c r="K17" s="839"/>
      <c r="L17" s="838"/>
      <c r="M17" s="839"/>
      <c r="N17" s="838"/>
      <c r="O17" s="839"/>
      <c r="P17" s="838"/>
      <c r="Q17" s="839"/>
      <c r="R17" s="838"/>
      <c r="S17" s="839"/>
      <c r="T17" s="838"/>
      <c r="U17" s="839"/>
    </row>
    <row r="18" spans="1:21" s="612" customFormat="1" ht="21" customHeight="1" x14ac:dyDescent="0.25">
      <c r="A18" s="865"/>
      <c r="B18" s="613" t="s">
        <v>274</v>
      </c>
      <c r="C18" s="611" t="s">
        <v>295</v>
      </c>
      <c r="D18" s="742" t="s">
        <v>366</v>
      </c>
      <c r="E18" s="611" t="s">
        <v>365</v>
      </c>
      <c r="F18" s="610" t="s">
        <v>382</v>
      </c>
      <c r="G18" s="611" t="s">
        <v>293</v>
      </c>
      <c r="H18" s="610" t="s">
        <v>382</v>
      </c>
      <c r="I18" s="611" t="s">
        <v>295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66"/>
      <c r="B19" s="875" t="s">
        <v>384</v>
      </c>
      <c r="C19" s="837"/>
      <c r="D19" s="875" t="s">
        <v>384</v>
      </c>
      <c r="E19" s="837"/>
      <c r="F19" s="836" t="s">
        <v>383</v>
      </c>
      <c r="G19" s="837"/>
      <c r="H19" s="836" t="s">
        <v>383</v>
      </c>
      <c r="I19" s="837"/>
      <c r="J19" s="836"/>
      <c r="K19" s="837"/>
      <c r="L19" s="836"/>
      <c r="M19" s="837"/>
      <c r="N19" s="836"/>
      <c r="O19" s="837"/>
      <c r="P19" s="836"/>
      <c r="Q19" s="837"/>
      <c r="R19" s="836"/>
      <c r="S19" s="837"/>
      <c r="T19" s="836"/>
      <c r="U19" s="837"/>
    </row>
    <row r="20" spans="1:21" s="168" customFormat="1" ht="21" customHeight="1" x14ac:dyDescent="0.25">
      <c r="A20" s="861" t="s">
        <v>284</v>
      </c>
      <c r="B20" s="831" t="s">
        <v>289</v>
      </c>
      <c r="C20" s="832"/>
      <c r="D20" s="831" t="s">
        <v>363</v>
      </c>
      <c r="E20" s="832"/>
      <c r="F20" s="831" t="s">
        <v>291</v>
      </c>
      <c r="G20" s="832"/>
      <c r="H20" s="831" t="s">
        <v>342</v>
      </c>
      <c r="I20" s="832"/>
      <c r="J20" s="831" t="s">
        <v>418</v>
      </c>
      <c r="K20" s="832"/>
      <c r="L20" s="831"/>
      <c r="M20" s="832"/>
      <c r="N20" s="831"/>
      <c r="O20" s="832"/>
      <c r="P20" s="831"/>
      <c r="Q20" s="832"/>
      <c r="R20" s="831"/>
      <c r="S20" s="832"/>
      <c r="T20" s="831"/>
      <c r="U20" s="832"/>
    </row>
    <row r="21" spans="1:21" s="612" customFormat="1" ht="21" customHeight="1" x14ac:dyDescent="0.25">
      <c r="A21" s="862"/>
      <c r="B21" s="731" t="s">
        <v>290</v>
      </c>
      <c r="C21" s="611" t="s">
        <v>362</v>
      </c>
      <c r="D21" s="610" t="s">
        <v>364</v>
      </c>
      <c r="E21" s="611" t="s">
        <v>362</v>
      </c>
      <c r="F21" s="610" t="s">
        <v>288</v>
      </c>
      <c r="G21" s="611" t="s">
        <v>293</v>
      </c>
      <c r="H21" s="610" t="s">
        <v>310</v>
      </c>
      <c r="I21" s="611" t="s">
        <v>340</v>
      </c>
      <c r="J21" s="610" t="s">
        <v>419</v>
      </c>
      <c r="K21" s="611" t="s">
        <v>316</v>
      </c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71" customFormat="1" ht="21" customHeight="1" x14ac:dyDescent="0.25">
      <c r="A22" s="863"/>
      <c r="B22" s="829"/>
      <c r="C22" s="830"/>
      <c r="D22" s="829"/>
      <c r="E22" s="830"/>
      <c r="F22" s="829" t="s">
        <v>292</v>
      </c>
      <c r="G22" s="830"/>
      <c r="H22" s="829"/>
      <c r="I22" s="830"/>
      <c r="J22" s="829"/>
      <c r="K22" s="830"/>
      <c r="L22" s="829"/>
      <c r="M22" s="830"/>
      <c r="N22" s="829"/>
      <c r="O22" s="830"/>
      <c r="P22" s="829"/>
      <c r="Q22" s="830"/>
      <c r="R22" s="829"/>
      <c r="S22" s="830"/>
      <c r="T22" s="829"/>
      <c r="U22" s="830"/>
    </row>
  </sheetData>
  <mergeCells count="145">
    <mergeCell ref="T22:U22"/>
    <mergeCell ref="R2:S2"/>
    <mergeCell ref="R4:S4"/>
    <mergeCell ref="R5:S5"/>
    <mergeCell ref="R7:S7"/>
    <mergeCell ref="R14:S14"/>
    <mergeCell ref="R16:S16"/>
    <mergeCell ref="R11:S11"/>
    <mergeCell ref="R13:S13"/>
    <mergeCell ref="R17:S17"/>
    <mergeCell ref="R19:S19"/>
    <mergeCell ref="R20:S20"/>
    <mergeCell ref="R22:S22"/>
    <mergeCell ref="T16:U16"/>
    <mergeCell ref="T11:U11"/>
    <mergeCell ref="T13:U13"/>
    <mergeCell ref="T17:U17"/>
    <mergeCell ref="T19:U19"/>
    <mergeCell ref="T2:U2"/>
    <mergeCell ref="T4:U4"/>
    <mergeCell ref="T5:U5"/>
    <mergeCell ref="T7:U7"/>
    <mergeCell ref="T14:U14"/>
    <mergeCell ref="T20:U20"/>
    <mergeCell ref="L11:M11"/>
    <mergeCell ref="J22:K22"/>
    <mergeCell ref="H2:I2"/>
    <mergeCell ref="H5:I5"/>
    <mergeCell ref="H7:I7"/>
    <mergeCell ref="H11:I11"/>
    <mergeCell ref="L13:M13"/>
    <mergeCell ref="L17:M17"/>
    <mergeCell ref="L19:M19"/>
    <mergeCell ref="L20:M20"/>
    <mergeCell ref="L22:M22"/>
    <mergeCell ref="J5:K5"/>
    <mergeCell ref="J7:K7"/>
    <mergeCell ref="H16:I16"/>
    <mergeCell ref="H22:I22"/>
    <mergeCell ref="L14:M14"/>
    <mergeCell ref="J11:K11"/>
    <mergeCell ref="L16:M16"/>
    <mergeCell ref="P22:Q22"/>
    <mergeCell ref="N2:O2"/>
    <mergeCell ref="N4:O4"/>
    <mergeCell ref="N5:O5"/>
    <mergeCell ref="N7:O7"/>
    <mergeCell ref="P2:Q2"/>
    <mergeCell ref="P4:Q4"/>
    <mergeCell ref="P5:Q5"/>
    <mergeCell ref="P7:Q7"/>
    <mergeCell ref="P11:Q11"/>
    <mergeCell ref="P16:Q16"/>
    <mergeCell ref="P14:Q14"/>
    <mergeCell ref="P13:Q13"/>
    <mergeCell ref="P17:Q17"/>
    <mergeCell ref="P19:Q19"/>
    <mergeCell ref="P20:Q20"/>
    <mergeCell ref="N20:O20"/>
    <mergeCell ref="N22:O22"/>
    <mergeCell ref="N17:O17"/>
    <mergeCell ref="N19:O19"/>
    <mergeCell ref="N11:O11"/>
    <mergeCell ref="N13:O13"/>
    <mergeCell ref="N14:O14"/>
    <mergeCell ref="N16:O16"/>
    <mergeCell ref="D13:E13"/>
    <mergeCell ref="D17:E17"/>
    <mergeCell ref="D19:E19"/>
    <mergeCell ref="D20:E20"/>
    <mergeCell ref="D22:E22"/>
    <mergeCell ref="F22:G22"/>
    <mergeCell ref="B22:C22"/>
    <mergeCell ref="J13:K13"/>
    <mergeCell ref="J17:K17"/>
    <mergeCell ref="J19:K19"/>
    <mergeCell ref="J20:K20"/>
    <mergeCell ref="F16:G16"/>
    <mergeCell ref="H20:I20"/>
    <mergeCell ref="F13:G13"/>
    <mergeCell ref="F17:G17"/>
    <mergeCell ref="F19:G19"/>
    <mergeCell ref="F20:G20"/>
    <mergeCell ref="J14:K14"/>
    <mergeCell ref="H17:I17"/>
    <mergeCell ref="H19:I19"/>
    <mergeCell ref="J16:K16"/>
    <mergeCell ref="F11:G11"/>
    <mergeCell ref="B2:C2"/>
    <mergeCell ref="F14:G14"/>
    <mergeCell ref="H14:I14"/>
    <mergeCell ref="H13:I13"/>
    <mergeCell ref="B4:C4"/>
    <mergeCell ref="F4:I4"/>
    <mergeCell ref="A20:A22"/>
    <mergeCell ref="A17:A19"/>
    <mergeCell ref="B14:C14"/>
    <mergeCell ref="D5:E5"/>
    <mergeCell ref="D7:E7"/>
    <mergeCell ref="D11:E11"/>
    <mergeCell ref="D14:E14"/>
    <mergeCell ref="B16:C16"/>
    <mergeCell ref="D16:E16"/>
    <mergeCell ref="A11:A16"/>
    <mergeCell ref="B5:C5"/>
    <mergeCell ref="B7:C7"/>
    <mergeCell ref="B11:C11"/>
    <mergeCell ref="B13:C13"/>
    <mergeCell ref="B17:C17"/>
    <mergeCell ref="B19:C19"/>
    <mergeCell ref="B20:C20"/>
    <mergeCell ref="A5:A10"/>
    <mergeCell ref="A1:M1"/>
    <mergeCell ref="A2:A4"/>
    <mergeCell ref="D4:E4"/>
    <mergeCell ref="J2:K2"/>
    <mergeCell ref="J4:K4"/>
    <mergeCell ref="D2:E2"/>
    <mergeCell ref="F2:G2"/>
    <mergeCell ref="F5:G5"/>
    <mergeCell ref="F7:G7"/>
    <mergeCell ref="L2:M2"/>
    <mergeCell ref="L4:M4"/>
    <mergeCell ref="L5:M5"/>
    <mergeCell ref="L7:M7"/>
    <mergeCell ref="R8:S8"/>
    <mergeCell ref="T8:U8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B8:C8"/>
    <mergeCell ref="D8:E8"/>
    <mergeCell ref="F8:G8"/>
    <mergeCell ref="H8:I8"/>
    <mergeCell ref="J8:K8"/>
    <mergeCell ref="L8:M8"/>
    <mergeCell ref="N8:O8"/>
    <mergeCell ref="P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19" workbookViewId="0">
      <selection activeCell="B17" sqref="B17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76" t="s">
        <v>371</v>
      </c>
      <c r="I1" s="876"/>
      <c r="J1" s="876"/>
      <c r="K1" s="876"/>
      <c r="L1" s="876"/>
      <c r="M1" s="876"/>
      <c r="N1" s="876"/>
      <c r="O1" s="876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43" t="s">
        <v>263</v>
      </c>
      <c r="B2" s="944"/>
      <c r="C2" s="944"/>
      <c r="D2" s="945"/>
      <c r="F2" s="920" t="s">
        <v>30</v>
      </c>
      <c r="G2" s="921"/>
      <c r="H2" s="928" t="s">
        <v>244</v>
      </c>
      <c r="I2" s="929"/>
      <c r="J2" s="929"/>
      <c r="K2" s="929"/>
      <c r="L2" s="929"/>
      <c r="M2" s="929"/>
      <c r="N2" s="929"/>
      <c r="O2" s="930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13" t="s">
        <v>220</v>
      </c>
      <c r="B3" s="914"/>
      <c r="C3" s="914"/>
      <c r="D3" s="915"/>
      <c r="F3" s="922"/>
      <c r="G3" s="923"/>
      <c r="H3" s="517" t="str">
        <f>"中級 (" &amp; HDRAG_GAMES_HBRUN_MED &amp; "場)"</f>
        <v>中級 (299場)</v>
      </c>
      <c r="I3" s="936" t="str">
        <f>"高級 (" &amp; HDRAG_GAMES_HBRUN_EXP &amp; "場)"</f>
        <v>高級 (225場)</v>
      </c>
      <c r="J3" s="937"/>
      <c r="K3" s="938"/>
      <c r="L3" s="936" t="str">
        <f>"超級 (" &amp; HDRAG_GAMES_HBRUN_MST &amp; "場)"</f>
        <v>超級 (230場)</v>
      </c>
      <c r="M3" s="937"/>
      <c r="N3" s="937"/>
      <c r="O3" s="946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32">
        <f>HDRAG_AVG_HBRUN_MED_ORB</f>
        <v>2.4381270903010033</v>
      </c>
      <c r="I5" s="931">
        <f>HDRAG_AVG_HBRUN_EXP_ORB</f>
        <v>4.4133333333333331</v>
      </c>
      <c r="J5" s="931">
        <f>HDRAG_AVG_HBRUN_EXP_TAIL</f>
        <v>2</v>
      </c>
      <c r="K5" s="933">
        <f>HDRAG_AVG_HBRUN_EXP_ORIHAL</f>
        <v>0.31555555555555553</v>
      </c>
      <c r="L5" s="931">
        <f>HDRAG_AVG_HBRUN_MST_ORB</f>
        <v>6.3913043478260869</v>
      </c>
      <c r="M5" s="931">
        <f>HDRAG_AVG_HBRUN_MST_TAIL</f>
        <v>2.0521739130434784</v>
      </c>
      <c r="N5" s="931">
        <f>HDRAG_AVG_HBRUN_MST_HORN</f>
        <v>1.9739130434782608</v>
      </c>
      <c r="O5" s="916">
        <f>HDRAG_AVG_HBRUN_MST_ORIHAL</f>
        <v>0.59130434782608698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32"/>
      <c r="I6" s="931"/>
      <c r="J6" s="931"/>
      <c r="K6" s="933"/>
      <c r="L6" s="931"/>
      <c r="M6" s="970"/>
      <c r="N6" s="970"/>
      <c r="O6" s="917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24" t="s">
        <v>35</v>
      </c>
      <c r="G7" s="925"/>
      <c r="H7" s="908" t="s">
        <v>244</v>
      </c>
      <c r="I7" s="909"/>
      <c r="J7" s="909"/>
      <c r="K7" s="909"/>
      <c r="L7" s="909"/>
      <c r="M7" s="909"/>
      <c r="N7" s="909"/>
      <c r="O7" s="910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26"/>
      <c r="G8" s="927"/>
      <c r="H8" s="518" t="str">
        <f>"中級 (" &amp; HDRAG_GAMES_HMERC_MED &amp; "場)"</f>
        <v>中級 (246場)</v>
      </c>
      <c r="I8" s="973" t="str">
        <f>"高級 (" &amp; HDRAG_GAMES_HMERC_EXP &amp; "場)"</f>
        <v>高級 (521場)</v>
      </c>
      <c r="J8" s="974"/>
      <c r="K8" s="987"/>
      <c r="L8" s="973" t="str">
        <f>"超級 (" &amp; HDRAG_GAMES_HMERC_MST &amp; "場)"</f>
        <v>超級 (324場)</v>
      </c>
      <c r="M8" s="974"/>
      <c r="N8" s="974"/>
      <c r="O8" s="975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11">
        <f>HDRAG_AVG_HMERC_MED_ORB</f>
        <v>2.3861788617886179</v>
      </c>
      <c r="I10" s="918">
        <f>HDRAG_AVG_HMERC_EXP_ORB</f>
        <v>4.4184261036468326</v>
      </c>
      <c r="J10" s="939">
        <f>HDRAG_AVG_HMERC_EXP_TAIL</f>
        <v>2.0095969289827256</v>
      </c>
      <c r="K10" s="934">
        <f>HDRAG_AVG_HMERC_EXP_ORIHAL</f>
        <v>0.3531669865642994</v>
      </c>
      <c r="L10" s="939">
        <f>HDRAG_AVG_HMERC_MST_ORB</f>
        <v>6.367283950617284</v>
      </c>
      <c r="M10" s="939">
        <f>HDRAG_AVG_HMERC_MST_TAIL</f>
        <v>1.9135802469135803</v>
      </c>
      <c r="N10" s="939">
        <f>HDRAG_AVG_HMERC_MST_HORN</f>
        <v>2.0277777777777777</v>
      </c>
      <c r="O10" s="941">
        <f>HDRAG_AVG_HMERC_MST_ORIHAL</f>
        <v>0.63888888888888884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43" t="s">
        <v>264</v>
      </c>
      <c r="B11" s="944"/>
      <c r="C11" s="944"/>
      <c r="D11" s="945"/>
      <c r="F11" s="490" t="s">
        <v>237</v>
      </c>
      <c r="G11" s="491">
        <f>IF(HDRAG_HAS_REC_HMERC,HDRAG_HMERC_ITEMS + G9 + G10,0)</f>
        <v>3116</v>
      </c>
      <c r="H11" s="912"/>
      <c r="I11" s="919"/>
      <c r="J11" s="940"/>
      <c r="K11" s="935"/>
      <c r="L11" s="940"/>
      <c r="M11" s="940"/>
      <c r="N11" s="940"/>
      <c r="O11" s="942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77" t="s">
        <v>31</v>
      </c>
      <c r="G12" s="878"/>
      <c r="H12" s="901" t="s">
        <v>244</v>
      </c>
      <c r="I12" s="902"/>
      <c r="J12" s="902"/>
      <c r="K12" s="902"/>
      <c r="L12" s="902"/>
      <c r="M12" s="902"/>
      <c r="N12" s="902"/>
      <c r="O12" s="903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20</v>
      </c>
      <c r="C13" s="264">
        <v>364</v>
      </c>
      <c r="D13" s="566">
        <v>8</v>
      </c>
      <c r="F13" s="879"/>
      <c r="G13" s="880"/>
      <c r="H13" s="519" t="str">
        <f>"中級 (" &amp; HDRAG_GAMES_HMID_MED &amp; "場)"</f>
        <v>中級 (803場)</v>
      </c>
      <c r="I13" s="984" t="str">
        <f>"高級 (" &amp; HDRAG_GAMES_HMID_EXP &amp; "場)"</f>
        <v>高級 (469場)</v>
      </c>
      <c r="J13" s="985"/>
      <c r="K13" s="986"/>
      <c r="L13" s="984" t="str">
        <f>"超級 (" &amp; HDRAG_GAMES_HMID_MST &amp; "場)"</f>
        <v>超級 (111場)</v>
      </c>
      <c r="M13" s="985"/>
      <c r="N13" s="985"/>
      <c r="O13" s="1018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552</v>
      </c>
      <c r="C14" s="264">
        <v>679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207</v>
      </c>
      <c r="C15" s="264">
        <v>308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04">
        <f>HDRAG_AVG_HMID_MED_ORB</f>
        <v>2.5504358655043586</v>
      </c>
      <c r="I15" s="905">
        <f>HDRAG_AVG_HMID_EXP_ORB</f>
        <v>4.3923240938166312</v>
      </c>
      <c r="J15" s="905">
        <f>HDRAG_AVG_HMID_EXP_TAIL</f>
        <v>1.9616204690831556</v>
      </c>
      <c r="K15" s="899">
        <f>HDRAG_AVG_HMID_EXP_ORIHAL</f>
        <v>0.32622601279317698</v>
      </c>
      <c r="L15" s="905">
        <f>HDRAG_AVG_HMID_MST_ORB</f>
        <v>6.4144144144144146</v>
      </c>
      <c r="M15" s="905">
        <f>HDRAG_AVG_HMID_MST_TAIL</f>
        <v>1.9459459459459461</v>
      </c>
      <c r="N15" s="905">
        <f>HDRAG_AVG_HMID_MST_HORN</f>
        <v>1.9189189189189189</v>
      </c>
      <c r="O15" s="906">
        <f>HDRAG_AVG_HMID_MST_ORIHAL</f>
        <v>0.6216216216216216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446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04"/>
      <c r="I16" s="905"/>
      <c r="J16" s="905"/>
      <c r="K16" s="899"/>
      <c r="L16" s="905"/>
      <c r="M16" s="972"/>
      <c r="N16" s="972"/>
      <c r="O16" s="907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252</v>
      </c>
      <c r="C17" s="567">
        <v>593</v>
      </c>
      <c r="D17" s="568">
        <v>8</v>
      </c>
      <c r="F17" s="881" t="s">
        <v>36</v>
      </c>
      <c r="G17" s="882"/>
      <c r="H17" s="889" t="s">
        <v>244</v>
      </c>
      <c r="I17" s="890"/>
      <c r="J17" s="890"/>
      <c r="K17" s="890"/>
      <c r="L17" s="890"/>
      <c r="M17" s="890"/>
      <c r="N17" s="890"/>
      <c r="O17" s="891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83"/>
      <c r="G18" s="884"/>
      <c r="H18" s="522" t="str">
        <f>"中級 (" &amp; HDRAG_GAMES_HJUP_MED &amp; "場)"</f>
        <v>中級 (443場)</v>
      </c>
      <c r="I18" s="981" t="str">
        <f>"高級 (" &amp; HDRAG_GAMES_HJUP_EXP &amp; "場)"</f>
        <v>高級 (435場)</v>
      </c>
      <c r="J18" s="982"/>
      <c r="K18" s="983"/>
      <c r="L18" s="981" t="str">
        <f>"超級 (" &amp; HDRAG_GAMES_HJUP_MST &amp; "場)"</f>
        <v>超級 (251場)</v>
      </c>
      <c r="M18" s="982"/>
      <c r="N18" s="982"/>
      <c r="O18" s="1017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892">
        <f>HDRAG_AVG_HJUP_MED_ORB</f>
        <v>2.4582392776523703</v>
      </c>
      <c r="I20" s="893">
        <f>HDRAG_AVG_HJUP_EXP_ORB</f>
        <v>4.4206896551724135</v>
      </c>
      <c r="J20" s="893">
        <f>HDRAG_AVG_HJUP_EXP_TAIL</f>
        <v>2.0045977011494251</v>
      </c>
      <c r="K20" s="900">
        <f>HDRAG_AVG_HJUP_EXP_ORIHAL</f>
        <v>0.30804597701149428</v>
      </c>
      <c r="L20" s="893">
        <f>HDRAG_AVG_HJUP_MST_ORB</f>
        <v>6.4701195219123502</v>
      </c>
      <c r="M20" s="893">
        <f>HDRAG_AVG_HJUP_MST_TAIL</f>
        <v>2.1075697211155378</v>
      </c>
      <c r="N20" s="893">
        <f>HDRAG_AVG_HJUP_MST_HORN</f>
        <v>2.0278884462151394</v>
      </c>
      <c r="O20" s="894">
        <f>HDRAG_AVG_HJUP_MST_ORIHAL</f>
        <v>0.61752988047808766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892"/>
      <c r="I21" s="893"/>
      <c r="J21" s="893"/>
      <c r="K21" s="900"/>
      <c r="L21" s="893"/>
      <c r="M21" s="971"/>
      <c r="N21" s="971"/>
      <c r="O21" s="895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885" t="s">
        <v>37</v>
      </c>
      <c r="G22" s="886"/>
      <c r="H22" s="896" t="s">
        <v>244</v>
      </c>
      <c r="I22" s="897"/>
      <c r="J22" s="897"/>
      <c r="K22" s="897"/>
      <c r="L22" s="897"/>
      <c r="M22" s="897"/>
      <c r="N22" s="897"/>
      <c r="O22" s="898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87"/>
      <c r="G23" s="888"/>
      <c r="H23" s="525" t="str">
        <f>"中級 (" &amp; HDRAG_GAMES_HZOD_MED &amp; "場)"</f>
        <v>中級 (241場)</v>
      </c>
      <c r="I23" s="978" t="str">
        <f>"高級 (" &amp; HDRAG_GAMES_HZOD_EXP &amp; "場)"</f>
        <v>高級 (326場)</v>
      </c>
      <c r="J23" s="979"/>
      <c r="K23" s="980"/>
      <c r="L23" s="978" t="str">
        <f>"超級 (" &amp; HDRAG_GAMES_HZOD_MST &amp; "場)"</f>
        <v>超級 (397場)</v>
      </c>
      <c r="M23" s="979"/>
      <c r="N23" s="979"/>
      <c r="O23" s="1016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1">
        <f>HDRAG_AVG_HZOD_MED_ORB</f>
        <v>2.3692946058091287</v>
      </c>
      <c r="I25" s="953">
        <f>HDRAG_AVG_HZOD_EXP_ORB</f>
        <v>4.4325153374233128</v>
      </c>
      <c r="J25" s="953">
        <f>HDRAG_AVG_HZOD_EXP_TAIL</f>
        <v>1.9447852760736197</v>
      </c>
      <c r="K25" s="958">
        <f>HDRAG_AVG_HZOD_EXP_ORIHAL</f>
        <v>0.35889570552147237</v>
      </c>
      <c r="L25" s="953">
        <f>HDRAG_AVG_HZOD_MST_ORB</f>
        <v>6.3576826196473553</v>
      </c>
      <c r="M25" s="953">
        <f>HDRAG_AVG_HZOD_MST_TAIL</f>
        <v>2.005037783375315</v>
      </c>
      <c r="N25" s="953">
        <f>HDRAG_AVG_HZOD_MST_HORN</f>
        <v>1.9899244332493702</v>
      </c>
      <c r="O25" s="949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2"/>
      <c r="I26" s="954"/>
      <c r="J26" s="954"/>
      <c r="K26" s="959"/>
      <c r="L26" s="954"/>
      <c r="M26" s="954"/>
      <c r="N26" s="954"/>
      <c r="O26" s="950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55"/>
      <c r="I27" s="956"/>
      <c r="J27" s="956"/>
      <c r="K27" s="956"/>
      <c r="L27" s="956"/>
      <c r="M27" s="956"/>
      <c r="N27" s="956"/>
      <c r="O27" s="957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12" t="str">
        <f>"高級 (" &amp; HDRAG_GAMES_HBRUN_EXP + HDRAG_GAMES_HMERC_EXP + HDRAG_GAMES_HMID_EXP + HDRAG_GAMES_HJUP_EXP + HDRAG_GAMES_HZOD_EXP &amp; "場)"</f>
        <v>高級 (1976場)</v>
      </c>
      <c r="J28" s="1013"/>
      <c r="K28" s="1014"/>
      <c r="L28" s="1012" t="str">
        <f>"超級 (" &amp; HDRAG_GAMES_HBRUN_MST + HDRAG_GAMES_HMERC_MST + HDRAG_GAMES_HMID_MST + HDRAG_GAMES_HJUP_MST + HDRAG_GAMES_HZOD_MST &amp; "場)"</f>
        <v>超級 (1313場)</v>
      </c>
      <c r="M28" s="1013"/>
      <c r="N28" s="1013"/>
      <c r="O28" s="1015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19">
        <f>AVERAGE(DATA_HDRAG_HBRUN_MED_ORB,HDRAG_AVG_HMERC_MED_ORB,HDRAG_AVG_HMID_MED_ORB,HDRAG_AVG_HJUP_MED_ORB,HDRAG_AVG_HZOD_MED_ORB)</f>
        <v>2.4381655069661865</v>
      </c>
      <c r="I30" s="960">
        <f>AVERAGE(DATA_HDRAG_HBRUN_EXP_ORB,HDRAG_AVG_HMERC_EXP_ORB,HDRAG_AVG_HMID_EXP_ORB,HDRAG_AVG_HJUP_EXP_ORB,HDRAG_AVG_HZOD_EXP_ORB)</f>
        <v>4.4133797169871585</v>
      </c>
      <c r="J30" s="960">
        <f>AVERAGE(DATA_HDRAG_HBRUN_EXP_TAIL,HDRAG_AVG_HMERC_EXP_TAIL,HDRAG_AVG_HMID_EXP_TAIL,HDRAG_AVG_HJUP_EXP_TAIL,HDRAG_AVG_HZOD_EXP_TAIL)</f>
        <v>1.9996532767479864</v>
      </c>
      <c r="K30" s="976">
        <f>AVERAGE(DATA_HDRAG_HBRUN_EXP_ORIHAL,HDRAG_AVG_HMERC_EXP_ORIHAL,HDRAG_AVG_HMID_EXP_ORIHAL,HDRAG_AVG_HJUP_EXP_ORIHAL,HDRAG_AVG_HZOD_EXP_ORIHAL)</f>
        <v>0.31592285887288402</v>
      </c>
      <c r="L30" s="960">
        <f>AVERAGE(DATA_HDRAG_HBRUN_MST_ORB,HDRAG_AVG_HMERC_MST_ORB,HDRAG_AVG_HMID_MST_ORB,HDRAG_AVG_HJUP_MST_ORB,HDRAG_AVG_HZOD_MST_ORB)</f>
        <v>6.3914935919085112</v>
      </c>
      <c r="M30" s="960">
        <f>AVERAGE(DATA_HDRAG_HBRUN_MST_TAIL,HDRAG_AVG_HMERC_MST_TAIL,HDRAG_AVG_HMID_MST_TAIL,HDRAG_AVG_HJUP_MST_TAIL,HDRAG_AVG_HZOD_MST_TAIL)</f>
        <v>2.0511629645185914</v>
      </c>
      <c r="N30" s="960">
        <f>AVERAGE(DATA_HDRAG_HBRUN_MST_HORN,HDRAG_AVG_HMERC_MST_HORN,HDRAG_AVG_HMID_MST_HORN,HDRAG_AVG_HJUP_MST_HORN,HDRAG_AVG_HZOD_MST_HORN)</f>
        <v>1.9742073058810305</v>
      </c>
      <c r="O30" s="947">
        <f>AVERAGE(DATA_HDRAG_HBRUN_MST_ORIHAL,HDRAG_AVG_HMERC_MST_ORIHAL,HDRAG_AVG_HMID_MST_ORIHAL,HDRAG_AVG_HJUP_MST_ORIHAL,HDRAG_AVG_HZOD_MST_ORIHAL)</f>
        <v>0.59215033730782651</v>
      </c>
    </row>
    <row r="31" spans="1:18" ht="15.75" customHeight="1" x14ac:dyDescent="0.25">
      <c r="H31" s="1020"/>
      <c r="I31" s="961"/>
      <c r="J31" s="961"/>
      <c r="K31" s="977"/>
      <c r="L31" s="961"/>
      <c r="M31" s="961"/>
      <c r="N31" s="961"/>
      <c r="O31" s="948"/>
    </row>
    <row r="32" spans="1:18" ht="15.75" customHeight="1" x14ac:dyDescent="0.25">
      <c r="G32" s="334"/>
      <c r="R32" s="262"/>
    </row>
    <row r="33" spans="3:18" ht="28.5" customHeight="1" x14ac:dyDescent="0.25">
      <c r="F33" s="988"/>
      <c r="G33" s="989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92" t="s">
        <v>24</v>
      </c>
      <c r="Q33" s="993"/>
      <c r="R33" s="604" t="s">
        <v>325</v>
      </c>
    </row>
    <row r="34" spans="3:18" ht="16.5" customHeight="1" x14ac:dyDescent="0.25">
      <c r="F34" s="966" t="s">
        <v>30</v>
      </c>
      <c r="G34" s="967"/>
      <c r="H34" s="1033" t="s">
        <v>253</v>
      </c>
      <c r="I34" s="990" t="s">
        <v>250</v>
      </c>
      <c r="J34" s="990" t="s">
        <v>250</v>
      </c>
      <c r="K34" s="990" t="s">
        <v>253</v>
      </c>
      <c r="L34" s="990" t="s">
        <v>250</v>
      </c>
      <c r="M34" s="990" t="s">
        <v>250</v>
      </c>
      <c r="N34" s="990" t="s">
        <v>253</v>
      </c>
      <c r="O34" s="1039" t="s">
        <v>250</v>
      </c>
      <c r="P34" s="615">
        <f>-(D13 * HDRAG_WEAPON_D520_HORN - SUM(H36:O36) - C13)</f>
        <v>364</v>
      </c>
      <c r="Q34" s="544" t="s">
        <v>245</v>
      </c>
      <c r="R34" s="607">
        <f>IFERROR((-D13 * HDRAG_WEAPON_D520_HORN - P34)/(-D13 * HDRAG_WEAPON_D520_HORN),"")</f>
        <v>2.5166666666666666</v>
      </c>
    </row>
    <row r="35" spans="3:18" ht="16.5" customHeight="1" x14ac:dyDescent="0.25">
      <c r="C35" s="562"/>
      <c r="D35" s="562"/>
      <c r="F35" s="968"/>
      <c r="G35" s="969"/>
      <c r="H35" s="1034"/>
      <c r="I35" s="991"/>
      <c r="J35" s="991"/>
      <c r="K35" s="991"/>
      <c r="L35" s="991"/>
      <c r="M35" s="991"/>
      <c r="N35" s="991"/>
      <c r="O35" s="1040"/>
      <c r="P35" s="616">
        <f>-(D13 * HDRAG_WEAPON_D520_TAIL - SUM(H37:O37) - B13)</f>
        <v>20</v>
      </c>
      <c r="Q35" s="601" t="s">
        <v>243</v>
      </c>
      <c r="R35" s="605">
        <f>IFERROR((-D13 * HDRAG_WEAPON_D520_TAIL - P35)/(-D13 * HDRAG_WEAPON_D520_TAIL),"")</f>
        <v>1.0192307692307692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62" t="s">
        <v>35</v>
      </c>
      <c r="G38" s="963"/>
      <c r="H38" s="1041" t="s">
        <v>253</v>
      </c>
      <c r="I38" s="1035" t="s">
        <v>250</v>
      </c>
      <c r="J38" s="1035" t="s">
        <v>250</v>
      </c>
      <c r="K38" s="1035" t="s">
        <v>253</v>
      </c>
      <c r="L38" s="1035" t="s">
        <v>250</v>
      </c>
      <c r="M38" s="1035" t="s">
        <v>253</v>
      </c>
      <c r="N38" s="1035" t="s">
        <v>253</v>
      </c>
      <c r="O38" s="1037" t="s">
        <v>250</v>
      </c>
      <c r="P38" s="615">
        <f>-(D14 * HDRAG_WEAPON_D520_HORN - SUM(H40:O40) - C14)</f>
        <v>679</v>
      </c>
      <c r="Q38" s="544" t="s">
        <v>245</v>
      </c>
      <c r="R38" s="607">
        <f>IFERROR((-D14 * HDRAG_WEAPON_D520_HORN - P38)/(-D14 * HDRAG_WEAPON_D520_HORN),"")</f>
        <v>3.8291666666666666</v>
      </c>
    </row>
    <row r="39" spans="3:18" ht="16.5" customHeight="1" x14ac:dyDescent="0.25">
      <c r="F39" s="964"/>
      <c r="G39" s="965"/>
      <c r="H39" s="1042"/>
      <c r="I39" s="1036"/>
      <c r="J39" s="1036"/>
      <c r="K39" s="1036"/>
      <c r="L39" s="1036"/>
      <c r="M39" s="1036"/>
      <c r="N39" s="1036"/>
      <c r="O39" s="1038"/>
      <c r="P39" s="616">
        <f>-(D14 * HDRAG_WEAPON_D520_TAIL - SUM(H41:O41) - B14)</f>
        <v>552</v>
      </c>
      <c r="Q39" s="601" t="s">
        <v>243</v>
      </c>
      <c r="R39" s="605">
        <f>IFERROR((-D14 * HDRAG_WEAPON_D520_TAIL - P39)/(-D14 * HDRAG_WEAPON_D520_TAIL),"")</f>
        <v>1.5307692307692307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1025" t="s">
        <v>31</v>
      </c>
      <c r="G42" s="1026"/>
      <c r="H42" s="1023" t="s">
        <v>253</v>
      </c>
      <c r="I42" s="1021" t="s">
        <v>253</v>
      </c>
      <c r="J42" s="1021" t="s">
        <v>250</v>
      </c>
      <c r="K42" s="1021" t="s">
        <v>253</v>
      </c>
      <c r="L42" s="1021" t="s">
        <v>250</v>
      </c>
      <c r="M42" s="1021" t="s">
        <v>253</v>
      </c>
      <c r="N42" s="1021" t="s">
        <v>250</v>
      </c>
      <c r="O42" s="1031" t="s">
        <v>250</v>
      </c>
      <c r="P42" s="615">
        <f>-(D15 * HDRAG_WEAPON_D520_HORN - SUM(H44:O44) - C15)</f>
        <v>308</v>
      </c>
      <c r="Q42" s="544" t="s">
        <v>245</v>
      </c>
      <c r="R42" s="607">
        <f>IFERROR((-D15 * HDRAG_WEAPON_D520_HORN - P42)/(-D15 * HDRAG_WEAPON_D520_HORN),"")</f>
        <v>2.2833333333333332</v>
      </c>
    </row>
    <row r="43" spans="3:18" ht="16.5" customHeight="1" x14ac:dyDescent="0.25">
      <c r="F43" s="1027"/>
      <c r="G43" s="1028"/>
      <c r="H43" s="1024"/>
      <c r="I43" s="1022"/>
      <c r="J43" s="1022"/>
      <c r="K43" s="1022"/>
      <c r="L43" s="1022"/>
      <c r="M43" s="1022"/>
      <c r="N43" s="1022"/>
      <c r="O43" s="1032"/>
      <c r="P43" s="616">
        <f>-(D15 * HDRAG_WEAPON_D520_TAIL - SUM(H45:O45) - B15)</f>
        <v>207</v>
      </c>
      <c r="Q43" s="601" t="s">
        <v>243</v>
      </c>
      <c r="R43" s="605">
        <f>IFERROR((-D15 * HDRAG_WEAPON_D520_TAIL - P43)/(-D15 * HDRAG_WEAPON_D520_TAIL),"")</f>
        <v>1.1990384615384615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1004" t="s">
        <v>36</v>
      </c>
      <c r="G46" s="1005"/>
      <c r="H46" s="1008" t="s">
        <v>250</v>
      </c>
      <c r="I46" s="1010" t="s">
        <v>253</v>
      </c>
      <c r="J46" s="1010" t="s">
        <v>253</v>
      </c>
      <c r="K46" s="1010" t="s">
        <v>253</v>
      </c>
      <c r="L46" s="1010" t="s">
        <v>250</v>
      </c>
      <c r="M46" s="1010" t="s">
        <v>250</v>
      </c>
      <c r="N46" s="1010" t="s">
        <v>250</v>
      </c>
      <c r="O46" s="1029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06"/>
      <c r="G47" s="1007"/>
      <c r="H47" s="1009"/>
      <c r="I47" s="1011"/>
      <c r="J47" s="1011"/>
      <c r="K47" s="1011"/>
      <c r="L47" s="1011"/>
      <c r="M47" s="1011"/>
      <c r="N47" s="1011"/>
      <c r="O47" s="1030"/>
      <c r="P47" s="616">
        <f>-(D16 * HDRAG_WEAPON_D520_TAIL - SUM(H49:O49) - B16)</f>
        <v>446</v>
      </c>
      <c r="Q47" s="601" t="s">
        <v>243</v>
      </c>
      <c r="R47" s="605">
        <f>IFERROR((-D16 * HDRAG_WEAPON_D520_TAIL - P47)/(-D16 * HDRAG_WEAPON_D520_TAIL),"")</f>
        <v>1.4288461538461539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1000" t="s">
        <v>37</v>
      </c>
      <c r="G50" s="1001"/>
      <c r="H50" s="998" t="s">
        <v>253</v>
      </c>
      <c r="I50" s="996" t="s">
        <v>253</v>
      </c>
      <c r="J50" s="996" t="s">
        <v>250</v>
      </c>
      <c r="K50" s="996" t="s">
        <v>250</v>
      </c>
      <c r="L50" s="996" t="s">
        <v>253</v>
      </c>
      <c r="M50" s="996" t="s">
        <v>250</v>
      </c>
      <c r="N50" s="996" t="s">
        <v>253</v>
      </c>
      <c r="O50" s="994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02"/>
      <c r="G51" s="1003"/>
      <c r="H51" s="999"/>
      <c r="I51" s="997"/>
      <c r="J51" s="997"/>
      <c r="K51" s="997"/>
      <c r="L51" s="997"/>
      <c r="M51" s="997"/>
      <c r="N51" s="997"/>
      <c r="O51" s="995"/>
      <c r="P51" s="617">
        <f>-(D17 * HDRAG_WEAPON_D520_TAIL - SUM(H53:O53) - B17)</f>
        <v>252</v>
      </c>
      <c r="Q51" s="603" t="s">
        <v>243</v>
      </c>
      <c r="R51" s="606">
        <f>IFERROR((-D17 * HDRAG_WEAPON_D520_TAIL - P51)/(-D17 * HDRAG_WEAPON_D520_TAIL),"")</f>
        <v>1.2423076923076923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01" workbookViewId="0">
      <selection activeCell="H233" sqref="H233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</row>
    <row r="234" spans="1:8" ht="15" customHeight="1" x14ac:dyDescent="0.25">
      <c r="A234" s="1">
        <v>2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3"/>
  <sheetViews>
    <sheetView topLeftCell="A509" workbookViewId="0">
      <selection activeCell="I525" sqref="I525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</row>
    <row r="329" spans="2:8" ht="15" customHeight="1" x14ac:dyDescent="0.25">
      <c r="B329" s="1">
        <v>4</v>
      </c>
      <c r="C329" s="1">
        <v>1</v>
      </c>
      <c r="D329" s="1">
        <v>0</v>
      </c>
    </row>
    <row r="330" spans="2:8" ht="15" customHeight="1" x14ac:dyDescent="0.25">
      <c r="B330" s="1">
        <v>6</v>
      </c>
      <c r="C330" s="1">
        <v>2</v>
      </c>
      <c r="D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</row>
    <row r="332" spans="2:8" ht="15" customHeight="1" x14ac:dyDescent="0.25">
      <c r="B332" s="1">
        <v>4</v>
      </c>
      <c r="C332" s="1">
        <v>1</v>
      </c>
      <c r="D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</row>
    <row r="334" spans="2:8" ht="15" customHeight="1" x14ac:dyDescent="0.25">
      <c r="B334" s="1">
        <v>6</v>
      </c>
      <c r="C334" s="1">
        <v>1</v>
      </c>
      <c r="D334" s="1">
        <v>0</v>
      </c>
    </row>
    <row r="335" spans="2:8" ht="15" customHeight="1" x14ac:dyDescent="0.25">
      <c r="B335" s="1">
        <v>7</v>
      </c>
      <c r="C335" s="1">
        <v>1</v>
      </c>
      <c r="D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</row>
    <row r="337" spans="2:4" ht="15" customHeight="1" x14ac:dyDescent="0.25">
      <c r="B337" s="1">
        <v>4</v>
      </c>
      <c r="C337" s="1">
        <v>3</v>
      </c>
      <c r="D337" s="1">
        <v>0</v>
      </c>
    </row>
    <row r="338" spans="2:4" ht="15" customHeight="1" x14ac:dyDescent="0.25">
      <c r="B338" s="1">
        <v>4</v>
      </c>
      <c r="C338" s="1">
        <v>2</v>
      </c>
      <c r="D338" s="1">
        <v>0</v>
      </c>
    </row>
    <row r="339" spans="2:4" ht="15" customHeight="1" x14ac:dyDescent="0.25">
      <c r="B339" s="1">
        <v>7</v>
      </c>
      <c r="C339" s="1">
        <v>2</v>
      </c>
      <c r="D339" s="1">
        <v>0</v>
      </c>
    </row>
    <row r="340" spans="2:4" ht="15" customHeight="1" x14ac:dyDescent="0.25">
      <c r="B340" s="1">
        <v>5</v>
      </c>
      <c r="C340" s="1">
        <v>2</v>
      </c>
      <c r="D340" s="1">
        <v>0</v>
      </c>
    </row>
    <row r="341" spans="2:4" ht="15" customHeight="1" x14ac:dyDescent="0.25">
      <c r="B341" s="1">
        <v>4</v>
      </c>
      <c r="C341" s="1">
        <v>1</v>
      </c>
      <c r="D341" s="1">
        <v>0</v>
      </c>
    </row>
    <row r="342" spans="2:4" ht="15" customHeight="1" x14ac:dyDescent="0.25">
      <c r="B342" s="1">
        <v>4</v>
      </c>
      <c r="C342" s="1">
        <v>2</v>
      </c>
      <c r="D342" s="1">
        <v>0</v>
      </c>
    </row>
    <row r="343" spans="2:4" ht="15" customHeight="1" x14ac:dyDescent="0.25">
      <c r="B343" s="1">
        <v>4</v>
      </c>
      <c r="C343" s="1">
        <v>3</v>
      </c>
      <c r="D343" s="1">
        <v>0</v>
      </c>
    </row>
    <row r="344" spans="2:4" ht="15" customHeight="1" x14ac:dyDescent="0.25">
      <c r="B344" s="1">
        <v>4</v>
      </c>
      <c r="C344" s="1">
        <v>2</v>
      </c>
      <c r="D344" s="1">
        <v>0</v>
      </c>
    </row>
    <row r="345" spans="2:4" ht="15" customHeight="1" x14ac:dyDescent="0.25">
      <c r="B345" s="1">
        <v>4</v>
      </c>
      <c r="C345" s="1">
        <v>3</v>
      </c>
      <c r="D345" s="1">
        <v>0</v>
      </c>
    </row>
    <row r="346" spans="2:4" ht="15" customHeight="1" x14ac:dyDescent="0.25">
      <c r="B346" s="1">
        <v>4</v>
      </c>
      <c r="C346" s="1">
        <v>3</v>
      </c>
      <c r="D346" s="1">
        <v>0</v>
      </c>
    </row>
    <row r="347" spans="2:4" ht="15" customHeight="1" x14ac:dyDescent="0.25">
      <c r="B347" s="1">
        <v>5</v>
      </c>
      <c r="C347" s="1">
        <v>1</v>
      </c>
      <c r="D347" s="1">
        <v>1</v>
      </c>
    </row>
    <row r="348" spans="2:4" ht="15" customHeight="1" x14ac:dyDescent="0.25">
      <c r="B348" s="1">
        <v>4</v>
      </c>
      <c r="C348" s="1">
        <v>2</v>
      </c>
      <c r="D348" s="1">
        <v>1</v>
      </c>
    </row>
    <row r="349" spans="2:4" ht="15" customHeight="1" x14ac:dyDescent="0.25">
      <c r="B349" s="1">
        <v>5</v>
      </c>
      <c r="C349" s="1">
        <v>1</v>
      </c>
      <c r="D349" s="1">
        <v>1</v>
      </c>
    </row>
    <row r="350" spans="2:4" ht="15" customHeight="1" x14ac:dyDescent="0.25">
      <c r="B350" s="1">
        <v>4</v>
      </c>
      <c r="C350" s="1">
        <v>2</v>
      </c>
      <c r="D350" s="1">
        <v>0</v>
      </c>
    </row>
    <row r="351" spans="2:4" ht="15" customHeight="1" x14ac:dyDescent="0.25">
      <c r="B351" s="1">
        <v>4</v>
      </c>
      <c r="C351" s="1">
        <v>3</v>
      </c>
      <c r="D351" s="1">
        <v>0</v>
      </c>
    </row>
    <row r="352" spans="2:4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805">
        <v>5</v>
      </c>
      <c r="C523" s="805">
        <v>3</v>
      </c>
      <c r="D523" s="805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452" workbookViewId="0">
      <selection activeCell="D472" sqref="D472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</row>
    <row r="129" spans="1:4" x14ac:dyDescent="0.25">
      <c r="A129" s="1">
        <v>5</v>
      </c>
      <c r="B129" s="13">
        <v>4</v>
      </c>
      <c r="C129" s="13">
        <v>1</v>
      </c>
      <c r="D129" s="13">
        <v>0</v>
      </c>
    </row>
    <row r="130" spans="1:4" x14ac:dyDescent="0.25">
      <c r="A130" s="1">
        <v>4</v>
      </c>
      <c r="B130" s="13">
        <v>4</v>
      </c>
      <c r="C130" s="13">
        <v>2</v>
      </c>
      <c r="D130" s="13">
        <v>0</v>
      </c>
    </row>
    <row r="131" spans="1:4" x14ac:dyDescent="0.25">
      <c r="A131" s="1">
        <v>2</v>
      </c>
      <c r="B131" s="13">
        <v>5</v>
      </c>
      <c r="C131" s="13">
        <v>3</v>
      </c>
      <c r="D131" s="13">
        <v>1</v>
      </c>
    </row>
    <row r="132" spans="1:4" x14ac:dyDescent="0.25">
      <c r="A132" s="1">
        <v>2</v>
      </c>
      <c r="B132" s="13">
        <v>5</v>
      </c>
      <c r="C132" s="13">
        <v>3</v>
      </c>
      <c r="D132" s="13">
        <v>0</v>
      </c>
    </row>
    <row r="133" spans="1:4" x14ac:dyDescent="0.25">
      <c r="A133" s="1">
        <v>3</v>
      </c>
      <c r="B133" s="13">
        <v>5</v>
      </c>
      <c r="C133" s="13">
        <v>1</v>
      </c>
      <c r="D133" s="13">
        <v>0</v>
      </c>
    </row>
    <row r="134" spans="1:4" x14ac:dyDescent="0.25">
      <c r="A134" s="1">
        <v>4</v>
      </c>
      <c r="B134" s="13">
        <v>6</v>
      </c>
      <c r="C134" s="13">
        <v>3</v>
      </c>
      <c r="D134" s="13">
        <v>0</v>
      </c>
    </row>
    <row r="135" spans="1:4" x14ac:dyDescent="0.25">
      <c r="A135" s="1">
        <v>2</v>
      </c>
      <c r="B135" s="13">
        <v>5</v>
      </c>
      <c r="C135" s="13">
        <v>1</v>
      </c>
      <c r="D135" s="13">
        <v>0</v>
      </c>
    </row>
    <row r="136" spans="1:4" x14ac:dyDescent="0.25">
      <c r="A136" s="1">
        <v>5</v>
      </c>
      <c r="B136" s="13">
        <v>4</v>
      </c>
      <c r="C136" s="13">
        <v>3</v>
      </c>
      <c r="D136" s="13">
        <v>1</v>
      </c>
    </row>
    <row r="137" spans="1:4" x14ac:dyDescent="0.25">
      <c r="A137" s="1">
        <v>4</v>
      </c>
      <c r="B137" s="13">
        <v>4</v>
      </c>
      <c r="C137" s="13">
        <v>1</v>
      </c>
      <c r="D137" s="13">
        <v>0</v>
      </c>
    </row>
    <row r="138" spans="1:4" x14ac:dyDescent="0.25">
      <c r="A138" s="1">
        <v>4</v>
      </c>
      <c r="B138" s="13">
        <v>4</v>
      </c>
      <c r="C138" s="13">
        <v>2</v>
      </c>
      <c r="D138" s="13">
        <v>0</v>
      </c>
    </row>
    <row r="139" spans="1:4" x14ac:dyDescent="0.25">
      <c r="A139" s="1">
        <v>2</v>
      </c>
      <c r="B139" s="13">
        <v>4</v>
      </c>
      <c r="C139" s="13">
        <v>2</v>
      </c>
      <c r="D139" s="13">
        <v>0</v>
      </c>
    </row>
    <row r="140" spans="1:4" x14ac:dyDescent="0.25">
      <c r="A140" s="1">
        <v>2</v>
      </c>
      <c r="B140" s="13">
        <v>4</v>
      </c>
      <c r="C140" s="13">
        <v>1</v>
      </c>
      <c r="D140" s="13">
        <v>1</v>
      </c>
    </row>
    <row r="141" spans="1:4" x14ac:dyDescent="0.25">
      <c r="A141" s="1">
        <v>2</v>
      </c>
      <c r="B141" s="13">
        <v>5</v>
      </c>
      <c r="C141" s="13">
        <v>3</v>
      </c>
      <c r="D141" s="13">
        <v>0</v>
      </c>
    </row>
    <row r="142" spans="1:4" x14ac:dyDescent="0.25">
      <c r="A142" s="1">
        <v>2</v>
      </c>
      <c r="B142" s="13">
        <v>4</v>
      </c>
      <c r="C142" s="13">
        <v>2</v>
      </c>
      <c r="D142" s="13">
        <v>0</v>
      </c>
    </row>
    <row r="143" spans="1:4" x14ac:dyDescent="0.25">
      <c r="A143" s="1">
        <v>2</v>
      </c>
      <c r="B143" s="13">
        <v>5</v>
      </c>
      <c r="C143" s="13">
        <v>3</v>
      </c>
      <c r="D143" s="13">
        <v>0</v>
      </c>
    </row>
    <row r="144" spans="1:4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</row>
    <row r="473" spans="1:4" x14ac:dyDescent="0.25">
      <c r="A473" s="1">
        <v>5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418" workbookViewId="0">
      <selection activeCell="D438" sqref="D438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0" zoomScaleNormal="100" workbookViewId="0">
      <selection activeCell="H400" sqref="H400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A2" sqref="A2:A4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58" t="s">
        <v>460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741"/>
      <c r="M1" s="741"/>
    </row>
    <row r="2" spans="1:21" s="738" customFormat="1" ht="21" customHeight="1" x14ac:dyDescent="0.25">
      <c r="A2" s="859" t="s">
        <v>348</v>
      </c>
      <c r="B2" s="852"/>
      <c r="C2" s="853"/>
      <c r="D2" s="852"/>
      <c r="E2" s="853"/>
      <c r="F2" s="852"/>
      <c r="G2" s="853"/>
      <c r="H2" s="852"/>
      <c r="I2" s="853"/>
      <c r="J2" s="852"/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612" customFormat="1" ht="21" customHeight="1" x14ac:dyDescent="0.25">
      <c r="A3" s="860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0"/>
      <c r="B4" s="850"/>
      <c r="C4" s="851"/>
      <c r="D4" s="850"/>
      <c r="E4" s="851"/>
      <c r="F4" s="850"/>
      <c r="G4" s="857"/>
      <c r="H4" s="857"/>
      <c r="I4" s="851"/>
      <c r="J4" s="850"/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735" customFormat="1" ht="21" customHeight="1" x14ac:dyDescent="0.25">
      <c r="A5" s="824" t="s">
        <v>349</v>
      </c>
      <c r="B5" s="872"/>
      <c r="C5" s="821"/>
      <c r="D5" s="820"/>
      <c r="E5" s="821"/>
      <c r="F5" s="820"/>
      <c r="G5" s="821"/>
      <c r="H5" s="820"/>
      <c r="I5" s="821"/>
      <c r="J5" s="820"/>
      <c r="K5" s="821"/>
      <c r="L5" s="820"/>
      <c r="M5" s="821"/>
      <c r="N5" s="820"/>
      <c r="O5" s="821"/>
      <c r="P5" s="820"/>
      <c r="Q5" s="821"/>
      <c r="R5" s="820"/>
      <c r="S5" s="821"/>
      <c r="T5" s="820"/>
      <c r="U5" s="821"/>
    </row>
    <row r="6" spans="1:21" s="613" customFormat="1" ht="21" customHeight="1" x14ac:dyDescent="0.25">
      <c r="A6" s="825"/>
      <c r="C6" s="611"/>
      <c r="D6" s="610"/>
      <c r="E6" s="611"/>
      <c r="F6" s="610"/>
      <c r="G6" s="611"/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26"/>
      <c r="B7" s="873"/>
      <c r="C7" s="823"/>
      <c r="D7" s="822"/>
      <c r="E7" s="823"/>
      <c r="F7" s="822"/>
      <c r="G7" s="823"/>
      <c r="H7" s="822"/>
      <c r="I7" s="823"/>
      <c r="J7" s="822"/>
      <c r="K7" s="823"/>
      <c r="L7" s="822"/>
      <c r="M7" s="823"/>
      <c r="N7" s="822"/>
      <c r="O7" s="823"/>
      <c r="P7" s="822"/>
      <c r="Q7" s="823"/>
      <c r="R7" s="822"/>
      <c r="S7" s="823"/>
      <c r="T7" s="822"/>
      <c r="U7" s="823"/>
    </row>
    <row r="8" spans="1:21" s="739" customFormat="1" ht="21" customHeight="1" x14ac:dyDescent="0.25">
      <c r="A8" s="869" t="s">
        <v>350</v>
      </c>
      <c r="B8" s="867" t="s">
        <v>322</v>
      </c>
      <c r="C8" s="846"/>
      <c r="D8" s="845" t="s">
        <v>373</v>
      </c>
      <c r="E8" s="846"/>
      <c r="F8" s="845" t="s">
        <v>376</v>
      </c>
      <c r="G8" s="846"/>
      <c r="H8" s="845" t="s">
        <v>378</v>
      </c>
      <c r="I8" s="846"/>
      <c r="J8" s="845" t="s">
        <v>347</v>
      </c>
      <c r="K8" s="846"/>
      <c r="L8" s="845"/>
      <c r="M8" s="846"/>
      <c r="N8" s="845"/>
      <c r="O8" s="846"/>
      <c r="P8" s="845"/>
      <c r="Q8" s="846"/>
      <c r="R8" s="845"/>
      <c r="S8" s="846"/>
      <c r="T8" s="845"/>
      <c r="U8" s="846"/>
    </row>
    <row r="9" spans="1:21" s="612" customFormat="1" ht="21" customHeight="1" x14ac:dyDescent="0.25">
      <c r="A9" s="870"/>
      <c r="B9" s="613" t="s">
        <v>290</v>
      </c>
      <c r="C9" s="611" t="s">
        <v>308</v>
      </c>
      <c r="D9" s="610" t="s">
        <v>374</v>
      </c>
      <c r="E9" s="611" t="s">
        <v>308</v>
      </c>
      <c r="F9" s="610" t="s">
        <v>295</v>
      </c>
      <c r="G9" s="611" t="s">
        <v>308</v>
      </c>
      <c r="H9" s="610" t="s">
        <v>310</v>
      </c>
      <c r="I9" s="611" t="s">
        <v>379</v>
      </c>
      <c r="J9" s="610" t="s">
        <v>298</v>
      </c>
      <c r="K9" s="611" t="s">
        <v>405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70"/>
      <c r="B10" s="1043" t="s">
        <v>372</v>
      </c>
      <c r="C10" s="1044"/>
      <c r="D10" s="1045" t="s">
        <v>375</v>
      </c>
      <c r="E10" s="1044"/>
      <c r="F10" s="1045" t="s">
        <v>377</v>
      </c>
      <c r="G10" s="1044"/>
      <c r="H10" s="1045" t="s">
        <v>380</v>
      </c>
      <c r="I10" s="1044"/>
      <c r="J10" s="1045" t="s">
        <v>381</v>
      </c>
      <c r="K10" s="1044"/>
      <c r="L10" s="843"/>
      <c r="M10" s="844"/>
      <c r="N10" s="843"/>
      <c r="O10" s="844"/>
      <c r="P10" s="843"/>
      <c r="Q10" s="844"/>
      <c r="R10" s="843"/>
      <c r="S10" s="844"/>
      <c r="T10" s="843"/>
      <c r="U10" s="844"/>
    </row>
    <row r="11" spans="1:21" s="739" customFormat="1" ht="21" customHeight="1" x14ac:dyDescent="0.25">
      <c r="A11" s="870"/>
      <c r="B11" s="867" t="s">
        <v>364</v>
      </c>
      <c r="C11" s="846"/>
      <c r="D11" s="845"/>
      <c r="E11" s="846"/>
      <c r="F11" s="845"/>
      <c r="G11" s="846"/>
      <c r="H11" s="845"/>
      <c r="I11" s="846"/>
      <c r="J11" s="845"/>
      <c r="K11" s="846"/>
      <c r="L11" s="845"/>
      <c r="M11" s="846"/>
      <c r="N11" s="845"/>
      <c r="O11" s="846"/>
      <c r="P11" s="845"/>
      <c r="Q11" s="846"/>
      <c r="R11" s="845"/>
      <c r="S11" s="846"/>
      <c r="T11" s="845"/>
      <c r="U11" s="846"/>
    </row>
    <row r="12" spans="1:21" s="612" customFormat="1" ht="21" customHeight="1" x14ac:dyDescent="0.25">
      <c r="A12" s="870"/>
      <c r="B12" s="613" t="s">
        <v>421</v>
      </c>
      <c r="C12" s="611" t="s">
        <v>308</v>
      </c>
      <c r="D12" s="610"/>
      <c r="E12" s="611"/>
      <c r="F12" s="610"/>
      <c r="G12" s="611"/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7" customFormat="1" ht="21" customHeight="1" x14ac:dyDescent="0.25">
      <c r="A13" s="871"/>
      <c r="B13" s="1043" t="s">
        <v>424</v>
      </c>
      <c r="C13" s="1044"/>
      <c r="D13" s="1045"/>
      <c r="E13" s="1044"/>
      <c r="F13" s="1045"/>
      <c r="G13" s="1044"/>
      <c r="H13" s="1045"/>
      <c r="I13" s="1044"/>
      <c r="J13" s="1045"/>
      <c r="K13" s="1044"/>
      <c r="L13" s="843"/>
      <c r="M13" s="844"/>
      <c r="N13" s="843"/>
      <c r="O13" s="844"/>
      <c r="P13" s="843"/>
      <c r="Q13" s="844"/>
      <c r="R13" s="843"/>
      <c r="S13" s="844"/>
      <c r="T13" s="843"/>
      <c r="U13" s="844"/>
    </row>
    <row r="14" spans="1:21" s="161" customFormat="1" ht="21" customHeight="1" x14ac:dyDescent="0.25">
      <c r="A14" s="840" t="s">
        <v>351</v>
      </c>
      <c r="B14" s="838" t="s">
        <v>392</v>
      </c>
      <c r="C14" s="839"/>
      <c r="D14" s="838" t="s">
        <v>401</v>
      </c>
      <c r="E14" s="839"/>
      <c r="F14" s="838" t="s">
        <v>400</v>
      </c>
      <c r="G14" s="839"/>
      <c r="H14" s="838" t="s">
        <v>398</v>
      </c>
      <c r="I14" s="839"/>
      <c r="J14" s="838" t="s">
        <v>407</v>
      </c>
      <c r="K14" s="839"/>
      <c r="L14" s="874"/>
      <c r="M14" s="839"/>
      <c r="N14" s="838"/>
      <c r="O14" s="839"/>
      <c r="P14" s="838"/>
      <c r="Q14" s="839"/>
      <c r="R14" s="838"/>
      <c r="S14" s="839"/>
      <c r="T14" s="838"/>
      <c r="U14" s="839"/>
    </row>
    <row r="15" spans="1:21" s="612" customFormat="1" ht="21" customHeight="1" x14ac:dyDescent="0.25">
      <c r="A15" s="841"/>
      <c r="B15" s="610" t="s">
        <v>382</v>
      </c>
      <c r="C15" s="611" t="s">
        <v>415</v>
      </c>
      <c r="D15" s="610" t="s">
        <v>290</v>
      </c>
      <c r="E15" s="611" t="s">
        <v>382</v>
      </c>
      <c r="F15" s="610" t="s">
        <v>408</v>
      </c>
      <c r="G15" s="611" t="s">
        <v>405</v>
      </c>
      <c r="H15" s="610" t="s">
        <v>399</v>
      </c>
      <c r="I15" s="611" t="s">
        <v>382</v>
      </c>
      <c r="J15" s="610" t="s">
        <v>306</v>
      </c>
      <c r="K15" s="611" t="s">
        <v>382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1"/>
      <c r="B16" s="836" t="s">
        <v>397</v>
      </c>
      <c r="C16" s="837"/>
      <c r="D16" s="1046" t="s">
        <v>404</v>
      </c>
      <c r="E16" s="1047"/>
      <c r="F16" s="836" t="s">
        <v>406</v>
      </c>
      <c r="G16" s="837"/>
      <c r="H16" s="836" t="s">
        <v>402</v>
      </c>
      <c r="I16" s="837"/>
      <c r="J16" s="836" t="s">
        <v>402</v>
      </c>
      <c r="K16" s="837"/>
      <c r="L16" s="875"/>
      <c r="M16" s="837"/>
      <c r="N16" s="836"/>
      <c r="O16" s="837"/>
      <c r="P16" s="836"/>
      <c r="Q16" s="837"/>
      <c r="R16" s="836"/>
      <c r="S16" s="837"/>
      <c r="T16" s="836"/>
      <c r="U16" s="837"/>
    </row>
    <row r="17" spans="1:21" s="161" customFormat="1" ht="21" customHeight="1" x14ac:dyDescent="0.25">
      <c r="A17" s="841"/>
      <c r="B17" s="838" t="s">
        <v>392</v>
      </c>
      <c r="C17" s="839"/>
      <c r="D17" s="838" t="s">
        <v>396</v>
      </c>
      <c r="E17" s="839"/>
      <c r="F17" s="838" t="s">
        <v>401</v>
      </c>
      <c r="G17" s="839"/>
      <c r="H17" s="1050" t="s">
        <v>459</v>
      </c>
      <c r="I17" s="1051"/>
      <c r="J17" s="1050"/>
      <c r="K17" s="1051"/>
      <c r="L17" s="838"/>
      <c r="M17" s="839"/>
      <c r="N17" s="838"/>
      <c r="O17" s="839"/>
      <c r="P17" s="838"/>
      <c r="Q17" s="839"/>
      <c r="R17" s="838"/>
      <c r="S17" s="839"/>
      <c r="T17" s="838"/>
      <c r="U17" s="839"/>
    </row>
    <row r="18" spans="1:21" s="612" customFormat="1" ht="21" customHeight="1" x14ac:dyDescent="0.25">
      <c r="A18" s="841"/>
      <c r="B18" s="610" t="s">
        <v>300</v>
      </c>
      <c r="C18" s="611" t="s">
        <v>394</v>
      </c>
      <c r="D18" s="610" t="s">
        <v>300</v>
      </c>
      <c r="E18" s="611" t="s">
        <v>394</v>
      </c>
      <c r="F18" s="610" t="s">
        <v>290</v>
      </c>
      <c r="G18" s="611" t="s">
        <v>394</v>
      </c>
      <c r="H18" s="610" t="s">
        <v>409</v>
      </c>
      <c r="I18" s="611" t="s">
        <v>374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1"/>
      <c r="B19" s="836" t="s">
        <v>395</v>
      </c>
      <c r="C19" s="837"/>
      <c r="D19" s="836" t="s">
        <v>413</v>
      </c>
      <c r="E19" s="837"/>
      <c r="F19" s="836" t="s">
        <v>403</v>
      </c>
      <c r="G19" s="837"/>
      <c r="H19" s="836"/>
      <c r="I19" s="837"/>
      <c r="J19" s="836"/>
      <c r="K19" s="837"/>
      <c r="L19" s="836"/>
      <c r="M19" s="837"/>
      <c r="N19" s="836"/>
      <c r="O19" s="837"/>
      <c r="P19" s="836"/>
      <c r="Q19" s="837"/>
      <c r="R19" s="836"/>
      <c r="S19" s="837"/>
      <c r="T19" s="836"/>
      <c r="U19" s="837"/>
    </row>
    <row r="20" spans="1:21" s="161" customFormat="1" ht="21" customHeight="1" x14ac:dyDescent="0.25">
      <c r="A20" s="841"/>
      <c r="B20" s="1050" t="s">
        <v>407</v>
      </c>
      <c r="C20" s="1051"/>
      <c r="D20" s="1050" t="s">
        <v>286</v>
      </c>
      <c r="E20" s="1051"/>
      <c r="F20" s="838" t="s">
        <v>392</v>
      </c>
      <c r="G20" s="839"/>
      <c r="H20" s="1050" t="s">
        <v>417</v>
      </c>
      <c r="I20" s="1051"/>
      <c r="J20" s="1050"/>
      <c r="K20" s="1051"/>
      <c r="L20" s="838"/>
      <c r="M20" s="839"/>
      <c r="N20" s="838"/>
      <c r="O20" s="839"/>
      <c r="P20" s="838"/>
      <c r="Q20" s="839"/>
      <c r="R20" s="838"/>
      <c r="S20" s="839"/>
      <c r="T20" s="838"/>
      <c r="U20" s="839"/>
    </row>
    <row r="21" spans="1:21" s="612" customFormat="1" ht="21" customHeight="1" x14ac:dyDescent="0.25">
      <c r="A21" s="841"/>
      <c r="B21" s="610" t="s">
        <v>306</v>
      </c>
      <c r="C21" s="611" t="s">
        <v>409</v>
      </c>
      <c r="D21" s="610" t="s">
        <v>295</v>
      </c>
      <c r="E21" s="611" t="s">
        <v>409</v>
      </c>
      <c r="F21" s="610" t="s">
        <v>393</v>
      </c>
      <c r="G21" s="611" t="s">
        <v>369</v>
      </c>
      <c r="H21" s="610" t="s">
        <v>310</v>
      </c>
      <c r="I21" s="611" t="s">
        <v>382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42"/>
      <c r="B22" s="836" t="s">
        <v>416</v>
      </c>
      <c r="C22" s="837"/>
      <c r="D22" s="836" t="s">
        <v>416</v>
      </c>
      <c r="E22" s="837"/>
      <c r="F22" s="836" t="s">
        <v>416</v>
      </c>
      <c r="G22" s="837"/>
      <c r="H22" s="836" t="s">
        <v>416</v>
      </c>
      <c r="I22" s="837"/>
      <c r="J22" s="836"/>
      <c r="K22" s="837"/>
      <c r="L22" s="836"/>
      <c r="M22" s="837"/>
      <c r="N22" s="836"/>
      <c r="O22" s="837"/>
      <c r="P22" s="836"/>
      <c r="Q22" s="837"/>
      <c r="R22" s="836"/>
      <c r="S22" s="837"/>
      <c r="T22" s="836"/>
      <c r="U22" s="837"/>
    </row>
    <row r="23" spans="1:21" s="740" customFormat="1" ht="21" customHeight="1" x14ac:dyDescent="0.25">
      <c r="A23" s="861" t="s">
        <v>352</v>
      </c>
      <c r="B23" s="1048"/>
      <c r="C23" s="1049"/>
      <c r="D23" s="1048"/>
      <c r="E23" s="1049"/>
      <c r="F23" s="831"/>
      <c r="G23" s="832"/>
      <c r="H23" s="831"/>
      <c r="I23" s="832"/>
      <c r="J23" s="831"/>
      <c r="K23" s="832"/>
      <c r="L23" s="831"/>
      <c r="M23" s="832"/>
      <c r="N23" s="831"/>
      <c r="O23" s="832"/>
      <c r="P23" s="831"/>
      <c r="Q23" s="832"/>
      <c r="R23" s="831"/>
      <c r="S23" s="832"/>
      <c r="T23" s="831"/>
      <c r="U23" s="832"/>
    </row>
    <row r="24" spans="1:21" s="612" customFormat="1" ht="21" customHeight="1" x14ac:dyDescent="0.25">
      <c r="A24" s="862"/>
      <c r="B24" s="737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63"/>
      <c r="B25" s="829"/>
      <c r="C25" s="830"/>
      <c r="D25" s="829"/>
      <c r="E25" s="830"/>
      <c r="F25" s="829"/>
      <c r="G25" s="830"/>
      <c r="H25" s="829"/>
      <c r="I25" s="830"/>
      <c r="J25" s="829"/>
      <c r="K25" s="830"/>
      <c r="L25" s="829"/>
      <c r="M25" s="830"/>
      <c r="N25" s="829"/>
      <c r="O25" s="830"/>
      <c r="P25" s="829"/>
      <c r="Q25" s="830"/>
      <c r="R25" s="829"/>
      <c r="S25" s="830"/>
      <c r="T25" s="829"/>
      <c r="U25" s="83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zoomScale="101" zoomScaleNormal="100" workbookViewId="0">
      <selection activeCell="D8" sqref="D8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54" t="s">
        <v>346</v>
      </c>
      <c r="D2" s="1055"/>
      <c r="E2" s="1058" t="s">
        <v>357</v>
      </c>
      <c r="F2" s="1058" t="s">
        <v>358</v>
      </c>
      <c r="H2" s="1067" t="s">
        <v>412</v>
      </c>
      <c r="I2" s="1097" t="s">
        <v>66</v>
      </c>
      <c r="J2" s="1054" t="s">
        <v>239</v>
      </c>
      <c r="K2" s="1055"/>
      <c r="L2" s="1054" t="s">
        <v>241</v>
      </c>
      <c r="M2" s="1096"/>
      <c r="N2" s="1055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059"/>
      <c r="F3" s="1059"/>
      <c r="H3" s="1068"/>
      <c r="I3" s="1098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348</v>
      </c>
      <c r="C4" s="661"/>
      <c r="D4" s="662"/>
      <c r="E4" s="662"/>
      <c r="F4" s="663"/>
      <c r="H4" s="1068"/>
      <c r="I4" s="652" t="s">
        <v>348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349</v>
      </c>
      <c r="C5" s="664"/>
      <c r="D5" s="665"/>
      <c r="E5" s="665"/>
      <c r="F5" s="666"/>
      <c r="H5" s="1068"/>
      <c r="I5" s="653" t="s">
        <v>349</v>
      </c>
      <c r="J5" s="648">
        <f>IFERROR(COUNT(AGITO_WATER_STD_SILVER),"")</f>
        <v>0</v>
      </c>
      <c r="K5" s="682" t="str">
        <f>IFERROR(AVERAGE(AGITO_WATER_STD_SILVER), "")</f>
        <v/>
      </c>
      <c r="L5" s="648">
        <f>IFERROR(COUNT(AGITO_WATER_EXP_SILVER),"")</f>
        <v>0</v>
      </c>
      <c r="M5" s="682" t="str">
        <f>IFERROR(AVERAGE(AGITO_WATER_EXP_SILVER),"")</f>
        <v/>
      </c>
      <c r="N5" s="683" t="str">
        <f>IFERROR(AVERAGE(AGITO_WATER_EXP_GOLD),"")</f>
        <v/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350</v>
      </c>
      <c r="C6" s="667">
        <v>2627</v>
      </c>
      <c r="D6" s="668">
        <v>2081</v>
      </c>
      <c r="E6" s="668">
        <v>20</v>
      </c>
      <c r="F6" s="669">
        <v>15</v>
      </c>
      <c r="H6" s="1068"/>
      <c r="I6" s="654" t="s">
        <v>350</v>
      </c>
      <c r="J6" s="649">
        <f>IFERROR(COUNT(AGITO_WIND_STD_SILVER),"")</f>
        <v>350</v>
      </c>
      <c r="K6" s="684">
        <f>IFERROR(AVERAGE(AGITO_WIND_STD_SILVER), "")</f>
        <v>5.1885714285714286</v>
      </c>
      <c r="L6" s="649">
        <f>IFERROR(COUNT(AGITO_WIND_EXP_SILVER),"")</f>
        <v>809</v>
      </c>
      <c r="M6" s="684">
        <f>IFERROR(AVERAGE(AGITO_WIND_EXP_SILVER),"")</f>
        <v>2.6637824474660072</v>
      </c>
      <c r="N6" s="685">
        <f>IFERROR(AVERAGE(AGITO_WIND_EXP_GOLD),"")</f>
        <v>3.4462299134734238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351</v>
      </c>
      <c r="C7" s="670">
        <v>2034</v>
      </c>
      <c r="D7" s="671">
        <v>1524</v>
      </c>
      <c r="E7" s="671">
        <v>20</v>
      </c>
      <c r="F7" s="672">
        <v>15</v>
      </c>
      <c r="H7" s="1068"/>
      <c r="I7" s="655" t="s">
        <v>351</v>
      </c>
      <c r="J7" s="763">
        <f>IFERROR(COUNT(AGITO_LIGHT_STD_SILVER),"")</f>
        <v>92</v>
      </c>
      <c r="K7" s="686">
        <f>IFERROR(AVERAGE(AGITO_LIGHT_STD_SILVER), "")</f>
        <v>5.2065217391304346</v>
      </c>
      <c r="L7" s="763">
        <f>IFERROR(COUNT(AGITO_LIGHT_EXP_SILVER),"")</f>
        <v>758</v>
      </c>
      <c r="M7" s="686">
        <f>IFERROR(AVERAGE(AGITO_LIGHT_EXP_SILVER),"")</f>
        <v>2.5751978891820579</v>
      </c>
      <c r="N7" s="687">
        <f>IFERROR(AVERAGE(AGITO_LIGHT_EXP_GOLD),"")</f>
        <v>3.5</v>
      </c>
      <c r="O7" s="700" t="s">
        <v>360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352</v>
      </c>
      <c r="C8" s="673"/>
      <c r="D8" s="674"/>
      <c r="E8" s="674"/>
      <c r="F8" s="675"/>
      <c r="H8" s="1068"/>
      <c r="I8" s="770" t="s">
        <v>352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069"/>
      <c r="I9" s="771" t="s">
        <v>238</v>
      </c>
      <c r="J9" s="772">
        <f>IFERROR(COUNT(AGITO_FLAME_STD_SILVER,AGITO_WATER_STD_SILVER,AGITO_WIND_STD_SILVER,AGITO_LIGHT_STD_SILVER,AGITO_SHADOW_STD_SILVER),"")</f>
        <v>442</v>
      </c>
      <c r="K9" s="775">
        <f>IFERROR(AVERAGE(AGITO_FLAME_STD_SILVER,AGITO_WATER_STD_SILVER,AGITO_WIND_STD_SILVER,AGITO_LIGHT_STD_SILVER,AGITO_SHADOW_STD_SILVER),"")</f>
        <v>5.1923076923076925</v>
      </c>
      <c r="L9" s="772">
        <f>IFERROR(COUNT(AGITO_FLAME_EXP_SILVER,AGITO_WATER_EXP_SILVER,AGITO_WIND_EXP_SILVER,AGITO_LIGHT_EXP_SILVER,AGITO_SHADOW_EXP_SILVER),"")</f>
        <v>1567</v>
      </c>
      <c r="M9" s="775">
        <f>IFERROR(AVERAGE(AGITO_FLAME_EXP_SILVER,AGITO_WATER_EXP_SILVER,AGITO_WIND_EXP_SILVER,AGITO_LIGHT_EXP_SILVER,AGITO_SHADOW_EXP_SILVER),"")</f>
        <v>2.6209317166560306</v>
      </c>
      <c r="N9" s="773">
        <f>IFERROR(AVERAGE(AGITO_FLAME_EXP_GOLD,AGITO_WATER_EXP_GOLD,AGITO_WIND_EXP_GOLD,AGITO_LIGHT_EXP_GOLD,AGITO_SHADOW_EXP_GOLD),"")</f>
        <v>3.4722399489470326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101" t="s">
        <v>38</v>
      </c>
      <c r="C10" s="1054" t="s">
        <v>356</v>
      </c>
      <c r="D10" s="1096"/>
      <c r="E10" s="1096"/>
      <c r="F10" s="1055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102"/>
      <c r="C11" s="1105" t="s">
        <v>65</v>
      </c>
      <c r="D11" s="876"/>
      <c r="E11" s="876" t="s">
        <v>64</v>
      </c>
      <c r="F11" s="1104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359</v>
      </c>
      <c r="R11" s="1074" t="s">
        <v>24</v>
      </c>
      <c r="S11" s="1075"/>
      <c r="T11" s="765" t="s">
        <v>353</v>
      </c>
      <c r="U11" s="660" t="s">
        <v>354</v>
      </c>
      <c r="V11" s="691" t="s">
        <v>325</v>
      </c>
    </row>
    <row r="12" spans="1:23" s="307" customFormat="1" ht="18.95" customHeight="1" x14ac:dyDescent="0.25">
      <c r="B12" s="1102"/>
      <c r="C12" s="1108" t="str">
        <f>IF(ISBLANK(F4),"",INDEX(DATA_AGITO_BUILDING,F4+ 1, 1))</f>
        <v/>
      </c>
      <c r="D12" s="1106"/>
      <c r="E12" s="1106" t="str">
        <f>IF(ISBLANK(F4),"",INDEX(DATA_AGITO_BUILDING,F4+ 1, 2))</f>
        <v/>
      </c>
      <c r="F12" s="1107"/>
      <c r="H12" s="966" t="s">
        <v>348</v>
      </c>
      <c r="I12" s="1076"/>
      <c r="J12" s="1078"/>
      <c r="K12" s="1078"/>
      <c r="L12" s="1078"/>
      <c r="M12" s="1078"/>
      <c r="N12" s="1078"/>
      <c r="O12" s="1078"/>
      <c r="P12" s="1080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102"/>
      <c r="C13" s="1108"/>
      <c r="D13" s="1106"/>
      <c r="E13" s="1106"/>
      <c r="F13" s="1107"/>
      <c r="H13" s="968"/>
      <c r="I13" s="1077"/>
      <c r="J13" s="1079"/>
      <c r="K13" s="1079"/>
      <c r="L13" s="1079"/>
      <c r="M13" s="1079"/>
      <c r="N13" s="1079"/>
      <c r="O13" s="1079"/>
      <c r="P13" s="1081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679"/>
      <c r="U13" s="689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102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102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102"/>
      <c r="C16" s="1109" t="str">
        <f>IF(ISBLANK(F5),"",INDEX(DATA_AGITO_BUILDING,F5+ 1, 1))</f>
        <v/>
      </c>
      <c r="D16" s="1110"/>
      <c r="E16" s="1111" t="str">
        <f>IF(ISBLANK(F5),"",INDEX(DATA_AGITO_BUILDING,F5+ 1, 2))</f>
        <v/>
      </c>
      <c r="F16" s="1111"/>
      <c r="H16" s="962" t="s">
        <v>349</v>
      </c>
      <c r="I16" s="1092"/>
      <c r="J16" s="1072"/>
      <c r="K16" s="1072"/>
      <c r="L16" s="1072"/>
      <c r="M16" s="1072"/>
      <c r="N16" s="1072"/>
      <c r="O16" s="1072"/>
      <c r="P16" s="1086"/>
      <c r="Q16" s="704" t="str" cm="1">
        <f t="array" ref="Q16">IF(ISBLANK(C5),"",(SUM(I18:P18) + C5) / AGITO_WEAPON_MUB_SILVER)</f>
        <v/>
      </c>
      <c r="R16" s="615" cm="1">
        <f t="array" ref="R16">-(E5 * AGITO_WEAPON_MUB_SILVER - SUM(I18:P18) - C5)</f>
        <v>0</v>
      </c>
      <c r="S16" s="690" t="s">
        <v>65</v>
      </c>
      <c r="T16" s="776" t="str">
        <f>IF(R16&lt;0, _xlfn.CEILING.MATH(-R16/K5),"")</f>
        <v/>
      </c>
      <c r="U16" s="647" t="str">
        <f>IF(R16&lt;0, _xlfn.CEILING.MATH(-R16/M5),"")</f>
        <v/>
      </c>
      <c r="V16" s="693" t="str">
        <f>IFERROR((-E5 * AGITO_WEAPON_MUB_SILVER - R16)/(-E5 * AGITO_WEAPON_MUB_SILVER),"")</f>
        <v/>
      </c>
    </row>
    <row r="17" spans="2:22" s="307" customFormat="1" ht="18.95" customHeight="1" x14ac:dyDescent="0.25">
      <c r="B17" s="1102"/>
      <c r="C17" s="1109"/>
      <c r="D17" s="1110"/>
      <c r="E17" s="1111"/>
      <c r="F17" s="1111"/>
      <c r="H17" s="964"/>
      <c r="I17" s="1093"/>
      <c r="J17" s="1073"/>
      <c r="K17" s="1073"/>
      <c r="L17" s="1073"/>
      <c r="M17" s="1073"/>
      <c r="N17" s="1073"/>
      <c r="O17" s="1073"/>
      <c r="P17" s="1087"/>
      <c r="Q17" s="705" t="str" cm="1">
        <f t="array" ref="Q17">IF(ISBLANK(D5),"",(SUM(I19:P19) + D5) / AGITO_WEAPON_MUB_GOLD)</f>
        <v/>
      </c>
      <c r="R17" s="616" cm="1">
        <f t="array" ref="R17">-(E5 * AGITO_WEAPON_MUB_GOLD - SUM(I19:P19) - D5)</f>
        <v>0</v>
      </c>
      <c r="S17" s="634" t="s">
        <v>64</v>
      </c>
      <c r="T17" s="679"/>
      <c r="U17" s="689" t="str">
        <f>IF(R17&lt;0, _xlfn.CEILING.MATH(-R17/N5),"")</f>
        <v/>
      </c>
      <c r="V17" s="694" t="str">
        <f>IFERROR((-E5 * AGITO_WEAPON_MUB_GOLD - R17)/(-E5 * AGITO_WEAPON_MUB_GOLD),"")</f>
        <v/>
      </c>
    </row>
    <row r="18" spans="2:22" ht="18.95" hidden="1" customHeight="1" x14ac:dyDescent="0.25">
      <c r="B18" s="1102"/>
      <c r="C18" s="781"/>
      <c r="D18" s="778"/>
      <c r="E18" s="782"/>
      <c r="F18" s="780"/>
      <c r="H18" s="632"/>
      <c r="I18" s="715">
        <f>_xlfn.IFNA(VLOOKUP(I16,DATA_AGITO_WEAPON,2,FALSE), 0)</f>
        <v>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0</v>
      </c>
      <c r="M18" s="716">
        <f>_xlfn.IFNA(VLOOKUP(M16,DATA_AGITO_WEAPON,2,FALSE), 0)</f>
        <v>0</v>
      </c>
      <c r="N18" s="716">
        <f>_xlfn.IFNA(VLOOKUP(N16,DATA_AGITO_WEAPON,2,FALSE), 0)</f>
        <v>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102"/>
      <c r="C19" s="781"/>
      <c r="D19" s="778"/>
      <c r="E19" s="782"/>
      <c r="F19" s="780"/>
      <c r="H19" s="556"/>
      <c r="I19" s="718">
        <f>_xlfn.IFNA(VLOOKUP(I16,DATA_AGITO_WEAPON,3,FALSE), 0)</f>
        <v>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0</v>
      </c>
      <c r="M19" s="719">
        <f>_xlfn.IFNA(VLOOKUP(M16,DATA_AGITO_WEAPON,3,FALSE), 0)</f>
        <v>0</v>
      </c>
      <c r="N19" s="719">
        <f>_xlfn.IFNA(VLOOKUP(N16,DATA_AGITO_WEAPON,3,FALSE), 0)</f>
        <v>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102"/>
      <c r="C20" s="1112">
        <f>IF(ISBLANK(F6),"",INDEX(DATA_AGITO_BUILDING,F6+ 1, 1))</f>
        <v>0</v>
      </c>
      <c r="D20" s="1113"/>
      <c r="E20" s="1114">
        <f>IF(ISBLANK(F6),"",INDEX(DATA_AGITO_BUILDING,F6+ 1, 2))</f>
        <v>0</v>
      </c>
      <c r="F20" s="1114"/>
      <c r="H20" s="1025" t="s">
        <v>350</v>
      </c>
      <c r="I20" s="1099">
        <v>614</v>
      </c>
      <c r="J20" s="1088">
        <v>614</v>
      </c>
      <c r="K20" s="1088">
        <v>614</v>
      </c>
      <c r="L20" s="1088">
        <v>614</v>
      </c>
      <c r="M20" s="1088">
        <v>614</v>
      </c>
      <c r="N20" s="1088">
        <v>614</v>
      </c>
      <c r="O20" s="1088">
        <v>614</v>
      </c>
      <c r="P20" s="1090">
        <v>614</v>
      </c>
      <c r="Q20" s="704" cm="1">
        <f t="array" ref="Q20">IF(ISBLANK(C6),"",(SUM(I22:P22) + C6) / AGITO_WEAPON_MUB_SILVER)</f>
        <v>21.135000000000002</v>
      </c>
      <c r="R20" s="615" cm="1">
        <f t="array" ref="R20">-(E6 * AGITO_WEAPON_MUB_SILVER - SUM(I22:P22) - C6)</f>
        <v>227</v>
      </c>
      <c r="S20" s="690" t="s">
        <v>65</v>
      </c>
      <c r="T20" s="678" t="str">
        <f>IF(R20&lt;0, _xlfn.CEILING.MATH(-R20/K6),"")</f>
        <v/>
      </c>
      <c r="U20" s="688" t="str">
        <f>IF(R20&lt;0, _xlfn.CEILING.MATH(-R20/M6),"")</f>
        <v/>
      </c>
      <c r="V20" s="693">
        <f>IFERROR((-E6 * AGITO_WEAPON_MUB_SILVER - R20)/(-E6 * AGITO_WEAPON_MUB_SILVER),"")</f>
        <v>1.0567500000000001</v>
      </c>
    </row>
    <row r="21" spans="2:22" s="307" customFormat="1" ht="18.95" customHeight="1" x14ac:dyDescent="0.25">
      <c r="B21" s="1102"/>
      <c r="C21" s="1112"/>
      <c r="D21" s="1113"/>
      <c r="E21" s="1114"/>
      <c r="F21" s="1114"/>
      <c r="H21" s="1027"/>
      <c r="I21" s="1100"/>
      <c r="J21" s="1089"/>
      <c r="K21" s="1089"/>
      <c r="L21" s="1089"/>
      <c r="M21" s="1089"/>
      <c r="N21" s="1089"/>
      <c r="O21" s="1089"/>
      <c r="P21" s="1091"/>
      <c r="Q21" s="705" cm="1">
        <f t="array" ref="Q21">IF(ISBLANK(D6),"",(SUM(I23:P23) + D6) / AGITO_WEAPON_MUB_GOLD)</f>
        <v>21.873333333333335</v>
      </c>
      <c r="R21" s="616" cm="1">
        <f t="array" ref="R21">-(E6 * AGITO_WEAPON_MUB_GOLD - SUM(I23:P23) - D6)</f>
        <v>281</v>
      </c>
      <c r="S21" s="634" t="s">
        <v>64</v>
      </c>
      <c r="T21" s="679"/>
      <c r="U21" s="689" t="str">
        <f>IF(R21&lt;0, _xlfn.CEILING.MATH(-R21/N6),"")</f>
        <v/>
      </c>
      <c r="V21" s="694">
        <f>IFERROR((-E6 * AGITO_WEAPON_MUB_GOLD - R21)/(-E6 * AGITO_WEAPON_MUB_GOLD),"")</f>
        <v>1.0936666666666666</v>
      </c>
    </row>
    <row r="22" spans="2:22" ht="24.75" hidden="1" customHeight="1" x14ac:dyDescent="0.25">
      <c r="B22" s="1102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102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102"/>
      <c r="C24" s="1115">
        <f>IF(ISBLANK(F7),"",INDEX(DATA_AGITO_BUILDING,F7+ 1, 1))</f>
        <v>0</v>
      </c>
      <c r="D24" s="1116"/>
      <c r="E24" s="1060">
        <f>IF(ISBLANK(F7),"",INDEX(DATA_AGITO_BUILDING,F7+ 1, 2))</f>
        <v>0</v>
      </c>
      <c r="F24" s="1060"/>
      <c r="H24" s="1004" t="s">
        <v>351</v>
      </c>
      <c r="I24" s="1070">
        <v>614</v>
      </c>
      <c r="J24" s="1056">
        <v>614</v>
      </c>
      <c r="K24" s="1056">
        <v>614</v>
      </c>
      <c r="L24" s="1056">
        <v>614</v>
      </c>
      <c r="M24" s="1056">
        <v>614</v>
      </c>
      <c r="N24" s="1056">
        <v>614</v>
      </c>
      <c r="O24" s="1056">
        <v>614</v>
      </c>
      <c r="P24" s="1094">
        <v>614</v>
      </c>
      <c r="Q24" s="704" cm="1">
        <f t="array" ref="Q24">IF(ISBLANK(C7),"",(SUM(I26:P26) + C7) / AGITO_WEAPON_MUB_SILVER)</f>
        <v>18.170000000000002</v>
      </c>
      <c r="R24" s="615" cm="1">
        <f t="array" ref="R24">-(E7 * AGITO_WEAPON_MUB_SILVER - SUM(I26:P26) - C7)</f>
        <v>-366</v>
      </c>
      <c r="S24" s="690" t="s">
        <v>65</v>
      </c>
      <c r="T24" s="678">
        <f>IF(R24&lt;0, _xlfn.CEILING.MATH(-R24/K7),"")</f>
        <v>71</v>
      </c>
      <c r="U24" s="688">
        <f>IF(R24&lt;0, _xlfn.CEILING.MATH(-R24/M7),"")</f>
        <v>143</v>
      </c>
      <c r="V24" s="693">
        <f>IFERROR((-E7 * AGITO_WEAPON_MUB_SILVER - R24)/(-E7 * AGITO_WEAPON_MUB_SILVER),"")</f>
        <v>0.90849999999999997</v>
      </c>
    </row>
    <row r="25" spans="2:22" ht="18.95" customHeight="1" x14ac:dyDescent="0.25">
      <c r="B25" s="1102"/>
      <c r="C25" s="1115"/>
      <c r="D25" s="1116"/>
      <c r="E25" s="1060"/>
      <c r="F25" s="1060"/>
      <c r="H25" s="1006"/>
      <c r="I25" s="1071"/>
      <c r="J25" s="1057"/>
      <c r="K25" s="1057"/>
      <c r="L25" s="1057"/>
      <c r="M25" s="1057"/>
      <c r="N25" s="1057"/>
      <c r="O25" s="1057"/>
      <c r="P25" s="1095"/>
      <c r="Q25" s="705" cm="1">
        <f t="array" ref="Q25">IF(ISBLANK(D7),"",(SUM(I27:P27) + D7) / AGITO_WEAPON_MUB_GOLD)</f>
        <v>18.16</v>
      </c>
      <c r="R25" s="616" cm="1">
        <f t="array" ref="R25">-(E7 * AGITO_WEAPON_MUB_GOLD - SUM(I27:P27) - D7)</f>
        <v>-276</v>
      </c>
      <c r="S25" s="634" t="s">
        <v>64</v>
      </c>
      <c r="T25" s="679"/>
      <c r="U25" s="689">
        <f>IF(R25&lt;0, _xlfn.CEILING.MATH(-R25/N7),"")</f>
        <v>79</v>
      </c>
      <c r="V25" s="694">
        <f>IFERROR((-E7 * AGITO_WEAPON_MUB_GOLD - R25)/(-E7 * AGITO_WEAPON_MUB_GOLD),"")</f>
        <v>0.90800000000000003</v>
      </c>
    </row>
    <row r="26" spans="2:22" ht="18.95" hidden="1" customHeight="1" x14ac:dyDescent="0.25">
      <c r="B26" s="1102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102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102"/>
      <c r="C28" s="1065" t="str">
        <f>IF(ISBLANK(F8),"",INDEX(DATA_AGITO_BUILDING,F8+ 1, 1))</f>
        <v/>
      </c>
      <c r="D28" s="1061"/>
      <c r="E28" s="1061" t="str">
        <f>IF(ISBLANK(F8),"",INDEX(DATA_AGITO_BUILDING,F8+ 1, 2))</f>
        <v/>
      </c>
      <c r="F28" s="1062"/>
      <c r="H28" s="1000" t="s">
        <v>352</v>
      </c>
      <c r="I28" s="1052"/>
      <c r="J28" s="1082"/>
      <c r="K28" s="1082"/>
      <c r="L28" s="1082"/>
      <c r="M28" s="1082"/>
      <c r="N28" s="1082"/>
      <c r="O28" s="1082"/>
      <c r="P28" s="1084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103"/>
      <c r="C29" s="1066"/>
      <c r="D29" s="1063"/>
      <c r="E29" s="1063"/>
      <c r="F29" s="1064"/>
      <c r="H29" s="1002"/>
      <c r="I29" s="1053"/>
      <c r="J29" s="1083"/>
      <c r="K29" s="1083"/>
      <c r="L29" s="1083"/>
      <c r="M29" s="1083"/>
      <c r="N29" s="1083"/>
      <c r="O29" s="1083"/>
      <c r="P29" s="1085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811"/>
  <sheetViews>
    <sheetView tabSelected="1" topLeftCell="A746" zoomScaleNormal="100" workbookViewId="0">
      <selection activeCell="L761" sqref="L761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17" t="s">
        <v>241</v>
      </c>
      <c r="C1" s="1118"/>
      <c r="D1" s="639" t="s">
        <v>239</v>
      </c>
      <c r="E1" s="1119" t="s">
        <v>241</v>
      </c>
      <c r="F1" s="1120"/>
      <c r="G1" s="676" t="s">
        <v>239</v>
      </c>
      <c r="H1" s="1121" t="s">
        <v>241</v>
      </c>
      <c r="I1" s="1122"/>
      <c r="J1" s="638" t="s">
        <v>239</v>
      </c>
      <c r="K1" s="1123" t="s">
        <v>241</v>
      </c>
      <c r="L1" s="1124"/>
      <c r="M1" s="636" t="s">
        <v>239</v>
      </c>
      <c r="N1" s="1125" t="s">
        <v>241</v>
      </c>
      <c r="O1" s="1126"/>
      <c r="Q1" s="627" t="s">
        <v>355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7:24" x14ac:dyDescent="0.25"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7:24" x14ac:dyDescent="0.25"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7:24" x14ac:dyDescent="0.25"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390</v>
      </c>
      <c r="R19" s="744" t="s">
        <v>1</v>
      </c>
      <c r="S19" s="745" t="s">
        <v>0</v>
      </c>
      <c r="T19" s="745" t="s">
        <v>391</v>
      </c>
      <c r="U19" s="749" t="s">
        <v>25</v>
      </c>
      <c r="V19" s="752" t="s">
        <v>387</v>
      </c>
      <c r="W19" s="745" t="s">
        <v>388</v>
      </c>
      <c r="X19" s="753" t="s">
        <v>386</v>
      </c>
    </row>
    <row r="20" spans="7:24" x14ac:dyDescent="0.25"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389</v>
      </c>
      <c r="W20" s="262">
        <v>0</v>
      </c>
      <c r="X20" s="750">
        <v>0</v>
      </c>
    </row>
    <row r="21" spans="7:24" x14ac:dyDescent="0.25"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7:24" x14ac:dyDescent="0.25"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7:24" x14ac:dyDescent="0.25"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7:24" x14ac:dyDescent="0.25"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7:24" x14ac:dyDescent="0.25"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7:24" x14ac:dyDescent="0.25"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7:24" x14ac:dyDescent="0.25"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7:24" x14ac:dyDescent="0.25"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7:24" x14ac:dyDescent="0.25"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7:24" x14ac:dyDescent="0.25"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7:24" x14ac:dyDescent="0.25"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7:24" x14ac:dyDescent="0.25"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7:24" x14ac:dyDescent="0.25"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7:24" x14ac:dyDescent="0.25"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7:24" x14ac:dyDescent="0.25"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7:24" x14ac:dyDescent="0.25"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7:24" x14ac:dyDescent="0.25"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7:24" x14ac:dyDescent="0.25"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7:24" x14ac:dyDescent="0.25"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7:24" x14ac:dyDescent="0.25"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7:24" x14ac:dyDescent="0.25"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7:24" x14ac:dyDescent="0.25"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7:24" x14ac:dyDescent="0.25"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7:24" x14ac:dyDescent="0.25"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7:24" x14ac:dyDescent="0.25"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7:24" x14ac:dyDescent="0.25"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7:24" x14ac:dyDescent="0.25"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7:24" x14ac:dyDescent="0.25"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7:12" x14ac:dyDescent="0.25"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7:12" x14ac:dyDescent="0.25"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7:12" x14ac:dyDescent="0.25"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7:12" x14ac:dyDescent="0.25"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7:12" x14ac:dyDescent="0.25"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7:12" x14ac:dyDescent="0.25"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7:12" x14ac:dyDescent="0.25"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7:12" x14ac:dyDescent="0.25"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7:12" x14ac:dyDescent="0.25"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7:12" x14ac:dyDescent="0.25"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7:12" x14ac:dyDescent="0.25"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7:12" x14ac:dyDescent="0.25"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7:12" x14ac:dyDescent="0.25"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7:12" x14ac:dyDescent="0.25"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7:12" x14ac:dyDescent="0.25"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7:12" x14ac:dyDescent="0.25"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7:12" x14ac:dyDescent="0.25"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7:12" x14ac:dyDescent="0.25"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7:12" x14ac:dyDescent="0.25"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7:12" x14ac:dyDescent="0.25"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7:12" x14ac:dyDescent="0.25"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7:12" x14ac:dyDescent="0.25"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7:12" x14ac:dyDescent="0.25"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7:12" x14ac:dyDescent="0.25"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7:12" x14ac:dyDescent="0.25">
      <c r="G73" s="621">
        <v>5</v>
      </c>
      <c r="H73" s="51">
        <v>3</v>
      </c>
      <c r="I73" s="622">
        <v>4</v>
      </c>
      <c r="J73" s="201">
        <v>5</v>
      </c>
      <c r="K73" s="318">
        <v>4</v>
      </c>
      <c r="L73" s="202">
        <v>4</v>
      </c>
    </row>
    <row r="74" spans="7:12" x14ac:dyDescent="0.25">
      <c r="G74" s="621">
        <v>5</v>
      </c>
      <c r="H74" s="51">
        <v>2</v>
      </c>
      <c r="I74" s="622">
        <v>4</v>
      </c>
      <c r="J74" s="201">
        <v>5</v>
      </c>
      <c r="K74" s="318">
        <v>2</v>
      </c>
      <c r="L74" s="202">
        <v>3</v>
      </c>
    </row>
    <row r="75" spans="7:12" x14ac:dyDescent="0.25">
      <c r="G75" s="621">
        <v>5</v>
      </c>
      <c r="H75" s="51">
        <v>2</v>
      </c>
      <c r="I75" s="622">
        <v>3</v>
      </c>
      <c r="J75" s="201">
        <v>5</v>
      </c>
      <c r="K75" s="318">
        <v>3</v>
      </c>
      <c r="L75" s="202">
        <v>3</v>
      </c>
    </row>
    <row r="76" spans="7:12" x14ac:dyDescent="0.25">
      <c r="G76" s="621">
        <v>6</v>
      </c>
      <c r="H76" s="51">
        <v>2</v>
      </c>
      <c r="I76" s="622">
        <v>3</v>
      </c>
      <c r="J76" s="201">
        <v>5</v>
      </c>
      <c r="K76" s="318">
        <v>3</v>
      </c>
      <c r="L76" s="202">
        <v>3</v>
      </c>
    </row>
    <row r="77" spans="7:12" x14ac:dyDescent="0.25">
      <c r="G77" s="621">
        <v>5</v>
      </c>
      <c r="H77" s="51">
        <v>3</v>
      </c>
      <c r="I77" s="622">
        <v>3</v>
      </c>
      <c r="J77" s="201">
        <v>5</v>
      </c>
      <c r="K77" s="318">
        <v>3</v>
      </c>
      <c r="L77" s="202">
        <v>3</v>
      </c>
    </row>
    <row r="78" spans="7:12" x14ac:dyDescent="0.25">
      <c r="G78" s="621">
        <v>5</v>
      </c>
      <c r="H78" s="51">
        <v>3</v>
      </c>
      <c r="I78" s="622">
        <v>3</v>
      </c>
      <c r="J78" s="201">
        <v>5</v>
      </c>
      <c r="K78" s="318">
        <v>2</v>
      </c>
      <c r="L78" s="202">
        <v>3</v>
      </c>
    </row>
    <row r="79" spans="7:12" x14ac:dyDescent="0.25">
      <c r="G79" s="621">
        <v>5</v>
      </c>
      <c r="H79" s="51">
        <v>3</v>
      </c>
      <c r="I79" s="622">
        <v>3</v>
      </c>
      <c r="J79" s="201">
        <v>5</v>
      </c>
      <c r="K79" s="318">
        <v>3</v>
      </c>
      <c r="L79" s="202">
        <v>4</v>
      </c>
    </row>
    <row r="80" spans="7:12" x14ac:dyDescent="0.25">
      <c r="G80" s="621">
        <v>5</v>
      </c>
      <c r="H80" s="51">
        <v>3</v>
      </c>
      <c r="I80" s="622">
        <v>3</v>
      </c>
      <c r="J80" s="201">
        <v>5</v>
      </c>
      <c r="K80" s="318">
        <v>4</v>
      </c>
      <c r="L80" s="202">
        <v>5</v>
      </c>
    </row>
    <row r="81" spans="7:12" x14ac:dyDescent="0.25">
      <c r="G81" s="621">
        <v>5</v>
      </c>
      <c r="H81" s="51">
        <v>2</v>
      </c>
      <c r="I81" s="622">
        <v>3</v>
      </c>
      <c r="J81" s="201">
        <v>5</v>
      </c>
      <c r="K81" s="318">
        <v>2</v>
      </c>
      <c r="L81" s="202">
        <v>4</v>
      </c>
    </row>
    <row r="82" spans="7:12" x14ac:dyDescent="0.25">
      <c r="G82" s="621">
        <v>5</v>
      </c>
      <c r="H82" s="51">
        <v>4</v>
      </c>
      <c r="I82" s="622">
        <v>3</v>
      </c>
      <c r="J82" s="201">
        <v>6</v>
      </c>
      <c r="K82" s="318">
        <v>3</v>
      </c>
      <c r="L82" s="202">
        <v>5</v>
      </c>
    </row>
    <row r="83" spans="7:12" x14ac:dyDescent="0.25">
      <c r="G83" s="621">
        <v>5</v>
      </c>
      <c r="H83" s="51">
        <v>3</v>
      </c>
      <c r="I83" s="622">
        <v>3</v>
      </c>
      <c r="J83" s="201">
        <v>5</v>
      </c>
      <c r="K83" s="318">
        <v>2</v>
      </c>
      <c r="L83" s="202">
        <v>3</v>
      </c>
    </row>
    <row r="84" spans="7:12" x14ac:dyDescent="0.25">
      <c r="G84" s="621">
        <v>5</v>
      </c>
      <c r="H84" s="51">
        <v>3</v>
      </c>
      <c r="I84" s="622">
        <v>3</v>
      </c>
      <c r="J84" s="201">
        <v>6</v>
      </c>
      <c r="K84" s="318">
        <v>3</v>
      </c>
      <c r="L84" s="202">
        <v>3</v>
      </c>
    </row>
    <row r="85" spans="7:12" x14ac:dyDescent="0.25">
      <c r="G85" s="621">
        <v>5</v>
      </c>
      <c r="H85" s="51">
        <v>2</v>
      </c>
      <c r="I85" s="622">
        <v>3</v>
      </c>
      <c r="J85" s="201">
        <v>5</v>
      </c>
      <c r="K85" s="318">
        <v>2</v>
      </c>
      <c r="L85" s="202">
        <v>4</v>
      </c>
    </row>
    <row r="86" spans="7:12" x14ac:dyDescent="0.25">
      <c r="G86" s="621">
        <v>7</v>
      </c>
      <c r="H86" s="51">
        <v>3</v>
      </c>
      <c r="I86" s="622">
        <v>3</v>
      </c>
      <c r="J86" s="201">
        <v>6</v>
      </c>
      <c r="K86" s="318">
        <v>3</v>
      </c>
      <c r="L86" s="202">
        <v>3</v>
      </c>
    </row>
    <row r="87" spans="7:12" x14ac:dyDescent="0.25">
      <c r="G87" s="621">
        <v>5</v>
      </c>
      <c r="H87" s="51">
        <v>4</v>
      </c>
      <c r="I87" s="622">
        <v>3</v>
      </c>
      <c r="J87" s="201">
        <v>7</v>
      </c>
      <c r="K87" s="318">
        <v>2</v>
      </c>
      <c r="L87" s="202">
        <v>4</v>
      </c>
    </row>
    <row r="88" spans="7:12" x14ac:dyDescent="0.25">
      <c r="G88" s="621">
        <v>5</v>
      </c>
      <c r="H88" s="51">
        <v>2</v>
      </c>
      <c r="I88" s="622">
        <v>4</v>
      </c>
      <c r="J88" s="201">
        <v>5</v>
      </c>
      <c r="K88" s="318">
        <v>2</v>
      </c>
      <c r="L88" s="202">
        <v>3</v>
      </c>
    </row>
    <row r="89" spans="7:12" x14ac:dyDescent="0.25">
      <c r="G89" s="621">
        <v>5</v>
      </c>
      <c r="H89" s="51">
        <v>3</v>
      </c>
      <c r="I89" s="622">
        <v>3</v>
      </c>
      <c r="J89" s="201">
        <v>5</v>
      </c>
      <c r="K89" s="318">
        <v>2</v>
      </c>
      <c r="L89" s="202">
        <v>4</v>
      </c>
    </row>
    <row r="90" spans="7:12" x14ac:dyDescent="0.25">
      <c r="G90" s="621">
        <v>5</v>
      </c>
      <c r="H90" s="51">
        <v>2</v>
      </c>
      <c r="I90" s="622">
        <v>3</v>
      </c>
      <c r="J90" s="201">
        <v>5</v>
      </c>
      <c r="K90" s="318">
        <v>2</v>
      </c>
      <c r="L90" s="202">
        <v>3</v>
      </c>
    </row>
    <row r="91" spans="7:12" x14ac:dyDescent="0.25">
      <c r="G91" s="621">
        <v>5</v>
      </c>
      <c r="H91" s="51">
        <v>3</v>
      </c>
      <c r="I91" s="622">
        <v>3</v>
      </c>
      <c r="J91" s="201">
        <v>5</v>
      </c>
      <c r="K91" s="318">
        <v>2</v>
      </c>
      <c r="L91" s="202">
        <v>4</v>
      </c>
    </row>
    <row r="92" spans="7:12" x14ac:dyDescent="0.25">
      <c r="G92" s="621">
        <v>5</v>
      </c>
      <c r="H92" s="51">
        <v>2</v>
      </c>
      <c r="I92" s="622">
        <v>3</v>
      </c>
      <c r="J92" s="201">
        <v>5</v>
      </c>
      <c r="K92" s="318">
        <v>2</v>
      </c>
      <c r="L92" s="202">
        <v>3</v>
      </c>
    </row>
    <row r="93" spans="7:12" x14ac:dyDescent="0.25">
      <c r="G93" s="621">
        <v>5</v>
      </c>
      <c r="H93" s="51">
        <v>4</v>
      </c>
      <c r="I93" s="622">
        <v>3</v>
      </c>
      <c r="J93" s="201">
        <v>5</v>
      </c>
      <c r="K93" s="318">
        <v>2</v>
      </c>
      <c r="L93" s="202">
        <v>3</v>
      </c>
    </row>
    <row r="94" spans="7:12" x14ac:dyDescent="0.25">
      <c r="G94" s="621">
        <v>5</v>
      </c>
      <c r="H94" s="51">
        <v>2</v>
      </c>
      <c r="I94" s="622">
        <v>3</v>
      </c>
      <c r="J94" s="201">
        <v>5</v>
      </c>
      <c r="K94" s="318">
        <v>2</v>
      </c>
      <c r="L94" s="202">
        <v>3</v>
      </c>
    </row>
    <row r="95" spans="7:12" x14ac:dyDescent="0.25"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7:12" x14ac:dyDescent="0.25"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7:12" x14ac:dyDescent="0.25"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7:12" x14ac:dyDescent="0.25"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7:12" x14ac:dyDescent="0.25"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7:12" x14ac:dyDescent="0.25"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7:12" x14ac:dyDescent="0.25"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7:12" x14ac:dyDescent="0.25"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7:12" x14ac:dyDescent="0.25"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7:12" x14ac:dyDescent="0.25"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7:12" x14ac:dyDescent="0.25"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7:12" x14ac:dyDescent="0.25"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7:12" x14ac:dyDescent="0.25"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7:12" x14ac:dyDescent="0.25"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7:12" x14ac:dyDescent="0.25"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7:12" x14ac:dyDescent="0.25"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7:12" x14ac:dyDescent="0.25"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7:12" x14ac:dyDescent="0.25"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7:12" x14ac:dyDescent="0.25"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7:12" x14ac:dyDescent="0.25"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7:12" x14ac:dyDescent="0.25"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7:12" x14ac:dyDescent="0.25"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7:12" x14ac:dyDescent="0.25"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7:12" x14ac:dyDescent="0.25"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7:12" x14ac:dyDescent="0.25"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7:12" x14ac:dyDescent="0.25"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7:12" x14ac:dyDescent="0.25"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7:12" x14ac:dyDescent="0.25"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7:12" x14ac:dyDescent="0.25"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7:12" x14ac:dyDescent="0.25"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7:12" x14ac:dyDescent="0.25"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7:12" x14ac:dyDescent="0.25"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7:12" x14ac:dyDescent="0.25"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7:12" x14ac:dyDescent="0.25"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7:12" x14ac:dyDescent="0.25"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7:12" x14ac:dyDescent="0.25"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7:12" x14ac:dyDescent="0.25"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7:12" x14ac:dyDescent="0.25"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7:12" x14ac:dyDescent="0.25"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7:12" x14ac:dyDescent="0.25"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7:12" x14ac:dyDescent="0.25"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7:12" x14ac:dyDescent="0.25"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7:12" x14ac:dyDescent="0.25"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7:12" x14ac:dyDescent="0.25"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7:12" x14ac:dyDescent="0.25"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7:12" x14ac:dyDescent="0.25"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7:12" x14ac:dyDescent="0.25"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7:12" x14ac:dyDescent="0.25"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7:12" x14ac:dyDescent="0.25"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7:12" x14ac:dyDescent="0.25"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7:12" x14ac:dyDescent="0.25"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7:12" x14ac:dyDescent="0.25"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7:12" x14ac:dyDescent="0.25"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7:12" x14ac:dyDescent="0.25"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7:12" x14ac:dyDescent="0.25"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7:12" x14ac:dyDescent="0.25"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7:12" x14ac:dyDescent="0.25"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7:12" x14ac:dyDescent="0.25"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7:12" x14ac:dyDescent="0.25"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7:12" x14ac:dyDescent="0.25"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7:12" x14ac:dyDescent="0.25"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7:12" x14ac:dyDescent="0.25"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7:12" x14ac:dyDescent="0.25"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7:12" x14ac:dyDescent="0.25"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7:12" x14ac:dyDescent="0.25"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7:12" x14ac:dyDescent="0.25"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7:12" x14ac:dyDescent="0.25"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7:12" x14ac:dyDescent="0.25"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7:12" x14ac:dyDescent="0.25"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7:12" x14ac:dyDescent="0.25"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7:12" x14ac:dyDescent="0.25"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7:12" x14ac:dyDescent="0.25"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7:12" x14ac:dyDescent="0.25"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7:12" x14ac:dyDescent="0.25"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7:12" x14ac:dyDescent="0.25"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7:12" x14ac:dyDescent="0.25"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7:12" x14ac:dyDescent="0.25"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7:12" x14ac:dyDescent="0.25"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7:12" x14ac:dyDescent="0.25"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7:12" x14ac:dyDescent="0.25"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7:12" x14ac:dyDescent="0.25"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7:12" x14ac:dyDescent="0.25"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7:12" x14ac:dyDescent="0.25"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7:12" x14ac:dyDescent="0.25"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7:12" x14ac:dyDescent="0.25"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7:12" x14ac:dyDescent="0.25"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7:12" x14ac:dyDescent="0.25"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7:12" x14ac:dyDescent="0.25"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7:12" x14ac:dyDescent="0.25"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7:12" x14ac:dyDescent="0.25"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7:12" x14ac:dyDescent="0.25"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7:12" x14ac:dyDescent="0.25"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7:12" x14ac:dyDescent="0.25"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7:12" x14ac:dyDescent="0.25"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7:12" x14ac:dyDescent="0.25"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7:12" x14ac:dyDescent="0.25"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7:12" x14ac:dyDescent="0.25"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7:12" x14ac:dyDescent="0.25"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7:12" x14ac:dyDescent="0.25"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7:12" x14ac:dyDescent="0.25"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7:12" x14ac:dyDescent="0.25"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7:12" x14ac:dyDescent="0.25"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7:12" x14ac:dyDescent="0.25"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7:12" x14ac:dyDescent="0.25"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7:12" x14ac:dyDescent="0.25"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7:12" x14ac:dyDescent="0.25"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7:12" x14ac:dyDescent="0.25"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7:12" x14ac:dyDescent="0.25"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7:12" x14ac:dyDescent="0.25"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7:12" x14ac:dyDescent="0.25"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7:12" x14ac:dyDescent="0.25"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7:12" x14ac:dyDescent="0.25"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7:12" x14ac:dyDescent="0.25"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7:12" x14ac:dyDescent="0.25"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7:12" x14ac:dyDescent="0.25"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7:12" x14ac:dyDescent="0.25"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7:12" x14ac:dyDescent="0.25"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7:12" x14ac:dyDescent="0.25"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7:12" x14ac:dyDescent="0.25"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7:12" x14ac:dyDescent="0.25"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7:12" x14ac:dyDescent="0.25"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7:12" x14ac:dyDescent="0.25"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7:12" x14ac:dyDescent="0.25"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7:12" x14ac:dyDescent="0.25"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7:12" x14ac:dyDescent="0.25"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7:12" x14ac:dyDescent="0.25"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7:12" x14ac:dyDescent="0.25"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7:12" x14ac:dyDescent="0.25"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7:12" x14ac:dyDescent="0.25"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7:12" x14ac:dyDescent="0.25"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7:12" x14ac:dyDescent="0.25"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7:12" x14ac:dyDescent="0.25"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7:12" x14ac:dyDescent="0.25"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7:12" x14ac:dyDescent="0.25"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7:12" x14ac:dyDescent="0.25"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7:12" x14ac:dyDescent="0.25"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7:12" x14ac:dyDescent="0.25"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7:12" x14ac:dyDescent="0.25"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7:12" x14ac:dyDescent="0.25"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7:12" x14ac:dyDescent="0.25"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7:12" x14ac:dyDescent="0.25"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7:12" x14ac:dyDescent="0.25"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7:12" x14ac:dyDescent="0.25"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7:12" x14ac:dyDescent="0.25"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7:12" x14ac:dyDescent="0.25"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7:12" x14ac:dyDescent="0.25"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7:12" x14ac:dyDescent="0.25"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7:12" x14ac:dyDescent="0.25"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7:12" x14ac:dyDescent="0.25"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7:12" x14ac:dyDescent="0.25"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7:12" x14ac:dyDescent="0.25"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7:12" x14ac:dyDescent="0.25"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7:12" x14ac:dyDescent="0.25"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7:12" x14ac:dyDescent="0.25"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7:12" x14ac:dyDescent="0.25"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7:12" x14ac:dyDescent="0.25"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7:12" x14ac:dyDescent="0.25"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7:12" x14ac:dyDescent="0.25"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7:12" x14ac:dyDescent="0.25"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7:12" x14ac:dyDescent="0.25"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7:12" x14ac:dyDescent="0.25"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7:12" x14ac:dyDescent="0.25"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7:12" x14ac:dyDescent="0.25"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7:12" x14ac:dyDescent="0.25"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7:12" x14ac:dyDescent="0.25"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7:12" x14ac:dyDescent="0.25"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7:12" x14ac:dyDescent="0.25"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7:12" x14ac:dyDescent="0.25"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7:12" x14ac:dyDescent="0.25"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7:12" x14ac:dyDescent="0.25"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7:12" x14ac:dyDescent="0.25"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7:12" x14ac:dyDescent="0.25"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7:12" x14ac:dyDescent="0.25"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7:12" x14ac:dyDescent="0.25"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7:12" x14ac:dyDescent="0.25"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7:12" x14ac:dyDescent="0.25"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7:12" x14ac:dyDescent="0.25"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7:12" x14ac:dyDescent="0.25"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7:12" x14ac:dyDescent="0.25"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7:12" x14ac:dyDescent="0.25"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7:12" x14ac:dyDescent="0.25"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7:12" x14ac:dyDescent="0.25"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7:12" x14ac:dyDescent="0.25"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7:12" x14ac:dyDescent="0.25"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7:12" x14ac:dyDescent="0.25"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7:12" x14ac:dyDescent="0.25"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7:12" x14ac:dyDescent="0.25"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7:12" x14ac:dyDescent="0.25"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7:12" x14ac:dyDescent="0.25"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7:12" x14ac:dyDescent="0.25"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7:12" x14ac:dyDescent="0.25"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7:12" x14ac:dyDescent="0.25"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7:12" x14ac:dyDescent="0.25"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7:12" x14ac:dyDescent="0.25"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7:12" x14ac:dyDescent="0.25"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7:12" x14ac:dyDescent="0.25"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7:12" x14ac:dyDescent="0.25"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7:12" x14ac:dyDescent="0.25"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7:12" x14ac:dyDescent="0.25"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7:12" x14ac:dyDescent="0.25"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7:12" x14ac:dyDescent="0.25"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7:12" x14ac:dyDescent="0.25"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7:12" x14ac:dyDescent="0.25"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7:12" x14ac:dyDescent="0.25"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7:12" x14ac:dyDescent="0.25"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7:12" x14ac:dyDescent="0.25"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7:12" x14ac:dyDescent="0.25"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7:12" x14ac:dyDescent="0.25"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7:12" x14ac:dyDescent="0.25"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7:12" x14ac:dyDescent="0.25"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7:12" x14ac:dyDescent="0.25"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7:12" x14ac:dyDescent="0.25"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7:12" x14ac:dyDescent="0.25"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7:12" x14ac:dyDescent="0.25">
      <c r="G308" s="621">
        <v>5</v>
      </c>
      <c r="H308" s="51">
        <v>3</v>
      </c>
      <c r="I308" s="622">
        <v>4</v>
      </c>
      <c r="K308" s="318">
        <v>3</v>
      </c>
      <c r="L308" s="202">
        <v>4</v>
      </c>
    </row>
    <row r="309" spans="7:12" x14ac:dyDescent="0.25">
      <c r="G309" s="621">
        <v>5</v>
      </c>
      <c r="H309" s="51">
        <v>2</v>
      </c>
      <c r="I309" s="622">
        <v>5</v>
      </c>
      <c r="K309" s="318">
        <v>4</v>
      </c>
      <c r="L309" s="202">
        <v>4</v>
      </c>
    </row>
    <row r="310" spans="7:12" x14ac:dyDescent="0.25">
      <c r="G310" s="621">
        <v>5</v>
      </c>
      <c r="H310" s="51">
        <v>3</v>
      </c>
      <c r="I310" s="622">
        <v>4</v>
      </c>
      <c r="K310" s="318">
        <v>2</v>
      </c>
      <c r="L310" s="202">
        <v>3</v>
      </c>
    </row>
    <row r="311" spans="7:12" x14ac:dyDescent="0.25">
      <c r="G311" s="621">
        <v>5</v>
      </c>
      <c r="H311" s="51">
        <v>3</v>
      </c>
      <c r="I311" s="622">
        <v>3</v>
      </c>
      <c r="K311" s="318">
        <v>3</v>
      </c>
      <c r="L311" s="202">
        <v>3</v>
      </c>
    </row>
    <row r="312" spans="7:12" x14ac:dyDescent="0.25">
      <c r="G312" s="621">
        <v>5</v>
      </c>
      <c r="H312" s="51">
        <v>2</v>
      </c>
      <c r="I312" s="622">
        <v>3</v>
      </c>
      <c r="K312" s="318">
        <v>3</v>
      </c>
      <c r="L312" s="202">
        <v>4</v>
      </c>
    </row>
    <row r="313" spans="7:12" x14ac:dyDescent="0.25">
      <c r="G313" s="621">
        <v>5</v>
      </c>
      <c r="H313" s="51">
        <v>3</v>
      </c>
      <c r="I313" s="622">
        <v>4</v>
      </c>
      <c r="K313" s="318">
        <v>2</v>
      </c>
      <c r="L313" s="202">
        <v>4</v>
      </c>
    </row>
    <row r="314" spans="7:12" x14ac:dyDescent="0.25">
      <c r="G314" s="621">
        <v>5</v>
      </c>
      <c r="H314" s="51">
        <v>2</v>
      </c>
      <c r="I314" s="622">
        <v>3</v>
      </c>
      <c r="K314" s="318">
        <v>2</v>
      </c>
      <c r="L314" s="202">
        <v>3</v>
      </c>
    </row>
    <row r="315" spans="7:12" x14ac:dyDescent="0.25">
      <c r="G315" s="621">
        <v>5</v>
      </c>
      <c r="H315" s="51">
        <v>4</v>
      </c>
      <c r="I315" s="622">
        <v>4</v>
      </c>
      <c r="K315" s="318">
        <v>2</v>
      </c>
      <c r="L315" s="202">
        <v>3</v>
      </c>
    </row>
    <row r="316" spans="7:12" x14ac:dyDescent="0.25">
      <c r="G316" s="621">
        <v>5</v>
      </c>
      <c r="H316" s="51">
        <v>4</v>
      </c>
      <c r="I316" s="622">
        <v>3</v>
      </c>
      <c r="K316" s="318">
        <v>2</v>
      </c>
      <c r="L316" s="202">
        <v>3</v>
      </c>
    </row>
    <row r="317" spans="7:12" x14ac:dyDescent="0.25">
      <c r="G317" s="621">
        <v>5</v>
      </c>
      <c r="H317" s="51">
        <v>4</v>
      </c>
      <c r="I317" s="622">
        <v>3</v>
      </c>
      <c r="K317" s="318">
        <v>2</v>
      </c>
      <c r="L317" s="202">
        <v>3</v>
      </c>
    </row>
    <row r="318" spans="7:12" x14ac:dyDescent="0.25">
      <c r="G318" s="621">
        <v>5</v>
      </c>
      <c r="H318" s="51">
        <v>2</v>
      </c>
      <c r="I318" s="622">
        <v>3</v>
      </c>
      <c r="K318" s="318">
        <v>3</v>
      </c>
      <c r="L318" s="202">
        <v>4</v>
      </c>
    </row>
    <row r="319" spans="7:12" x14ac:dyDescent="0.25">
      <c r="G319" s="621">
        <v>5</v>
      </c>
      <c r="H319" s="51">
        <v>2</v>
      </c>
      <c r="I319" s="622">
        <v>3</v>
      </c>
      <c r="K319" s="318">
        <v>3</v>
      </c>
      <c r="L319" s="202">
        <v>3</v>
      </c>
    </row>
    <row r="320" spans="7:12" x14ac:dyDescent="0.25">
      <c r="G320" s="621">
        <v>5</v>
      </c>
      <c r="H320" s="51">
        <v>2</v>
      </c>
      <c r="I320" s="622">
        <v>3</v>
      </c>
      <c r="K320" s="318">
        <v>2</v>
      </c>
      <c r="L320" s="202">
        <v>5</v>
      </c>
    </row>
    <row r="321" spans="7:12" x14ac:dyDescent="0.25">
      <c r="G321" s="621">
        <v>6</v>
      </c>
      <c r="H321" s="51">
        <v>3</v>
      </c>
      <c r="I321" s="622">
        <v>3</v>
      </c>
      <c r="K321" s="318">
        <v>3</v>
      </c>
      <c r="L321" s="202">
        <v>3</v>
      </c>
    </row>
    <row r="322" spans="7:12" x14ac:dyDescent="0.25">
      <c r="G322" s="621">
        <v>5</v>
      </c>
      <c r="H322" s="51">
        <v>3</v>
      </c>
      <c r="I322" s="622">
        <v>3</v>
      </c>
      <c r="K322" s="318">
        <v>2</v>
      </c>
      <c r="L322" s="202">
        <v>4</v>
      </c>
    </row>
    <row r="323" spans="7:12" x14ac:dyDescent="0.25">
      <c r="G323" s="621">
        <v>5</v>
      </c>
      <c r="H323" s="51">
        <v>2</v>
      </c>
      <c r="I323" s="622">
        <v>5</v>
      </c>
      <c r="K323" s="318">
        <v>3</v>
      </c>
      <c r="L323" s="202">
        <v>3</v>
      </c>
    </row>
    <row r="324" spans="7:12" x14ac:dyDescent="0.25">
      <c r="G324" s="621">
        <v>5</v>
      </c>
      <c r="H324" s="51">
        <v>3</v>
      </c>
      <c r="I324" s="622">
        <v>3</v>
      </c>
      <c r="K324" s="318">
        <v>4</v>
      </c>
      <c r="L324" s="202">
        <v>3</v>
      </c>
    </row>
    <row r="325" spans="7:12" x14ac:dyDescent="0.25">
      <c r="G325" s="621">
        <v>5</v>
      </c>
      <c r="H325" s="51">
        <v>3</v>
      </c>
      <c r="I325" s="622">
        <v>4</v>
      </c>
      <c r="K325" s="318">
        <v>3</v>
      </c>
      <c r="L325" s="202">
        <v>3</v>
      </c>
    </row>
    <row r="326" spans="7:12" x14ac:dyDescent="0.25">
      <c r="G326" s="621">
        <v>5</v>
      </c>
      <c r="H326" s="51">
        <v>2</v>
      </c>
      <c r="I326" s="622">
        <v>3</v>
      </c>
      <c r="K326" s="318">
        <v>2</v>
      </c>
      <c r="L326" s="202">
        <v>3</v>
      </c>
    </row>
    <row r="327" spans="7:12" x14ac:dyDescent="0.25">
      <c r="G327" s="621">
        <v>5</v>
      </c>
      <c r="H327" s="51">
        <v>2</v>
      </c>
      <c r="I327" s="622">
        <v>3</v>
      </c>
      <c r="K327" s="318">
        <v>4</v>
      </c>
      <c r="L327" s="202">
        <v>4</v>
      </c>
    </row>
    <row r="328" spans="7:12" x14ac:dyDescent="0.25">
      <c r="G328" s="621">
        <v>5</v>
      </c>
      <c r="H328" s="51">
        <v>3</v>
      </c>
      <c r="I328" s="622">
        <v>4</v>
      </c>
      <c r="K328" s="318">
        <v>3</v>
      </c>
      <c r="L328" s="202">
        <v>3</v>
      </c>
    </row>
    <row r="329" spans="7:12" x14ac:dyDescent="0.25">
      <c r="G329" s="621">
        <v>5</v>
      </c>
      <c r="H329" s="51">
        <v>3</v>
      </c>
      <c r="I329" s="622">
        <v>3</v>
      </c>
      <c r="K329" s="318">
        <v>4</v>
      </c>
      <c r="L329" s="202">
        <v>3</v>
      </c>
    </row>
    <row r="330" spans="7:12" x14ac:dyDescent="0.25">
      <c r="G330" s="621">
        <v>5</v>
      </c>
      <c r="H330" s="51">
        <v>2</v>
      </c>
      <c r="I330" s="622">
        <v>3</v>
      </c>
      <c r="K330" s="318">
        <v>2</v>
      </c>
      <c r="L330" s="202">
        <v>4</v>
      </c>
    </row>
    <row r="331" spans="7:12" x14ac:dyDescent="0.25">
      <c r="G331" s="621">
        <v>5</v>
      </c>
      <c r="H331" s="51">
        <v>2</v>
      </c>
      <c r="I331" s="622">
        <v>3</v>
      </c>
      <c r="K331" s="318">
        <v>4</v>
      </c>
      <c r="L331" s="202">
        <v>3</v>
      </c>
    </row>
    <row r="332" spans="7:12" x14ac:dyDescent="0.25">
      <c r="G332" s="621">
        <v>5</v>
      </c>
      <c r="H332" s="51">
        <v>2</v>
      </c>
      <c r="I332" s="622">
        <v>3</v>
      </c>
      <c r="K332" s="318">
        <v>2</v>
      </c>
      <c r="L332" s="202">
        <v>3</v>
      </c>
    </row>
    <row r="333" spans="7:12" x14ac:dyDescent="0.25">
      <c r="G333" s="621">
        <v>5</v>
      </c>
      <c r="H333" s="51">
        <v>2</v>
      </c>
      <c r="I333" s="622">
        <v>3</v>
      </c>
      <c r="K333" s="318">
        <v>4</v>
      </c>
      <c r="L333" s="202">
        <v>3</v>
      </c>
    </row>
    <row r="334" spans="7:12" x14ac:dyDescent="0.25">
      <c r="G334" s="621">
        <v>5</v>
      </c>
      <c r="H334" s="51">
        <v>2</v>
      </c>
      <c r="I334" s="622">
        <v>3</v>
      </c>
      <c r="K334" s="318">
        <v>2</v>
      </c>
      <c r="L334" s="202">
        <v>3</v>
      </c>
    </row>
    <row r="335" spans="7:12" x14ac:dyDescent="0.25">
      <c r="G335" s="621">
        <v>5</v>
      </c>
      <c r="H335" s="51">
        <v>2</v>
      </c>
      <c r="I335" s="622">
        <v>3</v>
      </c>
      <c r="K335" s="318">
        <v>2</v>
      </c>
      <c r="L335" s="202">
        <v>3</v>
      </c>
    </row>
    <row r="336" spans="7:12" x14ac:dyDescent="0.25">
      <c r="G336" s="621">
        <v>5</v>
      </c>
      <c r="H336" s="51">
        <v>3</v>
      </c>
      <c r="I336" s="622">
        <v>3</v>
      </c>
      <c r="K336" s="318">
        <v>3</v>
      </c>
      <c r="L336" s="202">
        <v>5</v>
      </c>
    </row>
    <row r="337" spans="7:12" x14ac:dyDescent="0.25">
      <c r="G337" s="621">
        <v>5</v>
      </c>
      <c r="H337" s="51">
        <v>3</v>
      </c>
      <c r="I337" s="622">
        <v>3</v>
      </c>
      <c r="K337" s="318">
        <v>3</v>
      </c>
      <c r="L337" s="202">
        <v>4</v>
      </c>
    </row>
    <row r="338" spans="7:12" x14ac:dyDescent="0.25">
      <c r="G338" s="621">
        <v>5</v>
      </c>
      <c r="H338" s="51">
        <v>4</v>
      </c>
      <c r="I338" s="622">
        <v>3</v>
      </c>
      <c r="K338" s="318">
        <v>2</v>
      </c>
      <c r="L338" s="202">
        <v>5</v>
      </c>
    </row>
    <row r="339" spans="7:12" x14ac:dyDescent="0.25">
      <c r="G339" s="621">
        <v>5</v>
      </c>
      <c r="H339" s="51">
        <v>3</v>
      </c>
      <c r="I339" s="622">
        <v>4</v>
      </c>
      <c r="K339" s="318">
        <v>3</v>
      </c>
      <c r="L339" s="202">
        <v>5</v>
      </c>
    </row>
    <row r="340" spans="7:12" x14ac:dyDescent="0.25">
      <c r="G340" s="621">
        <v>5</v>
      </c>
      <c r="H340" s="51">
        <v>2</v>
      </c>
      <c r="I340" s="622">
        <v>4</v>
      </c>
      <c r="K340" s="318">
        <v>2</v>
      </c>
      <c r="L340" s="202">
        <v>4</v>
      </c>
    </row>
    <row r="341" spans="7:12" x14ac:dyDescent="0.25">
      <c r="G341" s="621">
        <v>5</v>
      </c>
      <c r="H341" s="51">
        <v>2</v>
      </c>
      <c r="I341" s="622">
        <v>3</v>
      </c>
      <c r="K341" s="318">
        <v>3</v>
      </c>
      <c r="L341" s="202">
        <v>3</v>
      </c>
    </row>
    <row r="342" spans="7:12" x14ac:dyDescent="0.25">
      <c r="G342" s="621">
        <v>5</v>
      </c>
      <c r="H342" s="51">
        <v>2</v>
      </c>
      <c r="I342" s="622">
        <v>3</v>
      </c>
      <c r="K342" s="318">
        <v>3</v>
      </c>
      <c r="L342" s="202">
        <v>4</v>
      </c>
    </row>
    <row r="343" spans="7:12" x14ac:dyDescent="0.25">
      <c r="G343" s="621">
        <v>5</v>
      </c>
      <c r="H343" s="51">
        <v>3</v>
      </c>
      <c r="I343" s="622">
        <v>3</v>
      </c>
      <c r="K343" s="318">
        <v>2</v>
      </c>
      <c r="L343" s="202">
        <v>4</v>
      </c>
    </row>
    <row r="344" spans="7:12" x14ac:dyDescent="0.25">
      <c r="G344" s="621">
        <v>5</v>
      </c>
      <c r="H344" s="51">
        <v>2</v>
      </c>
      <c r="I344" s="622">
        <v>3</v>
      </c>
      <c r="K344" s="318">
        <v>3</v>
      </c>
      <c r="L344" s="202">
        <v>4</v>
      </c>
    </row>
    <row r="345" spans="7:12" x14ac:dyDescent="0.25">
      <c r="G345" s="621">
        <v>5</v>
      </c>
      <c r="H345" s="51">
        <v>3</v>
      </c>
      <c r="I345" s="622">
        <v>3</v>
      </c>
      <c r="K345" s="318">
        <v>3</v>
      </c>
      <c r="L345" s="202">
        <v>3</v>
      </c>
    </row>
    <row r="346" spans="7:12" x14ac:dyDescent="0.25">
      <c r="G346" s="621">
        <v>6</v>
      </c>
      <c r="H346" s="51">
        <v>2</v>
      </c>
      <c r="I346" s="622">
        <v>4</v>
      </c>
      <c r="K346" s="318">
        <v>2</v>
      </c>
      <c r="L346" s="202">
        <v>5</v>
      </c>
    </row>
    <row r="347" spans="7:12" x14ac:dyDescent="0.25">
      <c r="G347" s="621">
        <v>5</v>
      </c>
      <c r="H347" s="51">
        <v>2</v>
      </c>
      <c r="I347" s="622">
        <v>3</v>
      </c>
      <c r="K347" s="318">
        <v>2</v>
      </c>
      <c r="L347" s="202">
        <v>3</v>
      </c>
    </row>
    <row r="348" spans="7:12" x14ac:dyDescent="0.25">
      <c r="G348" s="621">
        <v>5</v>
      </c>
      <c r="H348" s="51">
        <v>3</v>
      </c>
      <c r="I348" s="622">
        <v>3</v>
      </c>
      <c r="K348" s="318">
        <v>3</v>
      </c>
      <c r="L348" s="202">
        <v>3</v>
      </c>
    </row>
    <row r="349" spans="7:12" x14ac:dyDescent="0.25">
      <c r="G349" s="621">
        <v>5</v>
      </c>
      <c r="H349" s="51">
        <v>3</v>
      </c>
      <c r="I349" s="622">
        <v>3</v>
      </c>
      <c r="K349" s="318">
        <v>3</v>
      </c>
      <c r="L349" s="202">
        <v>4</v>
      </c>
    </row>
    <row r="350" spans="7:12" x14ac:dyDescent="0.25">
      <c r="G350" s="621">
        <v>5</v>
      </c>
      <c r="H350" s="51">
        <v>3</v>
      </c>
      <c r="I350" s="622">
        <v>3</v>
      </c>
      <c r="K350" s="318">
        <v>3</v>
      </c>
      <c r="L350" s="202">
        <v>5</v>
      </c>
    </row>
    <row r="351" spans="7:12" x14ac:dyDescent="0.25">
      <c r="G351" s="621">
        <v>5</v>
      </c>
      <c r="H351" s="51">
        <v>2</v>
      </c>
      <c r="I351" s="622">
        <v>3</v>
      </c>
      <c r="K351" s="318">
        <v>2</v>
      </c>
      <c r="L351" s="202">
        <v>3</v>
      </c>
    </row>
    <row r="352" spans="7:12" x14ac:dyDescent="0.25">
      <c r="G352" s="621">
        <v>5</v>
      </c>
      <c r="H352" s="51">
        <v>3</v>
      </c>
      <c r="I352" s="622">
        <v>3</v>
      </c>
      <c r="K352" s="318">
        <v>3</v>
      </c>
      <c r="L352" s="202">
        <v>5</v>
      </c>
    </row>
    <row r="353" spans="8:12" x14ac:dyDescent="0.25">
      <c r="H353" s="51">
        <v>3</v>
      </c>
      <c r="I353" s="622">
        <v>3</v>
      </c>
      <c r="K353" s="318">
        <v>2</v>
      </c>
      <c r="L353" s="202">
        <v>3</v>
      </c>
    </row>
    <row r="354" spans="8:12" x14ac:dyDescent="0.25">
      <c r="H354" s="51">
        <v>2</v>
      </c>
      <c r="I354" s="622">
        <v>4</v>
      </c>
      <c r="K354" s="318">
        <v>2</v>
      </c>
      <c r="L354" s="202">
        <v>3</v>
      </c>
    </row>
    <row r="355" spans="8:12" x14ac:dyDescent="0.25">
      <c r="H355" s="51">
        <v>2</v>
      </c>
      <c r="I355" s="622">
        <v>3</v>
      </c>
      <c r="K355" s="318">
        <v>3</v>
      </c>
      <c r="L355" s="202">
        <v>3</v>
      </c>
    </row>
    <row r="356" spans="8:12" x14ac:dyDescent="0.25">
      <c r="H356" s="51">
        <v>3</v>
      </c>
      <c r="I356" s="622">
        <v>3</v>
      </c>
      <c r="K356" s="318">
        <v>3</v>
      </c>
      <c r="L356" s="202">
        <v>3</v>
      </c>
    </row>
    <row r="357" spans="8:12" x14ac:dyDescent="0.25">
      <c r="H357" s="51">
        <v>2</v>
      </c>
      <c r="I357" s="622">
        <v>3</v>
      </c>
      <c r="K357" s="318">
        <v>2</v>
      </c>
      <c r="L357" s="202">
        <v>3</v>
      </c>
    </row>
    <row r="358" spans="8:12" x14ac:dyDescent="0.25">
      <c r="H358" s="51">
        <v>3</v>
      </c>
      <c r="I358" s="622">
        <v>3</v>
      </c>
      <c r="K358" s="318">
        <v>2</v>
      </c>
      <c r="L358" s="202">
        <v>3</v>
      </c>
    </row>
    <row r="359" spans="8:12" x14ac:dyDescent="0.25">
      <c r="H359" s="51">
        <v>2</v>
      </c>
      <c r="I359" s="622">
        <v>4</v>
      </c>
      <c r="K359" s="318">
        <v>3</v>
      </c>
      <c r="L359" s="202">
        <v>3</v>
      </c>
    </row>
    <row r="360" spans="8:12" x14ac:dyDescent="0.25">
      <c r="H360" s="51">
        <v>3</v>
      </c>
      <c r="I360" s="622">
        <v>3</v>
      </c>
      <c r="K360" s="318">
        <v>4</v>
      </c>
      <c r="L360" s="202">
        <v>3</v>
      </c>
    </row>
    <row r="361" spans="8:12" x14ac:dyDescent="0.25">
      <c r="H361" s="51">
        <v>2</v>
      </c>
      <c r="I361" s="622">
        <v>4</v>
      </c>
      <c r="K361" s="318">
        <v>3</v>
      </c>
      <c r="L361" s="202">
        <v>3</v>
      </c>
    </row>
    <row r="362" spans="8:12" x14ac:dyDescent="0.25">
      <c r="H362" s="51">
        <v>2</v>
      </c>
      <c r="I362" s="622">
        <v>3</v>
      </c>
      <c r="K362" s="318">
        <v>3</v>
      </c>
      <c r="L362" s="202">
        <v>3</v>
      </c>
    </row>
    <row r="363" spans="8:12" x14ac:dyDescent="0.25">
      <c r="H363" s="51">
        <v>2</v>
      </c>
      <c r="I363" s="622">
        <v>3</v>
      </c>
      <c r="K363" s="318">
        <v>2</v>
      </c>
      <c r="L363" s="202">
        <v>3</v>
      </c>
    </row>
    <row r="364" spans="8:12" x14ac:dyDescent="0.25">
      <c r="H364" s="51">
        <v>3</v>
      </c>
      <c r="I364" s="622">
        <v>3</v>
      </c>
      <c r="K364" s="318">
        <v>2</v>
      </c>
      <c r="L364" s="202">
        <v>4</v>
      </c>
    </row>
    <row r="365" spans="8:12" x14ac:dyDescent="0.25">
      <c r="H365" s="51">
        <v>4</v>
      </c>
      <c r="I365" s="622">
        <v>3</v>
      </c>
      <c r="K365" s="318">
        <v>3</v>
      </c>
      <c r="L365" s="202">
        <v>3</v>
      </c>
    </row>
    <row r="366" spans="8:12" x14ac:dyDescent="0.25">
      <c r="H366" s="51">
        <v>4</v>
      </c>
      <c r="I366" s="622">
        <v>4</v>
      </c>
      <c r="K366" s="318">
        <v>3</v>
      </c>
      <c r="L366" s="202">
        <v>3</v>
      </c>
    </row>
    <row r="367" spans="8:12" x14ac:dyDescent="0.25">
      <c r="H367" s="51">
        <v>3</v>
      </c>
      <c r="I367" s="622">
        <v>4</v>
      </c>
      <c r="K367" s="318">
        <v>2</v>
      </c>
      <c r="L367" s="202">
        <v>3</v>
      </c>
    </row>
    <row r="368" spans="8:12" x14ac:dyDescent="0.25"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  <c r="K598" s="318">
        <v>3</v>
      </c>
      <c r="L598" s="202">
        <v>3</v>
      </c>
    </row>
    <row r="599" spans="8:12" x14ac:dyDescent="0.25">
      <c r="H599" s="51">
        <v>4</v>
      </c>
      <c r="I599" s="622">
        <v>3</v>
      </c>
      <c r="K599" s="318">
        <v>3</v>
      </c>
      <c r="L599" s="202">
        <v>3</v>
      </c>
    </row>
    <row r="600" spans="8:12" x14ac:dyDescent="0.25">
      <c r="H600" s="51">
        <v>3</v>
      </c>
      <c r="I600" s="622">
        <v>3</v>
      </c>
      <c r="K600" s="318">
        <v>4</v>
      </c>
      <c r="L600" s="202">
        <v>3</v>
      </c>
    </row>
    <row r="601" spans="8:12" x14ac:dyDescent="0.25">
      <c r="H601" s="51">
        <v>2</v>
      </c>
      <c r="I601" s="622">
        <v>4</v>
      </c>
      <c r="K601" s="318">
        <v>3</v>
      </c>
      <c r="L601" s="202">
        <v>5</v>
      </c>
    </row>
    <row r="602" spans="8:12" x14ac:dyDescent="0.25">
      <c r="H602" s="51">
        <v>2</v>
      </c>
      <c r="I602" s="622">
        <v>3</v>
      </c>
      <c r="K602" s="318">
        <v>3</v>
      </c>
      <c r="L602" s="202">
        <v>3</v>
      </c>
    </row>
    <row r="603" spans="8:12" x14ac:dyDescent="0.25">
      <c r="H603" s="51">
        <v>2</v>
      </c>
      <c r="I603" s="622">
        <v>5</v>
      </c>
      <c r="K603" s="318">
        <v>2</v>
      </c>
      <c r="L603" s="202">
        <v>3</v>
      </c>
    </row>
    <row r="604" spans="8:12" x14ac:dyDescent="0.25">
      <c r="H604" s="51">
        <v>2</v>
      </c>
      <c r="I604" s="622">
        <v>3</v>
      </c>
      <c r="K604" s="318">
        <v>3</v>
      </c>
      <c r="L604" s="202">
        <v>3</v>
      </c>
    </row>
    <row r="605" spans="8:12" x14ac:dyDescent="0.25">
      <c r="H605" s="51">
        <v>3</v>
      </c>
      <c r="I605" s="622">
        <v>3</v>
      </c>
      <c r="K605" s="318">
        <v>3</v>
      </c>
      <c r="L605" s="202">
        <v>3</v>
      </c>
    </row>
    <row r="606" spans="8:12" x14ac:dyDescent="0.25">
      <c r="H606" s="51">
        <v>4</v>
      </c>
      <c r="I606" s="622">
        <v>4</v>
      </c>
      <c r="K606" s="318">
        <v>3</v>
      </c>
      <c r="L606" s="202">
        <v>3</v>
      </c>
    </row>
    <row r="607" spans="8:12" x14ac:dyDescent="0.25">
      <c r="H607" s="51">
        <v>2</v>
      </c>
      <c r="I607" s="622">
        <v>4</v>
      </c>
      <c r="K607" s="318">
        <v>2</v>
      </c>
      <c r="L607" s="202">
        <v>4</v>
      </c>
    </row>
    <row r="608" spans="8:12" x14ac:dyDescent="0.25">
      <c r="H608" s="51">
        <v>4</v>
      </c>
      <c r="I608" s="622">
        <v>4</v>
      </c>
      <c r="K608" s="318">
        <v>3</v>
      </c>
      <c r="L608" s="202">
        <v>3</v>
      </c>
    </row>
    <row r="609" spans="8:12" x14ac:dyDescent="0.25">
      <c r="H609" s="51">
        <v>2</v>
      </c>
      <c r="I609" s="622">
        <v>3</v>
      </c>
      <c r="K609" s="318">
        <v>2</v>
      </c>
      <c r="L609" s="202">
        <v>3</v>
      </c>
    </row>
    <row r="610" spans="8:12" x14ac:dyDescent="0.25">
      <c r="H610" s="51">
        <v>2</v>
      </c>
      <c r="I610" s="622">
        <v>4</v>
      </c>
      <c r="K610" s="318">
        <v>3</v>
      </c>
      <c r="L610" s="202">
        <v>4</v>
      </c>
    </row>
    <row r="611" spans="8:12" x14ac:dyDescent="0.25">
      <c r="H611" s="51">
        <v>2</v>
      </c>
      <c r="I611" s="622">
        <v>4</v>
      </c>
      <c r="K611" s="318">
        <v>2</v>
      </c>
      <c r="L611" s="202">
        <v>3</v>
      </c>
    </row>
    <row r="612" spans="8:12" x14ac:dyDescent="0.25">
      <c r="H612" s="51">
        <v>3</v>
      </c>
      <c r="I612" s="622">
        <v>4</v>
      </c>
      <c r="K612" s="318">
        <v>2</v>
      </c>
      <c r="L612" s="202">
        <v>4</v>
      </c>
    </row>
    <row r="613" spans="8:12" x14ac:dyDescent="0.25">
      <c r="H613" s="51">
        <v>3</v>
      </c>
      <c r="I613" s="622">
        <v>3</v>
      </c>
      <c r="K613" s="318">
        <v>2</v>
      </c>
      <c r="L613" s="202">
        <v>3</v>
      </c>
    </row>
    <row r="614" spans="8:12" x14ac:dyDescent="0.25">
      <c r="H614" s="51">
        <v>3</v>
      </c>
      <c r="I614" s="622">
        <v>4</v>
      </c>
      <c r="K614" s="318">
        <v>2</v>
      </c>
      <c r="L614" s="202">
        <v>3</v>
      </c>
    </row>
    <row r="615" spans="8:12" x14ac:dyDescent="0.25">
      <c r="H615" s="51">
        <v>2</v>
      </c>
      <c r="I615" s="622">
        <v>3</v>
      </c>
      <c r="K615" s="318">
        <v>3</v>
      </c>
      <c r="L615" s="202">
        <v>4</v>
      </c>
    </row>
    <row r="616" spans="8:12" x14ac:dyDescent="0.25">
      <c r="H616" s="51">
        <v>4</v>
      </c>
      <c r="I616" s="622">
        <v>3</v>
      </c>
      <c r="K616" s="318">
        <v>2</v>
      </c>
      <c r="L616" s="202">
        <v>4</v>
      </c>
    </row>
    <row r="617" spans="8:12" x14ac:dyDescent="0.25">
      <c r="H617" s="51">
        <v>2</v>
      </c>
      <c r="I617" s="622">
        <v>3</v>
      </c>
      <c r="K617" s="318">
        <v>2</v>
      </c>
      <c r="L617" s="202">
        <v>3</v>
      </c>
    </row>
    <row r="618" spans="8:12" x14ac:dyDescent="0.25">
      <c r="H618" s="51">
        <v>2</v>
      </c>
      <c r="I618" s="622">
        <v>4</v>
      </c>
      <c r="K618" s="318">
        <v>4</v>
      </c>
      <c r="L618" s="202">
        <v>4</v>
      </c>
    </row>
    <row r="619" spans="8:12" x14ac:dyDescent="0.25">
      <c r="H619" s="51">
        <v>2</v>
      </c>
      <c r="I619" s="622">
        <v>3</v>
      </c>
      <c r="K619" s="318">
        <v>3</v>
      </c>
      <c r="L619" s="202">
        <v>4</v>
      </c>
    </row>
    <row r="620" spans="8:12" x14ac:dyDescent="0.25">
      <c r="H620" s="51">
        <v>2</v>
      </c>
      <c r="I620" s="622">
        <v>4</v>
      </c>
      <c r="K620" s="318">
        <v>2</v>
      </c>
      <c r="L620" s="202">
        <v>3</v>
      </c>
    </row>
    <row r="621" spans="8:12" x14ac:dyDescent="0.25">
      <c r="H621" s="51">
        <v>2</v>
      </c>
      <c r="I621" s="622">
        <v>3</v>
      </c>
      <c r="K621" s="318">
        <v>2</v>
      </c>
      <c r="L621" s="202">
        <v>4</v>
      </c>
    </row>
    <row r="622" spans="8:12" x14ac:dyDescent="0.25">
      <c r="H622" s="51">
        <v>2</v>
      </c>
      <c r="I622" s="622">
        <v>3</v>
      </c>
      <c r="K622" s="318">
        <v>2</v>
      </c>
      <c r="L622" s="202">
        <v>3</v>
      </c>
    </row>
    <row r="623" spans="8:12" x14ac:dyDescent="0.25">
      <c r="H623" s="51">
        <v>3</v>
      </c>
      <c r="I623" s="622">
        <v>3</v>
      </c>
      <c r="K623" s="318">
        <v>2</v>
      </c>
      <c r="L623" s="202">
        <v>4</v>
      </c>
    </row>
    <row r="624" spans="8:12" x14ac:dyDescent="0.25">
      <c r="H624" s="51">
        <v>2</v>
      </c>
      <c r="I624" s="622">
        <v>3</v>
      </c>
      <c r="K624" s="318">
        <v>3</v>
      </c>
      <c r="L624" s="202">
        <v>3</v>
      </c>
    </row>
    <row r="625" spans="8:12" x14ac:dyDescent="0.25">
      <c r="H625" s="51">
        <v>3</v>
      </c>
      <c r="I625" s="622">
        <v>3</v>
      </c>
      <c r="K625" s="318">
        <v>3</v>
      </c>
      <c r="L625" s="202">
        <v>3</v>
      </c>
    </row>
    <row r="626" spans="8:12" x14ac:dyDescent="0.25">
      <c r="H626" s="51">
        <v>3</v>
      </c>
      <c r="I626" s="622">
        <v>3</v>
      </c>
      <c r="K626" s="318">
        <v>2</v>
      </c>
      <c r="L626" s="202">
        <v>3</v>
      </c>
    </row>
    <row r="627" spans="8:12" x14ac:dyDescent="0.25">
      <c r="H627" s="51">
        <v>2</v>
      </c>
      <c r="I627" s="622">
        <v>3</v>
      </c>
      <c r="K627" s="318">
        <v>4</v>
      </c>
      <c r="L627" s="202">
        <v>3</v>
      </c>
    </row>
    <row r="628" spans="8:12" x14ac:dyDescent="0.25">
      <c r="H628" s="51">
        <v>4</v>
      </c>
      <c r="I628" s="622">
        <v>3</v>
      </c>
      <c r="K628" s="318">
        <v>3</v>
      </c>
      <c r="L628" s="202">
        <v>3</v>
      </c>
    </row>
    <row r="629" spans="8:12" x14ac:dyDescent="0.25">
      <c r="H629" s="51">
        <v>3</v>
      </c>
      <c r="I629" s="622">
        <v>4</v>
      </c>
      <c r="K629" s="318">
        <v>3</v>
      </c>
      <c r="L629" s="202">
        <v>4</v>
      </c>
    </row>
    <row r="630" spans="8:12" x14ac:dyDescent="0.25">
      <c r="H630" s="51">
        <v>3</v>
      </c>
      <c r="I630" s="622">
        <v>3</v>
      </c>
      <c r="K630" s="318">
        <v>3</v>
      </c>
      <c r="L630" s="202">
        <v>3</v>
      </c>
    </row>
    <row r="631" spans="8:12" x14ac:dyDescent="0.25">
      <c r="H631" s="51">
        <v>2</v>
      </c>
      <c r="I631" s="622">
        <v>3</v>
      </c>
      <c r="K631" s="318">
        <v>3</v>
      </c>
      <c r="L631" s="202">
        <v>4</v>
      </c>
    </row>
    <row r="632" spans="8:12" x14ac:dyDescent="0.25">
      <c r="H632" s="51">
        <v>4</v>
      </c>
      <c r="I632" s="622">
        <v>3</v>
      </c>
      <c r="K632" s="318">
        <v>4</v>
      </c>
      <c r="L632" s="202">
        <v>4</v>
      </c>
    </row>
    <row r="633" spans="8:12" x14ac:dyDescent="0.25">
      <c r="H633" s="51">
        <v>2</v>
      </c>
      <c r="I633" s="622">
        <v>4</v>
      </c>
      <c r="K633" s="318">
        <v>3</v>
      </c>
      <c r="L633" s="202">
        <v>3</v>
      </c>
    </row>
    <row r="634" spans="8:12" x14ac:dyDescent="0.25">
      <c r="H634" s="51">
        <v>3</v>
      </c>
      <c r="I634" s="622">
        <v>3</v>
      </c>
      <c r="K634" s="318">
        <v>2</v>
      </c>
      <c r="L634" s="202">
        <v>3</v>
      </c>
    </row>
    <row r="635" spans="8:12" x14ac:dyDescent="0.25">
      <c r="H635" s="51">
        <v>3</v>
      </c>
      <c r="I635" s="622">
        <v>4</v>
      </c>
      <c r="K635" s="318">
        <v>3</v>
      </c>
      <c r="L635" s="202">
        <v>3</v>
      </c>
    </row>
    <row r="636" spans="8:12" x14ac:dyDescent="0.25">
      <c r="H636" s="51">
        <v>2</v>
      </c>
      <c r="I636" s="622">
        <v>4</v>
      </c>
      <c r="K636" s="318">
        <v>3</v>
      </c>
      <c r="L636" s="202">
        <v>3</v>
      </c>
    </row>
    <row r="637" spans="8:12" x14ac:dyDescent="0.25">
      <c r="H637" s="51">
        <v>3</v>
      </c>
      <c r="I637" s="622">
        <v>4</v>
      </c>
      <c r="K637" s="318">
        <v>2</v>
      </c>
      <c r="L637" s="202">
        <v>4</v>
      </c>
    </row>
    <row r="638" spans="8:12" x14ac:dyDescent="0.25">
      <c r="H638" s="51">
        <v>3</v>
      </c>
      <c r="I638" s="622">
        <v>3</v>
      </c>
      <c r="K638" s="318">
        <v>3</v>
      </c>
      <c r="L638" s="202">
        <v>4</v>
      </c>
    </row>
    <row r="639" spans="8:12" x14ac:dyDescent="0.25">
      <c r="H639" s="51">
        <v>3</v>
      </c>
      <c r="I639" s="622">
        <v>5</v>
      </c>
      <c r="K639" s="318">
        <v>4</v>
      </c>
      <c r="L639" s="202">
        <v>4</v>
      </c>
    </row>
    <row r="640" spans="8:12" x14ac:dyDescent="0.25">
      <c r="H640" s="51">
        <v>3</v>
      </c>
      <c r="I640" s="622">
        <v>3</v>
      </c>
      <c r="K640" s="318">
        <v>3</v>
      </c>
      <c r="L640" s="202">
        <v>3</v>
      </c>
    </row>
    <row r="641" spans="8:12" x14ac:dyDescent="0.25">
      <c r="H641" s="51">
        <v>2</v>
      </c>
      <c r="I641" s="622">
        <v>4</v>
      </c>
      <c r="K641" s="318">
        <v>2</v>
      </c>
      <c r="L641" s="202">
        <v>4</v>
      </c>
    </row>
    <row r="642" spans="8:12" x14ac:dyDescent="0.25">
      <c r="H642" s="51">
        <v>1</v>
      </c>
      <c r="I642" s="622">
        <v>3</v>
      </c>
      <c r="K642" s="318">
        <v>3</v>
      </c>
      <c r="L642" s="202">
        <v>5</v>
      </c>
    </row>
    <row r="643" spans="8:12" x14ac:dyDescent="0.25">
      <c r="H643" s="51">
        <v>2</v>
      </c>
      <c r="I643" s="622">
        <v>3</v>
      </c>
      <c r="K643" s="318">
        <v>3</v>
      </c>
      <c r="L643" s="202">
        <v>3</v>
      </c>
    </row>
    <row r="644" spans="8:12" x14ac:dyDescent="0.25">
      <c r="H644" s="51">
        <v>3</v>
      </c>
      <c r="I644" s="622">
        <v>3</v>
      </c>
      <c r="K644" s="318">
        <v>2</v>
      </c>
      <c r="L644" s="202">
        <v>4</v>
      </c>
    </row>
    <row r="645" spans="8:12" x14ac:dyDescent="0.25">
      <c r="H645" s="51">
        <v>2</v>
      </c>
      <c r="I645" s="622">
        <v>3</v>
      </c>
      <c r="K645" s="318">
        <v>3</v>
      </c>
      <c r="L645" s="202">
        <v>3</v>
      </c>
    </row>
    <row r="646" spans="8:12" x14ac:dyDescent="0.25">
      <c r="H646" s="51">
        <v>3</v>
      </c>
      <c r="I646" s="622">
        <v>3</v>
      </c>
      <c r="K646" s="318">
        <v>2</v>
      </c>
      <c r="L646" s="202">
        <v>3</v>
      </c>
    </row>
    <row r="647" spans="8:12" x14ac:dyDescent="0.25">
      <c r="H647" s="51">
        <v>2</v>
      </c>
      <c r="I647" s="622">
        <v>5</v>
      </c>
      <c r="K647" s="318">
        <v>3</v>
      </c>
      <c r="L647" s="202">
        <v>3</v>
      </c>
    </row>
    <row r="648" spans="8:12" x14ac:dyDescent="0.25">
      <c r="H648" s="51">
        <v>2</v>
      </c>
      <c r="I648" s="622">
        <v>3</v>
      </c>
      <c r="K648" s="318">
        <v>3</v>
      </c>
      <c r="L648" s="202">
        <v>4</v>
      </c>
    </row>
    <row r="649" spans="8:12" x14ac:dyDescent="0.25">
      <c r="H649" s="51">
        <v>3</v>
      </c>
      <c r="I649" s="622">
        <v>3</v>
      </c>
      <c r="K649" s="318">
        <v>3</v>
      </c>
      <c r="L649" s="202">
        <v>4</v>
      </c>
    </row>
    <row r="650" spans="8:12" x14ac:dyDescent="0.25">
      <c r="H650" s="51">
        <v>4</v>
      </c>
      <c r="I650" s="622">
        <v>4</v>
      </c>
      <c r="K650" s="318">
        <v>4</v>
      </c>
      <c r="L650" s="202">
        <v>3</v>
      </c>
    </row>
    <row r="651" spans="8:12" x14ac:dyDescent="0.25">
      <c r="H651" s="51">
        <v>2</v>
      </c>
      <c r="I651" s="622">
        <v>3</v>
      </c>
      <c r="K651" s="318">
        <v>2</v>
      </c>
      <c r="L651" s="202">
        <v>3</v>
      </c>
    </row>
    <row r="652" spans="8:12" x14ac:dyDescent="0.25">
      <c r="H652" s="51">
        <v>3</v>
      </c>
      <c r="I652" s="622">
        <v>3</v>
      </c>
      <c r="K652" s="318">
        <v>2</v>
      </c>
      <c r="L652" s="202">
        <v>3</v>
      </c>
    </row>
    <row r="653" spans="8:12" x14ac:dyDescent="0.25">
      <c r="H653" s="51">
        <v>3</v>
      </c>
      <c r="I653" s="622">
        <v>3</v>
      </c>
      <c r="K653" s="318">
        <v>4</v>
      </c>
      <c r="L653" s="202">
        <v>3</v>
      </c>
    </row>
    <row r="654" spans="8:12" x14ac:dyDescent="0.25">
      <c r="H654" s="51">
        <v>2</v>
      </c>
      <c r="I654" s="622">
        <v>4</v>
      </c>
      <c r="K654" s="318">
        <v>3</v>
      </c>
      <c r="L654" s="202">
        <v>3</v>
      </c>
    </row>
    <row r="655" spans="8:12" x14ac:dyDescent="0.25">
      <c r="H655" s="51">
        <v>4</v>
      </c>
      <c r="I655" s="622">
        <v>3</v>
      </c>
      <c r="K655" s="318">
        <v>3</v>
      </c>
      <c r="L655" s="202">
        <v>3</v>
      </c>
    </row>
    <row r="656" spans="8:12" x14ac:dyDescent="0.25">
      <c r="H656" s="51">
        <v>3</v>
      </c>
      <c r="I656" s="622">
        <v>3</v>
      </c>
      <c r="K656" s="318">
        <v>2</v>
      </c>
      <c r="L656" s="202">
        <v>3</v>
      </c>
    </row>
    <row r="657" spans="8:12" x14ac:dyDescent="0.25">
      <c r="H657" s="51">
        <v>3</v>
      </c>
      <c r="I657" s="622">
        <v>3</v>
      </c>
      <c r="K657" s="318">
        <v>2</v>
      </c>
      <c r="L657" s="202">
        <v>3</v>
      </c>
    </row>
    <row r="658" spans="8:12" x14ac:dyDescent="0.25">
      <c r="H658" s="51">
        <v>2</v>
      </c>
      <c r="I658" s="622">
        <v>3</v>
      </c>
      <c r="K658" s="318">
        <v>2</v>
      </c>
      <c r="L658" s="202">
        <v>3</v>
      </c>
    </row>
    <row r="659" spans="8:12" x14ac:dyDescent="0.25">
      <c r="H659" s="51">
        <v>3</v>
      </c>
      <c r="I659" s="622">
        <v>3</v>
      </c>
      <c r="K659" s="318">
        <v>2</v>
      </c>
      <c r="L659" s="202">
        <v>5</v>
      </c>
    </row>
    <row r="660" spans="8:12" x14ac:dyDescent="0.25">
      <c r="H660" s="51">
        <v>4</v>
      </c>
      <c r="I660" s="622">
        <v>4</v>
      </c>
      <c r="K660" s="318">
        <v>3</v>
      </c>
      <c r="L660" s="202">
        <v>3</v>
      </c>
    </row>
    <row r="661" spans="8:12" x14ac:dyDescent="0.25">
      <c r="H661" s="51">
        <v>2</v>
      </c>
      <c r="I661" s="622">
        <v>3</v>
      </c>
      <c r="K661" s="318">
        <v>3</v>
      </c>
      <c r="L661" s="202">
        <v>4</v>
      </c>
    </row>
    <row r="662" spans="8:12" x14ac:dyDescent="0.25">
      <c r="H662" s="51">
        <v>2</v>
      </c>
      <c r="I662" s="622">
        <v>3</v>
      </c>
      <c r="K662" s="318">
        <v>2</v>
      </c>
      <c r="L662" s="202">
        <v>3</v>
      </c>
    </row>
    <row r="663" spans="8:12" x14ac:dyDescent="0.25">
      <c r="H663" s="51">
        <v>3</v>
      </c>
      <c r="I663" s="622">
        <v>3</v>
      </c>
      <c r="K663" s="318">
        <v>4</v>
      </c>
      <c r="L663" s="202">
        <v>3</v>
      </c>
    </row>
    <row r="664" spans="8:12" x14ac:dyDescent="0.25">
      <c r="H664" s="51">
        <v>3</v>
      </c>
      <c r="I664" s="622">
        <v>5</v>
      </c>
      <c r="K664" s="318">
        <v>2</v>
      </c>
      <c r="L664" s="202">
        <v>5</v>
      </c>
    </row>
    <row r="665" spans="8:12" x14ac:dyDescent="0.25">
      <c r="H665" s="51">
        <v>4</v>
      </c>
      <c r="I665" s="622">
        <v>3</v>
      </c>
      <c r="K665" s="318">
        <v>3</v>
      </c>
      <c r="L665" s="202">
        <v>3</v>
      </c>
    </row>
    <row r="666" spans="8:12" x14ac:dyDescent="0.25">
      <c r="H666" s="51">
        <v>2</v>
      </c>
      <c r="I666" s="622">
        <v>4</v>
      </c>
      <c r="K666" s="318">
        <v>2</v>
      </c>
      <c r="L666" s="202">
        <v>4</v>
      </c>
    </row>
    <row r="667" spans="8:12" x14ac:dyDescent="0.25">
      <c r="H667" s="51">
        <v>2</v>
      </c>
      <c r="I667" s="622">
        <v>5</v>
      </c>
      <c r="K667" s="318">
        <v>2</v>
      </c>
      <c r="L667" s="202">
        <v>4</v>
      </c>
    </row>
    <row r="668" spans="8:12" x14ac:dyDescent="0.25">
      <c r="H668" s="51">
        <v>2</v>
      </c>
      <c r="I668" s="622">
        <v>3</v>
      </c>
      <c r="K668" s="318">
        <v>3</v>
      </c>
      <c r="L668" s="202">
        <v>3</v>
      </c>
    </row>
    <row r="669" spans="8:12" x14ac:dyDescent="0.25">
      <c r="H669" s="51">
        <v>2</v>
      </c>
      <c r="I669" s="622">
        <v>4</v>
      </c>
      <c r="K669" s="318">
        <v>2</v>
      </c>
      <c r="L669" s="202">
        <v>3</v>
      </c>
    </row>
    <row r="670" spans="8:12" x14ac:dyDescent="0.25">
      <c r="H670" s="51">
        <v>2</v>
      </c>
      <c r="I670" s="622">
        <v>5</v>
      </c>
      <c r="K670" s="318">
        <v>3</v>
      </c>
      <c r="L670" s="202">
        <v>3</v>
      </c>
    </row>
    <row r="671" spans="8:12" x14ac:dyDescent="0.25">
      <c r="H671" s="51">
        <v>2</v>
      </c>
      <c r="I671" s="622">
        <v>4</v>
      </c>
      <c r="K671" s="318">
        <v>3</v>
      </c>
      <c r="L671" s="202">
        <v>4</v>
      </c>
    </row>
    <row r="672" spans="8:12" x14ac:dyDescent="0.25">
      <c r="H672" s="51">
        <v>2</v>
      </c>
      <c r="I672" s="622">
        <v>3</v>
      </c>
      <c r="K672" s="318">
        <v>2</v>
      </c>
      <c r="L672" s="202">
        <v>4</v>
      </c>
    </row>
    <row r="673" spans="8:12" x14ac:dyDescent="0.25">
      <c r="H673" s="51">
        <v>2</v>
      </c>
      <c r="I673" s="622">
        <v>3</v>
      </c>
      <c r="K673" s="318">
        <v>4</v>
      </c>
      <c r="L673" s="202">
        <v>3</v>
      </c>
    </row>
    <row r="674" spans="8:12" x14ac:dyDescent="0.25">
      <c r="H674" s="51">
        <v>3</v>
      </c>
      <c r="I674" s="622">
        <v>5</v>
      </c>
      <c r="K674" s="318">
        <v>2</v>
      </c>
      <c r="L674" s="202">
        <v>3</v>
      </c>
    </row>
    <row r="675" spans="8:12" x14ac:dyDescent="0.25">
      <c r="H675" s="51">
        <v>2</v>
      </c>
      <c r="I675" s="622">
        <v>4</v>
      </c>
      <c r="K675" s="318">
        <v>2</v>
      </c>
      <c r="L675" s="202">
        <v>3</v>
      </c>
    </row>
    <row r="676" spans="8:12" x14ac:dyDescent="0.25">
      <c r="H676" s="51">
        <v>4</v>
      </c>
      <c r="I676" s="622">
        <v>3</v>
      </c>
      <c r="K676" s="318">
        <v>2</v>
      </c>
      <c r="L676" s="202">
        <v>4</v>
      </c>
    </row>
    <row r="677" spans="8:12" x14ac:dyDescent="0.25">
      <c r="H677" s="51">
        <v>4</v>
      </c>
      <c r="I677" s="622">
        <v>3</v>
      </c>
      <c r="K677" s="318">
        <v>2</v>
      </c>
      <c r="L677" s="202">
        <v>4</v>
      </c>
    </row>
    <row r="678" spans="8:12" x14ac:dyDescent="0.25">
      <c r="H678" s="51">
        <v>2</v>
      </c>
      <c r="I678" s="622">
        <v>4</v>
      </c>
      <c r="K678" s="318">
        <v>3</v>
      </c>
      <c r="L678" s="202">
        <v>4</v>
      </c>
    </row>
    <row r="679" spans="8:12" x14ac:dyDescent="0.25">
      <c r="H679" s="51">
        <v>4</v>
      </c>
      <c r="I679" s="622">
        <v>3</v>
      </c>
      <c r="K679" s="318">
        <v>3</v>
      </c>
      <c r="L679" s="202">
        <v>3</v>
      </c>
    </row>
    <row r="680" spans="8:12" x14ac:dyDescent="0.25">
      <c r="H680" s="51">
        <v>2</v>
      </c>
      <c r="I680" s="622">
        <v>3</v>
      </c>
      <c r="K680" s="318">
        <v>4</v>
      </c>
      <c r="L680" s="202">
        <v>3</v>
      </c>
    </row>
    <row r="681" spans="8:12" x14ac:dyDescent="0.25">
      <c r="H681" s="51">
        <v>3</v>
      </c>
      <c r="I681" s="622">
        <v>3</v>
      </c>
      <c r="K681" s="318">
        <v>3</v>
      </c>
      <c r="L681" s="202">
        <v>4</v>
      </c>
    </row>
    <row r="682" spans="8:12" x14ac:dyDescent="0.25">
      <c r="H682" s="51">
        <v>2</v>
      </c>
      <c r="I682" s="622">
        <v>5</v>
      </c>
      <c r="K682" s="318">
        <v>2</v>
      </c>
      <c r="L682" s="202">
        <v>3</v>
      </c>
    </row>
    <row r="683" spans="8:12" x14ac:dyDescent="0.25">
      <c r="H683" s="51">
        <v>2</v>
      </c>
      <c r="I683" s="622">
        <v>3</v>
      </c>
      <c r="K683" s="318">
        <v>2</v>
      </c>
      <c r="L683" s="202">
        <v>3</v>
      </c>
    </row>
    <row r="684" spans="8:12" x14ac:dyDescent="0.25">
      <c r="H684" s="51">
        <v>2</v>
      </c>
      <c r="I684" s="622">
        <v>3</v>
      </c>
      <c r="K684" s="318">
        <v>3</v>
      </c>
      <c r="L684" s="202">
        <v>3</v>
      </c>
    </row>
    <row r="685" spans="8:12" x14ac:dyDescent="0.25">
      <c r="H685" s="51">
        <v>3</v>
      </c>
      <c r="I685" s="622">
        <v>5</v>
      </c>
      <c r="K685" s="318">
        <v>2</v>
      </c>
      <c r="L685" s="202">
        <v>3</v>
      </c>
    </row>
    <row r="686" spans="8:12" x14ac:dyDescent="0.25">
      <c r="H686" s="51">
        <v>2</v>
      </c>
      <c r="I686" s="622">
        <v>3</v>
      </c>
      <c r="K686" s="318">
        <v>3</v>
      </c>
      <c r="L686" s="202">
        <v>4</v>
      </c>
    </row>
    <row r="687" spans="8:12" x14ac:dyDescent="0.25">
      <c r="H687" s="51">
        <v>2</v>
      </c>
      <c r="I687" s="622">
        <v>3</v>
      </c>
      <c r="K687" s="318">
        <v>2</v>
      </c>
      <c r="L687" s="202">
        <v>4</v>
      </c>
    </row>
    <row r="688" spans="8:12" x14ac:dyDescent="0.25">
      <c r="H688" s="51">
        <v>2</v>
      </c>
      <c r="I688" s="622">
        <v>3</v>
      </c>
      <c r="K688" s="318">
        <v>2</v>
      </c>
      <c r="L688" s="202">
        <v>4</v>
      </c>
    </row>
    <row r="689" spans="8:12" x14ac:dyDescent="0.25">
      <c r="H689" s="51">
        <v>3</v>
      </c>
      <c r="I689" s="622">
        <v>3</v>
      </c>
      <c r="K689" s="318">
        <v>2</v>
      </c>
      <c r="L689" s="202">
        <v>4</v>
      </c>
    </row>
    <row r="690" spans="8:12" x14ac:dyDescent="0.25">
      <c r="H690" s="51">
        <v>3</v>
      </c>
      <c r="I690" s="622">
        <v>4</v>
      </c>
      <c r="K690" s="318">
        <v>3</v>
      </c>
      <c r="L690" s="202">
        <v>3</v>
      </c>
    </row>
    <row r="691" spans="8:12" x14ac:dyDescent="0.25">
      <c r="H691" s="51">
        <v>2</v>
      </c>
      <c r="I691" s="622">
        <v>3</v>
      </c>
      <c r="K691" s="318">
        <v>2</v>
      </c>
      <c r="L691" s="202">
        <v>4</v>
      </c>
    </row>
    <row r="692" spans="8:12" x14ac:dyDescent="0.25">
      <c r="H692" s="51">
        <v>2</v>
      </c>
      <c r="I692" s="622">
        <v>5</v>
      </c>
      <c r="K692" s="318">
        <v>4</v>
      </c>
      <c r="L692" s="202">
        <v>3</v>
      </c>
    </row>
    <row r="693" spans="8:12" x14ac:dyDescent="0.25">
      <c r="H693" s="51">
        <v>2</v>
      </c>
      <c r="I693" s="622">
        <v>3</v>
      </c>
      <c r="K693" s="318">
        <v>3</v>
      </c>
      <c r="L693" s="202">
        <v>3</v>
      </c>
    </row>
    <row r="694" spans="8:12" x14ac:dyDescent="0.25">
      <c r="H694" s="51">
        <v>2</v>
      </c>
      <c r="I694" s="622">
        <v>3</v>
      </c>
      <c r="K694" s="318">
        <v>2</v>
      </c>
      <c r="L694" s="202">
        <v>4</v>
      </c>
    </row>
    <row r="695" spans="8:12" x14ac:dyDescent="0.25">
      <c r="H695" s="51">
        <v>3</v>
      </c>
      <c r="I695" s="622">
        <v>3</v>
      </c>
      <c r="K695" s="318">
        <v>2</v>
      </c>
      <c r="L695" s="202">
        <v>3</v>
      </c>
    </row>
    <row r="696" spans="8:12" x14ac:dyDescent="0.25">
      <c r="H696" s="51">
        <v>2</v>
      </c>
      <c r="I696" s="622">
        <v>3</v>
      </c>
      <c r="K696" s="318">
        <v>3</v>
      </c>
      <c r="L696" s="202">
        <v>3</v>
      </c>
    </row>
    <row r="697" spans="8:12" x14ac:dyDescent="0.25">
      <c r="H697" s="51">
        <v>2</v>
      </c>
      <c r="I697" s="622">
        <v>3</v>
      </c>
      <c r="K697" s="318">
        <v>2</v>
      </c>
      <c r="L697" s="202">
        <v>5</v>
      </c>
    </row>
    <row r="698" spans="8:12" x14ac:dyDescent="0.25">
      <c r="H698" s="51">
        <v>3</v>
      </c>
      <c r="I698" s="622">
        <v>3</v>
      </c>
      <c r="K698" s="318">
        <v>3</v>
      </c>
      <c r="L698" s="202">
        <v>3</v>
      </c>
    </row>
    <row r="699" spans="8:12" x14ac:dyDescent="0.25">
      <c r="H699" s="51">
        <v>2</v>
      </c>
      <c r="I699" s="622">
        <v>4</v>
      </c>
      <c r="K699" s="318">
        <v>3</v>
      </c>
      <c r="L699" s="202">
        <v>3</v>
      </c>
    </row>
    <row r="700" spans="8:12" x14ac:dyDescent="0.25">
      <c r="H700" s="51">
        <v>2</v>
      </c>
      <c r="I700" s="622">
        <v>3</v>
      </c>
      <c r="K700" s="318">
        <v>4</v>
      </c>
      <c r="L700" s="202">
        <v>3</v>
      </c>
    </row>
    <row r="701" spans="8:12" x14ac:dyDescent="0.25">
      <c r="H701" s="51">
        <v>3</v>
      </c>
      <c r="I701" s="622">
        <v>3</v>
      </c>
      <c r="K701" s="318">
        <v>2</v>
      </c>
      <c r="L701" s="202">
        <v>3</v>
      </c>
    </row>
    <row r="702" spans="8:12" x14ac:dyDescent="0.25">
      <c r="H702" s="51">
        <v>2</v>
      </c>
      <c r="I702" s="622">
        <v>3</v>
      </c>
      <c r="K702" s="318">
        <v>3</v>
      </c>
      <c r="L702" s="202">
        <v>3</v>
      </c>
    </row>
    <row r="703" spans="8:12" x14ac:dyDescent="0.25">
      <c r="H703" s="51">
        <v>2</v>
      </c>
      <c r="I703" s="622">
        <v>3</v>
      </c>
      <c r="K703" s="318">
        <v>3</v>
      </c>
      <c r="L703" s="202">
        <v>5</v>
      </c>
    </row>
    <row r="704" spans="8:12" x14ac:dyDescent="0.25">
      <c r="H704" s="51">
        <v>3</v>
      </c>
      <c r="I704" s="622">
        <v>3</v>
      </c>
      <c r="K704" s="318">
        <v>3</v>
      </c>
      <c r="L704" s="202">
        <v>3</v>
      </c>
    </row>
    <row r="705" spans="8:12" x14ac:dyDescent="0.25">
      <c r="H705" s="51">
        <v>3</v>
      </c>
      <c r="I705" s="622">
        <v>4</v>
      </c>
      <c r="K705" s="318">
        <v>2</v>
      </c>
      <c r="L705" s="202">
        <v>4</v>
      </c>
    </row>
    <row r="706" spans="8:12" x14ac:dyDescent="0.25">
      <c r="H706" s="51">
        <v>3</v>
      </c>
      <c r="I706" s="622">
        <v>3</v>
      </c>
      <c r="K706" s="318">
        <v>2</v>
      </c>
      <c r="L706" s="202">
        <v>3</v>
      </c>
    </row>
    <row r="707" spans="8:12" x14ac:dyDescent="0.25">
      <c r="H707" s="51">
        <v>2</v>
      </c>
      <c r="I707" s="622">
        <v>3</v>
      </c>
      <c r="K707" s="318">
        <v>3</v>
      </c>
      <c r="L707" s="202">
        <v>3</v>
      </c>
    </row>
    <row r="708" spans="8:12" x14ac:dyDescent="0.25">
      <c r="H708" s="51">
        <v>2</v>
      </c>
      <c r="I708" s="622">
        <v>4</v>
      </c>
      <c r="K708" s="318">
        <v>2</v>
      </c>
      <c r="L708" s="202">
        <v>4</v>
      </c>
    </row>
    <row r="709" spans="8:12" x14ac:dyDescent="0.25">
      <c r="H709" s="51">
        <v>3</v>
      </c>
      <c r="I709" s="622">
        <v>3</v>
      </c>
      <c r="K709" s="318">
        <v>4</v>
      </c>
      <c r="L709" s="202">
        <v>4</v>
      </c>
    </row>
    <row r="710" spans="8:12" x14ac:dyDescent="0.25">
      <c r="H710" s="51">
        <v>3</v>
      </c>
      <c r="I710" s="622">
        <v>4</v>
      </c>
      <c r="K710" s="318">
        <v>2</v>
      </c>
      <c r="L710" s="202">
        <v>3</v>
      </c>
    </row>
    <row r="711" spans="8:12" x14ac:dyDescent="0.25">
      <c r="H711" s="51">
        <v>2</v>
      </c>
      <c r="I711" s="622">
        <v>3</v>
      </c>
      <c r="K711" s="318">
        <v>2</v>
      </c>
      <c r="L711" s="202">
        <v>3</v>
      </c>
    </row>
    <row r="712" spans="8:12" x14ac:dyDescent="0.25">
      <c r="H712" s="51">
        <v>2</v>
      </c>
      <c r="I712" s="622">
        <v>4</v>
      </c>
      <c r="K712" s="318">
        <v>3</v>
      </c>
      <c r="L712" s="202">
        <v>5</v>
      </c>
    </row>
    <row r="713" spans="8:12" x14ac:dyDescent="0.25">
      <c r="H713" s="51">
        <v>2</v>
      </c>
      <c r="I713" s="622">
        <v>3</v>
      </c>
      <c r="K713" s="318">
        <v>3</v>
      </c>
      <c r="L713" s="202">
        <v>3</v>
      </c>
    </row>
    <row r="714" spans="8:12" x14ac:dyDescent="0.25">
      <c r="H714" s="51">
        <v>4</v>
      </c>
      <c r="I714" s="622">
        <v>3</v>
      </c>
      <c r="K714" s="318">
        <v>4</v>
      </c>
      <c r="L714" s="202">
        <v>3</v>
      </c>
    </row>
    <row r="715" spans="8:12" x14ac:dyDescent="0.25">
      <c r="H715" s="51">
        <v>4</v>
      </c>
      <c r="I715" s="622">
        <v>3</v>
      </c>
      <c r="K715" s="318">
        <v>3</v>
      </c>
      <c r="L715" s="202">
        <v>3</v>
      </c>
    </row>
    <row r="716" spans="8:12" x14ac:dyDescent="0.25">
      <c r="H716" s="51">
        <v>4</v>
      </c>
      <c r="I716" s="622">
        <v>3</v>
      </c>
      <c r="K716" s="318">
        <v>2</v>
      </c>
      <c r="L716" s="202">
        <v>5</v>
      </c>
    </row>
    <row r="717" spans="8:12" x14ac:dyDescent="0.25">
      <c r="H717" s="51">
        <v>2</v>
      </c>
      <c r="I717" s="622">
        <v>4</v>
      </c>
      <c r="K717" s="318">
        <v>2</v>
      </c>
      <c r="L717" s="202">
        <v>3</v>
      </c>
    </row>
    <row r="718" spans="8:12" x14ac:dyDescent="0.25">
      <c r="H718" s="51">
        <v>2</v>
      </c>
      <c r="I718" s="622">
        <v>3</v>
      </c>
      <c r="K718" s="318">
        <v>3</v>
      </c>
      <c r="L718" s="202">
        <v>3</v>
      </c>
    </row>
    <row r="719" spans="8:12" x14ac:dyDescent="0.25">
      <c r="H719" s="51">
        <v>2</v>
      </c>
      <c r="I719" s="622">
        <v>3</v>
      </c>
      <c r="K719" s="318">
        <v>3</v>
      </c>
      <c r="L719" s="202">
        <v>3</v>
      </c>
    </row>
    <row r="720" spans="8:12" x14ac:dyDescent="0.25">
      <c r="H720" s="51">
        <v>3</v>
      </c>
      <c r="I720" s="622">
        <v>3</v>
      </c>
      <c r="K720" s="318">
        <v>2</v>
      </c>
      <c r="L720" s="202">
        <v>3</v>
      </c>
    </row>
    <row r="721" spans="8:12" x14ac:dyDescent="0.25">
      <c r="H721" s="51">
        <v>2</v>
      </c>
      <c r="I721" s="622">
        <v>4</v>
      </c>
      <c r="K721" s="318">
        <v>2</v>
      </c>
      <c r="L721" s="202">
        <v>3</v>
      </c>
    </row>
    <row r="722" spans="8:12" x14ac:dyDescent="0.25">
      <c r="H722" s="51">
        <v>3</v>
      </c>
      <c r="I722" s="622">
        <v>3</v>
      </c>
      <c r="K722" s="318">
        <v>2</v>
      </c>
      <c r="L722" s="202">
        <v>3</v>
      </c>
    </row>
    <row r="723" spans="8:12" x14ac:dyDescent="0.25">
      <c r="H723" s="51">
        <v>3</v>
      </c>
      <c r="I723" s="622">
        <v>3</v>
      </c>
      <c r="K723" s="318">
        <v>2</v>
      </c>
      <c r="L723" s="202">
        <v>5</v>
      </c>
    </row>
    <row r="724" spans="8:12" x14ac:dyDescent="0.25">
      <c r="H724" s="51">
        <v>3</v>
      </c>
      <c r="I724" s="622">
        <v>3</v>
      </c>
      <c r="K724" s="318">
        <v>2</v>
      </c>
      <c r="L724" s="202">
        <v>3</v>
      </c>
    </row>
    <row r="725" spans="8:12" x14ac:dyDescent="0.25">
      <c r="H725" s="51">
        <v>2</v>
      </c>
      <c r="I725" s="622">
        <v>3</v>
      </c>
      <c r="K725" s="318">
        <v>2</v>
      </c>
      <c r="L725" s="202">
        <v>3</v>
      </c>
    </row>
    <row r="726" spans="8:12" x14ac:dyDescent="0.25">
      <c r="H726" s="51">
        <v>3</v>
      </c>
      <c r="I726" s="622">
        <v>3</v>
      </c>
      <c r="K726" s="318">
        <v>3</v>
      </c>
      <c r="L726" s="202">
        <v>3</v>
      </c>
    </row>
    <row r="727" spans="8:12" x14ac:dyDescent="0.25">
      <c r="H727" s="51">
        <v>3</v>
      </c>
      <c r="I727" s="622">
        <v>3</v>
      </c>
      <c r="K727" s="318">
        <v>3</v>
      </c>
      <c r="L727" s="202">
        <v>3</v>
      </c>
    </row>
    <row r="728" spans="8:12" x14ac:dyDescent="0.25">
      <c r="H728" s="51">
        <v>2</v>
      </c>
      <c r="I728" s="622">
        <v>3</v>
      </c>
      <c r="K728" s="318">
        <v>2</v>
      </c>
      <c r="L728" s="202">
        <v>4</v>
      </c>
    </row>
    <row r="729" spans="8:12" x14ac:dyDescent="0.25">
      <c r="H729" s="51">
        <v>3</v>
      </c>
      <c r="I729" s="622">
        <v>3</v>
      </c>
      <c r="K729" s="318">
        <v>3</v>
      </c>
      <c r="L729" s="202">
        <v>3</v>
      </c>
    </row>
    <row r="730" spans="8:12" x14ac:dyDescent="0.25">
      <c r="H730" s="51">
        <v>2</v>
      </c>
      <c r="I730" s="622">
        <v>4</v>
      </c>
      <c r="K730" s="318">
        <v>2</v>
      </c>
      <c r="L730" s="202">
        <v>3</v>
      </c>
    </row>
    <row r="731" spans="8:12" x14ac:dyDescent="0.25">
      <c r="H731" s="51">
        <v>3</v>
      </c>
      <c r="I731" s="622">
        <v>3</v>
      </c>
      <c r="K731" s="318">
        <v>3</v>
      </c>
      <c r="L731" s="202">
        <v>3</v>
      </c>
    </row>
    <row r="732" spans="8:12" x14ac:dyDescent="0.25">
      <c r="H732" s="51">
        <v>2</v>
      </c>
      <c r="I732" s="622">
        <v>3</v>
      </c>
      <c r="K732" s="318">
        <v>2</v>
      </c>
      <c r="L732" s="202">
        <v>3</v>
      </c>
    </row>
    <row r="733" spans="8:12" x14ac:dyDescent="0.25">
      <c r="H733" s="51">
        <v>3</v>
      </c>
      <c r="I733" s="622">
        <v>3</v>
      </c>
      <c r="K733" s="318">
        <v>2</v>
      </c>
      <c r="L733" s="202">
        <v>4</v>
      </c>
    </row>
    <row r="734" spans="8:12" x14ac:dyDescent="0.25">
      <c r="H734" s="51">
        <v>3</v>
      </c>
      <c r="I734" s="622">
        <v>4</v>
      </c>
      <c r="K734" s="318">
        <v>4</v>
      </c>
      <c r="L734" s="202">
        <v>3</v>
      </c>
    </row>
    <row r="735" spans="8:12" x14ac:dyDescent="0.25">
      <c r="H735" s="51">
        <v>3</v>
      </c>
      <c r="I735" s="622">
        <v>3</v>
      </c>
      <c r="K735" s="318">
        <v>2</v>
      </c>
      <c r="L735" s="202">
        <v>4</v>
      </c>
    </row>
    <row r="736" spans="8:12" x14ac:dyDescent="0.25">
      <c r="H736" s="51">
        <v>2</v>
      </c>
      <c r="I736" s="622">
        <v>3</v>
      </c>
      <c r="K736" s="318">
        <v>2</v>
      </c>
      <c r="L736" s="202">
        <v>5</v>
      </c>
    </row>
    <row r="737" spans="8:12" x14ac:dyDescent="0.25">
      <c r="H737" s="51">
        <v>3</v>
      </c>
      <c r="I737" s="622">
        <v>5</v>
      </c>
      <c r="K737" s="318">
        <v>3</v>
      </c>
      <c r="L737" s="202">
        <v>3</v>
      </c>
    </row>
    <row r="738" spans="8:12" x14ac:dyDescent="0.25">
      <c r="H738" s="51">
        <v>2</v>
      </c>
      <c r="I738" s="622">
        <v>4</v>
      </c>
      <c r="K738" s="318">
        <v>2</v>
      </c>
      <c r="L738" s="202">
        <v>4</v>
      </c>
    </row>
    <row r="739" spans="8:12" x14ac:dyDescent="0.25">
      <c r="H739" s="51">
        <v>3</v>
      </c>
      <c r="I739" s="622">
        <v>3</v>
      </c>
      <c r="K739" s="318">
        <v>2</v>
      </c>
      <c r="L739" s="202">
        <v>5</v>
      </c>
    </row>
    <row r="740" spans="8:12" x14ac:dyDescent="0.25">
      <c r="H740" s="51">
        <v>2</v>
      </c>
      <c r="I740" s="622">
        <v>5</v>
      </c>
      <c r="K740" s="318">
        <v>3</v>
      </c>
      <c r="L740" s="202">
        <v>3</v>
      </c>
    </row>
    <row r="741" spans="8:12" x14ac:dyDescent="0.25">
      <c r="H741" s="51">
        <v>2</v>
      </c>
      <c r="I741" s="622">
        <v>3</v>
      </c>
      <c r="K741" s="318">
        <v>2</v>
      </c>
      <c r="L741" s="202">
        <v>5</v>
      </c>
    </row>
    <row r="742" spans="8:12" x14ac:dyDescent="0.25">
      <c r="H742" s="51">
        <v>3</v>
      </c>
      <c r="I742" s="622">
        <v>3</v>
      </c>
      <c r="K742" s="318">
        <v>3</v>
      </c>
      <c r="L742" s="202">
        <v>3</v>
      </c>
    </row>
    <row r="743" spans="8:12" x14ac:dyDescent="0.25">
      <c r="H743" s="51">
        <v>4</v>
      </c>
      <c r="I743" s="622">
        <v>4</v>
      </c>
      <c r="K743" s="318">
        <v>4</v>
      </c>
      <c r="L743" s="202">
        <v>3</v>
      </c>
    </row>
    <row r="744" spans="8:12" x14ac:dyDescent="0.25">
      <c r="H744" s="51">
        <v>2</v>
      </c>
      <c r="I744" s="622">
        <v>5</v>
      </c>
      <c r="K744" s="318">
        <v>3</v>
      </c>
      <c r="L744" s="202">
        <v>5</v>
      </c>
    </row>
    <row r="745" spans="8:12" x14ac:dyDescent="0.25">
      <c r="H745" s="51">
        <v>2</v>
      </c>
      <c r="I745" s="622">
        <v>3</v>
      </c>
      <c r="K745" s="318">
        <v>4</v>
      </c>
      <c r="L745" s="202">
        <v>3</v>
      </c>
    </row>
    <row r="746" spans="8:12" x14ac:dyDescent="0.25">
      <c r="H746" s="51">
        <v>4</v>
      </c>
      <c r="I746" s="622">
        <v>3</v>
      </c>
      <c r="K746" s="318">
        <v>3</v>
      </c>
      <c r="L746" s="202">
        <v>4</v>
      </c>
    </row>
    <row r="747" spans="8:12" x14ac:dyDescent="0.25">
      <c r="H747" s="51">
        <v>2</v>
      </c>
      <c r="I747" s="622">
        <v>3</v>
      </c>
      <c r="K747" s="318">
        <v>4</v>
      </c>
      <c r="L747" s="202">
        <v>3</v>
      </c>
    </row>
    <row r="748" spans="8:12" x14ac:dyDescent="0.25">
      <c r="H748" s="51">
        <v>2</v>
      </c>
      <c r="I748" s="622">
        <v>5</v>
      </c>
      <c r="K748" s="318">
        <v>2</v>
      </c>
      <c r="L748" s="202">
        <v>3</v>
      </c>
    </row>
    <row r="749" spans="8:12" x14ac:dyDescent="0.25">
      <c r="H749" s="51">
        <v>3</v>
      </c>
      <c r="I749" s="622">
        <v>3</v>
      </c>
      <c r="K749" s="318">
        <v>3</v>
      </c>
      <c r="L749" s="202">
        <v>4</v>
      </c>
    </row>
    <row r="750" spans="8:12" x14ac:dyDescent="0.25">
      <c r="H750" s="51">
        <v>3</v>
      </c>
      <c r="I750" s="622">
        <v>4</v>
      </c>
      <c r="K750" s="318">
        <v>3</v>
      </c>
      <c r="L750" s="202">
        <v>4</v>
      </c>
    </row>
    <row r="751" spans="8:12" x14ac:dyDescent="0.25">
      <c r="H751" s="51">
        <v>3</v>
      </c>
      <c r="I751" s="622">
        <v>3</v>
      </c>
      <c r="K751" s="318">
        <v>2</v>
      </c>
      <c r="L751" s="202">
        <v>5</v>
      </c>
    </row>
    <row r="752" spans="8:12" x14ac:dyDescent="0.25">
      <c r="H752" s="51">
        <v>2</v>
      </c>
      <c r="I752" s="622">
        <v>5</v>
      </c>
      <c r="K752" s="318">
        <v>2</v>
      </c>
      <c r="L752" s="202">
        <v>3</v>
      </c>
    </row>
    <row r="753" spans="8:12" x14ac:dyDescent="0.25">
      <c r="H753" s="51">
        <v>2</v>
      </c>
      <c r="I753" s="622">
        <v>3</v>
      </c>
      <c r="K753" s="318">
        <v>2</v>
      </c>
      <c r="L753" s="202">
        <v>4</v>
      </c>
    </row>
    <row r="754" spans="8:12" x14ac:dyDescent="0.25">
      <c r="H754" s="51">
        <v>3</v>
      </c>
      <c r="I754" s="622">
        <v>3</v>
      </c>
      <c r="K754" s="318">
        <v>3</v>
      </c>
      <c r="L754" s="202">
        <v>5</v>
      </c>
    </row>
    <row r="755" spans="8:12" x14ac:dyDescent="0.25">
      <c r="H755" s="51">
        <v>3</v>
      </c>
      <c r="I755" s="622">
        <v>3</v>
      </c>
      <c r="K755" s="318">
        <v>3</v>
      </c>
      <c r="L755" s="202">
        <v>3</v>
      </c>
    </row>
    <row r="756" spans="8:12" x14ac:dyDescent="0.25">
      <c r="H756" s="51">
        <v>3</v>
      </c>
      <c r="I756" s="622">
        <v>3</v>
      </c>
      <c r="K756" s="318">
        <v>2</v>
      </c>
      <c r="L756" s="202">
        <v>3</v>
      </c>
    </row>
    <row r="757" spans="8:12" x14ac:dyDescent="0.25">
      <c r="H757" s="51">
        <v>4</v>
      </c>
      <c r="I757" s="622">
        <v>3</v>
      </c>
      <c r="K757" s="318">
        <v>2</v>
      </c>
      <c r="L757" s="202">
        <v>5</v>
      </c>
    </row>
    <row r="758" spans="8:12" x14ac:dyDescent="0.25">
      <c r="H758" s="51">
        <v>2</v>
      </c>
      <c r="I758" s="622">
        <v>3</v>
      </c>
      <c r="K758" s="318">
        <v>4</v>
      </c>
      <c r="L758" s="202">
        <v>3</v>
      </c>
    </row>
    <row r="759" spans="8:12" x14ac:dyDescent="0.25">
      <c r="H759" s="51">
        <v>3</v>
      </c>
      <c r="I759" s="622">
        <v>3</v>
      </c>
      <c r="K759" s="318">
        <v>2</v>
      </c>
      <c r="L759" s="202">
        <v>3</v>
      </c>
    </row>
    <row r="760" spans="8:12" x14ac:dyDescent="0.25">
      <c r="H760" s="51">
        <v>3</v>
      </c>
      <c r="I760" s="622">
        <v>4</v>
      </c>
      <c r="K760" s="318">
        <v>2</v>
      </c>
      <c r="L760" s="202">
        <v>4</v>
      </c>
    </row>
    <row r="761" spans="8:12" x14ac:dyDescent="0.25">
      <c r="H761" s="51">
        <v>3</v>
      </c>
      <c r="I761" s="622">
        <v>4</v>
      </c>
    </row>
    <row r="762" spans="8:12" x14ac:dyDescent="0.25">
      <c r="H762" s="51">
        <v>2</v>
      </c>
      <c r="I762" s="622">
        <v>3</v>
      </c>
    </row>
    <row r="763" spans="8:12" x14ac:dyDescent="0.25">
      <c r="H763" s="51">
        <v>4</v>
      </c>
      <c r="I763" s="622">
        <v>4</v>
      </c>
    </row>
    <row r="764" spans="8:12" x14ac:dyDescent="0.25">
      <c r="H764" s="51">
        <v>2</v>
      </c>
      <c r="I764" s="622">
        <v>3</v>
      </c>
    </row>
    <row r="765" spans="8:12" x14ac:dyDescent="0.25">
      <c r="H765" s="51">
        <v>3</v>
      </c>
      <c r="I765" s="622">
        <v>4</v>
      </c>
    </row>
    <row r="766" spans="8:12" x14ac:dyDescent="0.25">
      <c r="H766" s="51">
        <v>2</v>
      </c>
      <c r="I766" s="622">
        <v>3</v>
      </c>
    </row>
    <row r="767" spans="8:12" x14ac:dyDescent="0.25">
      <c r="H767" s="51">
        <v>4</v>
      </c>
      <c r="I767" s="622">
        <v>4</v>
      </c>
    </row>
    <row r="768" spans="8:12" x14ac:dyDescent="0.25">
      <c r="H768" s="51">
        <v>2</v>
      </c>
      <c r="I768" s="622">
        <v>3</v>
      </c>
    </row>
    <row r="769" spans="8:9" x14ac:dyDescent="0.25">
      <c r="H769" s="51">
        <v>2</v>
      </c>
      <c r="I769" s="622">
        <v>3</v>
      </c>
    </row>
    <row r="770" spans="8:9" x14ac:dyDescent="0.25">
      <c r="H770" s="51">
        <v>2</v>
      </c>
      <c r="I770" s="622">
        <v>3</v>
      </c>
    </row>
    <row r="771" spans="8:9" x14ac:dyDescent="0.25">
      <c r="H771" s="51">
        <v>2</v>
      </c>
      <c r="I771" s="622">
        <v>5</v>
      </c>
    </row>
    <row r="772" spans="8:9" x14ac:dyDescent="0.25">
      <c r="H772" s="51">
        <v>2</v>
      </c>
      <c r="I772" s="622">
        <v>4</v>
      </c>
    </row>
    <row r="773" spans="8:9" x14ac:dyDescent="0.25">
      <c r="H773" s="51">
        <v>2</v>
      </c>
      <c r="I773" s="622">
        <v>3</v>
      </c>
    </row>
    <row r="774" spans="8:9" x14ac:dyDescent="0.25">
      <c r="H774" s="51">
        <v>4</v>
      </c>
      <c r="I774" s="622">
        <v>3</v>
      </c>
    </row>
    <row r="775" spans="8:9" x14ac:dyDescent="0.25">
      <c r="H775" s="51">
        <v>2</v>
      </c>
      <c r="I775" s="622">
        <v>3</v>
      </c>
    </row>
    <row r="776" spans="8:9" x14ac:dyDescent="0.25">
      <c r="H776" s="51">
        <v>4</v>
      </c>
      <c r="I776" s="622">
        <v>3</v>
      </c>
    </row>
    <row r="777" spans="8:9" x14ac:dyDescent="0.25">
      <c r="H777" s="51">
        <v>4</v>
      </c>
      <c r="I777" s="622">
        <v>4</v>
      </c>
    </row>
    <row r="778" spans="8:9" x14ac:dyDescent="0.25">
      <c r="H778" s="51">
        <v>3</v>
      </c>
      <c r="I778" s="622">
        <v>4</v>
      </c>
    </row>
    <row r="779" spans="8:9" x14ac:dyDescent="0.25">
      <c r="H779" s="51">
        <v>2</v>
      </c>
      <c r="I779" s="622">
        <v>3</v>
      </c>
    </row>
    <row r="780" spans="8:9" x14ac:dyDescent="0.25">
      <c r="H780" s="51">
        <v>3</v>
      </c>
      <c r="I780" s="622">
        <v>3</v>
      </c>
    </row>
    <row r="781" spans="8:9" x14ac:dyDescent="0.25">
      <c r="H781" s="51">
        <v>3</v>
      </c>
      <c r="I781" s="622">
        <v>4</v>
      </c>
    </row>
    <row r="782" spans="8:9" x14ac:dyDescent="0.25">
      <c r="H782" s="51">
        <v>2</v>
      </c>
      <c r="I782" s="622">
        <v>3</v>
      </c>
    </row>
    <row r="783" spans="8:9" x14ac:dyDescent="0.25">
      <c r="H783" s="51">
        <v>3</v>
      </c>
      <c r="I783" s="622">
        <v>3</v>
      </c>
    </row>
    <row r="784" spans="8:9" x14ac:dyDescent="0.25">
      <c r="H784" s="51">
        <v>2</v>
      </c>
      <c r="I784" s="622">
        <v>5</v>
      </c>
    </row>
    <row r="785" spans="8:9" x14ac:dyDescent="0.25">
      <c r="H785" s="51">
        <v>2</v>
      </c>
      <c r="I785" s="622">
        <v>3</v>
      </c>
    </row>
    <row r="786" spans="8:9" x14ac:dyDescent="0.25">
      <c r="H786" s="51">
        <v>2</v>
      </c>
      <c r="I786" s="622">
        <v>5</v>
      </c>
    </row>
    <row r="787" spans="8:9" x14ac:dyDescent="0.25">
      <c r="H787" s="51">
        <v>4</v>
      </c>
      <c r="I787" s="622">
        <v>5</v>
      </c>
    </row>
    <row r="788" spans="8:9" x14ac:dyDescent="0.25">
      <c r="H788" s="51">
        <v>2</v>
      </c>
      <c r="I788" s="622">
        <v>3</v>
      </c>
    </row>
    <row r="789" spans="8:9" x14ac:dyDescent="0.25">
      <c r="H789" s="51">
        <v>2</v>
      </c>
      <c r="I789" s="622">
        <v>3</v>
      </c>
    </row>
    <row r="790" spans="8:9" x14ac:dyDescent="0.25">
      <c r="H790" s="51">
        <v>4</v>
      </c>
      <c r="I790" s="622">
        <v>4</v>
      </c>
    </row>
    <row r="791" spans="8:9" x14ac:dyDescent="0.25">
      <c r="H791" s="51">
        <v>3</v>
      </c>
      <c r="I791" s="622">
        <v>3</v>
      </c>
    </row>
    <row r="792" spans="8:9" x14ac:dyDescent="0.25">
      <c r="H792" s="51">
        <v>3</v>
      </c>
      <c r="I792" s="622">
        <v>4</v>
      </c>
    </row>
    <row r="793" spans="8:9" x14ac:dyDescent="0.25">
      <c r="H793" s="51">
        <v>4</v>
      </c>
      <c r="I793" s="622">
        <v>3</v>
      </c>
    </row>
    <row r="794" spans="8:9" x14ac:dyDescent="0.25">
      <c r="H794" s="51">
        <v>3</v>
      </c>
      <c r="I794" s="622">
        <v>4</v>
      </c>
    </row>
    <row r="795" spans="8:9" x14ac:dyDescent="0.25">
      <c r="H795" s="51">
        <v>3</v>
      </c>
      <c r="I795" s="622">
        <v>4</v>
      </c>
    </row>
    <row r="796" spans="8:9" x14ac:dyDescent="0.25">
      <c r="H796" s="51">
        <v>3</v>
      </c>
      <c r="I796" s="622">
        <v>4</v>
      </c>
    </row>
    <row r="797" spans="8:9" x14ac:dyDescent="0.25">
      <c r="H797" s="51">
        <v>2</v>
      </c>
      <c r="I797" s="622">
        <v>3</v>
      </c>
    </row>
    <row r="798" spans="8:9" x14ac:dyDescent="0.25">
      <c r="H798" s="51">
        <v>2</v>
      </c>
      <c r="I798" s="622">
        <v>3</v>
      </c>
    </row>
    <row r="799" spans="8:9" x14ac:dyDescent="0.25">
      <c r="H799" s="51">
        <v>2</v>
      </c>
      <c r="I799" s="622">
        <v>3</v>
      </c>
    </row>
    <row r="800" spans="8:9" x14ac:dyDescent="0.25">
      <c r="H800" s="51">
        <v>4</v>
      </c>
      <c r="I800" s="622">
        <v>3</v>
      </c>
    </row>
    <row r="801" spans="8:9" x14ac:dyDescent="0.25">
      <c r="H801" s="51">
        <v>2</v>
      </c>
      <c r="I801" s="622">
        <v>3</v>
      </c>
    </row>
    <row r="802" spans="8:9" x14ac:dyDescent="0.25">
      <c r="H802" s="51">
        <v>3</v>
      </c>
      <c r="I802" s="622">
        <v>4</v>
      </c>
    </row>
    <row r="803" spans="8:9" x14ac:dyDescent="0.25">
      <c r="H803" s="51">
        <v>3</v>
      </c>
      <c r="I803" s="622">
        <v>5</v>
      </c>
    </row>
    <row r="804" spans="8:9" x14ac:dyDescent="0.25">
      <c r="H804" s="51">
        <v>4</v>
      </c>
      <c r="I804" s="622">
        <v>3</v>
      </c>
    </row>
    <row r="805" spans="8:9" x14ac:dyDescent="0.25">
      <c r="H805" s="51">
        <v>4</v>
      </c>
      <c r="I805" s="622">
        <v>3</v>
      </c>
    </row>
    <row r="806" spans="8:9" x14ac:dyDescent="0.25">
      <c r="H806" s="51">
        <v>3</v>
      </c>
      <c r="I806" s="622">
        <v>3</v>
      </c>
    </row>
    <row r="807" spans="8:9" x14ac:dyDescent="0.25">
      <c r="H807" s="51">
        <v>2</v>
      </c>
      <c r="I807" s="622">
        <v>3</v>
      </c>
    </row>
    <row r="808" spans="8:9" x14ac:dyDescent="0.25">
      <c r="H808" s="51">
        <v>3</v>
      </c>
      <c r="I808" s="622">
        <v>3</v>
      </c>
    </row>
    <row r="809" spans="8:9" x14ac:dyDescent="0.25">
      <c r="H809" s="51">
        <v>2</v>
      </c>
      <c r="I809" s="622">
        <v>3</v>
      </c>
    </row>
    <row r="810" spans="8:9" x14ac:dyDescent="0.25">
      <c r="H810" s="51">
        <v>3</v>
      </c>
      <c r="I810" s="622">
        <v>4</v>
      </c>
    </row>
    <row r="811" spans="8:9" x14ac:dyDescent="0.25">
      <c r="H811" s="51">
        <v>3</v>
      </c>
      <c r="I811" s="622">
        <v>3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L30"/>
  <sheetViews>
    <sheetView workbookViewId="0">
      <selection activeCell="I14" sqref="I14:I26"/>
    </sheetView>
  </sheetViews>
  <sheetFormatPr defaultRowHeight="15" x14ac:dyDescent="0.25"/>
  <cols>
    <col min="1" max="1" width="16.5703125" style="792" customWidth="1"/>
    <col min="2" max="2" width="27.140625" style="796" customWidth="1"/>
    <col min="3" max="5" width="9.140625" style="789"/>
    <col min="6" max="6" width="9.140625" style="791" customWidth="1"/>
    <col min="7" max="8" width="9.140625" style="791"/>
    <col min="9" max="16384" width="9.140625" style="789"/>
  </cols>
  <sheetData>
    <row r="1" spans="1:12" s="795" customFormat="1" ht="15" customHeight="1" x14ac:dyDescent="0.25">
      <c r="A1" s="794"/>
      <c r="C1" s="1127" t="s">
        <v>92</v>
      </c>
      <c r="D1" s="1127"/>
      <c r="E1" s="1127"/>
      <c r="F1" s="1130" t="s">
        <v>441</v>
      </c>
      <c r="G1" s="1130"/>
      <c r="H1" s="1130"/>
      <c r="J1" s="1127" t="s">
        <v>443</v>
      </c>
      <c r="K1" s="1127"/>
      <c r="L1" s="1127"/>
    </row>
    <row r="2" spans="1:12" s="795" customFormat="1" ht="15" customHeight="1" x14ac:dyDescent="0.25">
      <c r="A2" s="1133" t="s">
        <v>440</v>
      </c>
      <c r="B2" s="1131">
        <v>43936</v>
      </c>
      <c r="C2" s="795" t="s">
        <v>427</v>
      </c>
      <c r="D2" s="795" t="s">
        <v>428</v>
      </c>
      <c r="E2" s="795" t="s">
        <v>430</v>
      </c>
      <c r="F2" s="795" t="s">
        <v>427</v>
      </c>
      <c r="G2" s="795" t="s">
        <v>428</v>
      </c>
      <c r="H2" s="795" t="s">
        <v>430</v>
      </c>
      <c r="J2" s="795" t="s">
        <v>427</v>
      </c>
      <c r="K2" s="795" t="s">
        <v>428</v>
      </c>
      <c r="L2" s="801" t="s">
        <v>430</v>
      </c>
    </row>
    <row r="3" spans="1:12" s="793" customFormat="1" ht="15" customHeight="1" x14ac:dyDescent="0.25">
      <c r="A3" s="1134"/>
      <c r="B3" s="1132"/>
      <c r="C3" s="799">
        <f>IF(ISBLANK($B$2),"",_xlfn.FORECAST.LINEAR($B$2,C6:C10000,$A6:$A10000))</f>
        <v>80519.77371622622</v>
      </c>
      <c r="D3" s="799">
        <f>IF(ISBLANK($B$2),"",_xlfn.FORECAST.LINEAR($B$2,D6:D10000,$A6:$A10000))</f>
        <v>56846.009235799313</v>
      </c>
      <c r="E3" s="799">
        <f>IF(ISBLANK($B$2),"",_xlfn.FORECAST.LINEAR($B$2,E6:E10000,$A6:$A10000))</f>
        <v>137365.78295202181</v>
      </c>
      <c r="F3" s="800" cm="1">
        <f t="array" ref="F3">IF(ISBLANK($B$2),"",C3-LOOKUP(2,1/(C6:C10000&lt;&gt;""),C6:C10000))</f>
        <v>-2255.2262837737799</v>
      </c>
      <c r="G3" s="800" cm="1">
        <f t="array" ref="G3">IF(ISBLANK($B$2),"",D3-LOOKUP(2,1/(D6:D10000&lt;&gt;""),D6:D10000))</f>
        <v>34207.009235799313</v>
      </c>
      <c r="H3" s="800" cm="1">
        <f t="array" ref="H3">IF(ISBLANK($B$2),"",E3-LOOKUP(2,1/(E6:E10000&lt;&gt;""),E6:E10000))</f>
        <v>31951.782952021807</v>
      </c>
      <c r="J3" s="802" cm="1">
        <f t="array" ref="J3">(LOOKUP(2,1/(C6:C15000&lt;&gt;""),C6:C15000)-C$6)/(LOOKUP(2,1/($A6:$A15000&lt;&gt;""),$A6:$A15000)-$A$6)</f>
        <v>-2426.6943349240237</v>
      </c>
      <c r="K3" s="802" cm="1">
        <f t="array" ref="K3">(LOOKUP(2,1/(D6:D15000&lt;&gt;""),D6:D15000)-D$6)/(LOOKUP(2,1/($A6:$A15000&lt;&gt;""),$A6:$A15000)-$A$6)</f>
        <v>1181.5231375802966</v>
      </c>
      <c r="L3" s="802">
        <f>J3+K3</f>
        <v>-1245.171197343727</v>
      </c>
    </row>
    <row r="4" spans="1:12" s="798" customFormat="1" ht="15" customHeight="1" x14ac:dyDescent="0.25">
      <c r="A4" s="1128" t="s">
        <v>426</v>
      </c>
      <c r="B4" s="1096" t="s">
        <v>433</v>
      </c>
      <c r="C4" s="1096" t="s">
        <v>92</v>
      </c>
      <c r="D4" s="1096"/>
      <c r="E4" s="1096"/>
      <c r="F4" s="1096" t="s">
        <v>104</v>
      </c>
      <c r="G4" s="1096"/>
      <c r="H4" s="1096"/>
      <c r="I4" s="1096" t="s">
        <v>446</v>
      </c>
      <c r="J4" s="1096"/>
    </row>
    <row r="5" spans="1:12" s="788" customFormat="1" ht="15" customHeight="1" x14ac:dyDescent="0.25">
      <c r="A5" s="1129"/>
      <c r="B5" s="914"/>
      <c r="C5" s="788" t="s">
        <v>427</v>
      </c>
      <c r="D5" s="788" t="s">
        <v>428</v>
      </c>
      <c r="E5" s="788" t="s">
        <v>430</v>
      </c>
      <c r="F5" s="790" t="s">
        <v>427</v>
      </c>
      <c r="G5" s="790" t="s">
        <v>428</v>
      </c>
      <c r="H5" s="790" t="s">
        <v>430</v>
      </c>
      <c r="I5" s="788" t="s">
        <v>444</v>
      </c>
      <c r="J5" s="788" t="s">
        <v>445</v>
      </c>
    </row>
    <row r="6" spans="1:12" x14ac:dyDescent="0.25">
      <c r="A6" s="792">
        <v>43906.670138888891</v>
      </c>
      <c r="B6" s="796" t="s">
        <v>429</v>
      </c>
      <c r="C6" s="789">
        <v>123380</v>
      </c>
      <c r="D6" s="789">
        <v>2869</v>
      </c>
      <c r="E6" s="789">
        <f t="shared" ref="E6:E30" si="0">SUM(C6:D6)</f>
        <v>126249</v>
      </c>
      <c r="F6" s="791">
        <v>0</v>
      </c>
      <c r="G6" s="791">
        <v>0</v>
      </c>
      <c r="H6" s="791">
        <f t="shared" ref="H6:H18" si="1">SUM(F6:G6)</f>
        <v>0</v>
      </c>
    </row>
    <row r="7" spans="1:12" x14ac:dyDescent="0.25">
      <c r="A7" s="792">
        <v>43908.03125</v>
      </c>
      <c r="B7" s="796" t="s">
        <v>436</v>
      </c>
      <c r="C7" s="789">
        <v>123455</v>
      </c>
      <c r="D7" s="789">
        <v>2799</v>
      </c>
      <c r="E7" s="789">
        <f t="shared" si="0"/>
        <v>126254</v>
      </c>
      <c r="F7" s="791">
        <f t="shared" ref="F7:G9" si="2">C7-C6</f>
        <v>75</v>
      </c>
      <c r="G7" s="791">
        <f t="shared" si="2"/>
        <v>-70</v>
      </c>
      <c r="H7" s="791">
        <f t="shared" si="1"/>
        <v>5</v>
      </c>
    </row>
    <row r="8" spans="1:12" x14ac:dyDescent="0.25">
      <c r="A8" s="792">
        <v>43908.07916666667</v>
      </c>
      <c r="B8" s="796" t="s">
        <v>435</v>
      </c>
      <c r="C8" s="789">
        <v>123605</v>
      </c>
      <c r="D8" s="789">
        <v>2609</v>
      </c>
      <c r="E8" s="789">
        <f t="shared" si="0"/>
        <v>126214</v>
      </c>
      <c r="F8" s="791">
        <f t="shared" si="2"/>
        <v>150</v>
      </c>
      <c r="G8" s="791">
        <f t="shared" si="2"/>
        <v>-190</v>
      </c>
      <c r="H8" s="791">
        <f t="shared" si="1"/>
        <v>-40</v>
      </c>
    </row>
    <row r="9" spans="1:12" x14ac:dyDescent="0.25">
      <c r="A9" s="792">
        <v>43908.806944444441</v>
      </c>
      <c r="B9" s="796" t="s">
        <v>436</v>
      </c>
      <c r="C9" s="789">
        <v>123605</v>
      </c>
      <c r="D9" s="789">
        <v>2369</v>
      </c>
      <c r="E9" s="789">
        <f t="shared" si="0"/>
        <v>125974</v>
      </c>
      <c r="F9" s="791">
        <f t="shared" si="2"/>
        <v>0</v>
      </c>
      <c r="G9" s="791">
        <f t="shared" si="2"/>
        <v>-240</v>
      </c>
      <c r="H9" s="791">
        <f t="shared" si="1"/>
        <v>-240</v>
      </c>
    </row>
    <row r="10" spans="1:12" x14ac:dyDescent="0.25">
      <c r="A10" s="792">
        <v>43909.091666666667</v>
      </c>
      <c r="B10" s="796" t="s">
        <v>436</v>
      </c>
      <c r="C10" s="789">
        <v>123605</v>
      </c>
      <c r="D10" s="789">
        <v>2239</v>
      </c>
      <c r="E10" s="789">
        <f t="shared" si="0"/>
        <v>125844</v>
      </c>
      <c r="F10" s="791">
        <f t="shared" ref="F10" si="3">C10-C9</f>
        <v>0</v>
      </c>
      <c r="G10" s="791">
        <f t="shared" ref="G10" si="4">D10-D9</f>
        <v>-130</v>
      </c>
      <c r="H10" s="791">
        <f t="shared" si="1"/>
        <v>-130</v>
      </c>
    </row>
    <row r="11" spans="1:12" x14ac:dyDescent="0.25">
      <c r="A11" s="792">
        <v>43909.416666666664</v>
      </c>
      <c r="B11" s="796" t="s">
        <v>435</v>
      </c>
      <c r="C11" s="789">
        <v>123605</v>
      </c>
      <c r="D11" s="789">
        <v>1869</v>
      </c>
      <c r="E11" s="789">
        <f t="shared" si="0"/>
        <v>125474</v>
      </c>
      <c r="F11" s="791">
        <f t="shared" ref="F11" si="5">C11-C10</f>
        <v>0</v>
      </c>
      <c r="G11" s="791">
        <f t="shared" ref="G11" si="6">D11-D10</f>
        <v>-370</v>
      </c>
      <c r="H11" s="791">
        <f t="shared" si="1"/>
        <v>-370</v>
      </c>
    </row>
    <row r="12" spans="1:12" x14ac:dyDescent="0.25">
      <c r="A12" s="792">
        <v>43910.165972222225</v>
      </c>
      <c r="B12" s="796" t="s">
        <v>434</v>
      </c>
      <c r="C12" s="789">
        <v>124105</v>
      </c>
      <c r="D12" s="789">
        <v>1869</v>
      </c>
      <c r="E12" s="789">
        <f t="shared" si="0"/>
        <v>125974</v>
      </c>
      <c r="F12" s="791">
        <f t="shared" ref="F12" si="7">C12-C11</f>
        <v>500</v>
      </c>
      <c r="G12" s="791">
        <f t="shared" ref="G12" si="8">D12-D11</f>
        <v>0</v>
      </c>
      <c r="H12" s="791">
        <f t="shared" si="1"/>
        <v>500</v>
      </c>
    </row>
    <row r="13" spans="1:12" x14ac:dyDescent="0.25">
      <c r="A13" s="792">
        <v>43911.053472222222</v>
      </c>
      <c r="B13" s="796" t="s">
        <v>436</v>
      </c>
      <c r="C13" s="789">
        <v>124755</v>
      </c>
      <c r="D13" s="789">
        <v>1259</v>
      </c>
      <c r="E13" s="789">
        <f t="shared" si="0"/>
        <v>126014</v>
      </c>
      <c r="F13" s="791">
        <f t="shared" ref="F13" si="9">C13-C12</f>
        <v>650</v>
      </c>
      <c r="G13" s="791">
        <f t="shared" ref="G13" si="10">D13-D12</f>
        <v>-610</v>
      </c>
      <c r="H13" s="791">
        <f t="shared" si="1"/>
        <v>40</v>
      </c>
    </row>
    <row r="14" spans="1:12" x14ac:dyDescent="0.25">
      <c r="A14" s="792">
        <v>43912.175694444442</v>
      </c>
      <c r="B14" s="796" t="s">
        <v>437</v>
      </c>
      <c r="C14" s="789">
        <v>124755</v>
      </c>
      <c r="D14" s="789">
        <v>4819</v>
      </c>
      <c r="E14" s="789">
        <f t="shared" si="0"/>
        <v>129574</v>
      </c>
      <c r="F14" s="791">
        <f t="shared" ref="F14:G18" si="11">C14-C13</f>
        <v>0</v>
      </c>
      <c r="G14" s="791">
        <f t="shared" si="11"/>
        <v>3560</v>
      </c>
      <c r="H14" s="791">
        <f t="shared" si="1"/>
        <v>3560</v>
      </c>
      <c r="I14" s="789">
        <v>4200</v>
      </c>
      <c r="J14" s="789">
        <v>80</v>
      </c>
    </row>
    <row r="15" spans="1:12" x14ac:dyDescent="0.25">
      <c r="A15" s="792">
        <v>43913.067361111112</v>
      </c>
      <c r="B15" s="796" t="s">
        <v>436</v>
      </c>
      <c r="C15" s="789">
        <v>125905</v>
      </c>
      <c r="D15" s="789">
        <v>4609</v>
      </c>
      <c r="E15" s="789">
        <f t="shared" si="0"/>
        <v>130514</v>
      </c>
      <c r="F15" s="791">
        <f t="shared" si="11"/>
        <v>1150</v>
      </c>
      <c r="G15" s="791">
        <f t="shared" si="11"/>
        <v>-210</v>
      </c>
      <c r="H15" s="791">
        <f t="shared" si="1"/>
        <v>940</v>
      </c>
    </row>
    <row r="16" spans="1:12" x14ac:dyDescent="0.25">
      <c r="A16" s="792">
        <v>43913.322916666664</v>
      </c>
      <c r="B16" s="797" t="s">
        <v>438</v>
      </c>
      <c r="C16" s="789">
        <v>127105</v>
      </c>
      <c r="D16" s="789">
        <v>4429</v>
      </c>
      <c r="E16" s="789">
        <f t="shared" si="0"/>
        <v>131534</v>
      </c>
      <c r="F16" s="791">
        <f t="shared" si="11"/>
        <v>1200</v>
      </c>
      <c r="G16" s="791">
        <f t="shared" si="11"/>
        <v>-180</v>
      </c>
      <c r="H16" s="791">
        <f t="shared" si="1"/>
        <v>1020</v>
      </c>
      <c r="I16" s="789">
        <v>525</v>
      </c>
      <c r="J16" s="789">
        <v>8</v>
      </c>
    </row>
    <row r="17" spans="1:10" x14ac:dyDescent="0.25">
      <c r="A17" s="792">
        <v>43913.785416666666</v>
      </c>
      <c r="B17" s="796" t="s">
        <v>439</v>
      </c>
      <c r="C17" s="789">
        <v>127430</v>
      </c>
      <c r="D17" s="789">
        <v>4684</v>
      </c>
      <c r="E17" s="789">
        <f t="shared" si="0"/>
        <v>132114</v>
      </c>
      <c r="F17" s="791">
        <f t="shared" si="11"/>
        <v>325</v>
      </c>
      <c r="G17" s="791">
        <f t="shared" si="11"/>
        <v>255</v>
      </c>
      <c r="H17" s="791">
        <f t="shared" si="1"/>
        <v>580</v>
      </c>
    </row>
    <row r="18" spans="1:10" x14ac:dyDescent="0.25">
      <c r="A18" s="792">
        <v>43914.361805555556</v>
      </c>
      <c r="C18" s="789">
        <v>127505</v>
      </c>
      <c r="D18" s="789">
        <v>4674</v>
      </c>
      <c r="E18" s="789">
        <f t="shared" si="0"/>
        <v>132179</v>
      </c>
      <c r="F18" s="791">
        <f t="shared" si="11"/>
        <v>75</v>
      </c>
      <c r="G18" s="791">
        <f t="shared" si="11"/>
        <v>-10</v>
      </c>
      <c r="H18" s="791">
        <f t="shared" si="1"/>
        <v>65</v>
      </c>
    </row>
    <row r="19" spans="1:10" x14ac:dyDescent="0.25">
      <c r="A19" s="792">
        <v>43916.006249999999</v>
      </c>
      <c r="B19" s="797"/>
      <c r="C19" s="789">
        <v>127580</v>
      </c>
      <c r="D19" s="789">
        <v>4544</v>
      </c>
      <c r="E19" s="789">
        <f t="shared" si="0"/>
        <v>132124</v>
      </c>
      <c r="F19" s="791">
        <f t="shared" ref="F19:F20" si="12">C19-C18</f>
        <v>75</v>
      </c>
      <c r="G19" s="791">
        <f t="shared" ref="G19:G20" si="13">D19-D18</f>
        <v>-130</v>
      </c>
      <c r="H19" s="791">
        <f t="shared" ref="H19:H20" si="14">SUM(F19:G19)</f>
        <v>-55</v>
      </c>
    </row>
    <row r="20" spans="1:10" x14ac:dyDescent="0.25">
      <c r="A20" s="792">
        <v>43917.041666666664</v>
      </c>
      <c r="C20" s="789">
        <v>127655</v>
      </c>
      <c r="D20" s="789">
        <v>4394</v>
      </c>
      <c r="E20" s="789">
        <f t="shared" si="0"/>
        <v>132049</v>
      </c>
      <c r="F20" s="791">
        <f t="shared" si="12"/>
        <v>75</v>
      </c>
      <c r="G20" s="791">
        <f t="shared" si="13"/>
        <v>-150</v>
      </c>
      <c r="H20" s="791">
        <f t="shared" si="14"/>
        <v>-75</v>
      </c>
    </row>
    <row r="21" spans="1:10" x14ac:dyDescent="0.25">
      <c r="A21" s="792">
        <v>43917.057638888888</v>
      </c>
      <c r="B21" s="796" t="s">
        <v>442</v>
      </c>
      <c r="C21" s="789">
        <v>98855</v>
      </c>
      <c r="D21" s="789">
        <v>29264</v>
      </c>
      <c r="E21" s="789">
        <f t="shared" si="0"/>
        <v>128119</v>
      </c>
      <c r="F21" s="791">
        <f t="shared" ref="F21" si="15">C21-C20</f>
        <v>-28800</v>
      </c>
      <c r="G21" s="791">
        <f t="shared" ref="G21" si="16">D21-D20</f>
        <v>24870</v>
      </c>
      <c r="H21" s="791">
        <f t="shared" ref="H21" si="17">SUM(F21:G21)</f>
        <v>-3930</v>
      </c>
      <c r="I21" s="789">
        <v>27300</v>
      </c>
      <c r="J21" s="789">
        <v>450</v>
      </c>
    </row>
    <row r="22" spans="1:10" x14ac:dyDescent="0.25">
      <c r="A22" s="792">
        <v>43917.583333333336</v>
      </c>
      <c r="B22" s="796" t="s">
        <v>447</v>
      </c>
      <c r="C22" s="789">
        <v>101385</v>
      </c>
      <c r="D22" s="789">
        <v>29274</v>
      </c>
      <c r="E22" s="789">
        <f t="shared" si="0"/>
        <v>130659</v>
      </c>
      <c r="F22" s="791">
        <f t="shared" ref="F22" si="18">C22-C21</f>
        <v>2530</v>
      </c>
      <c r="G22" s="791">
        <f t="shared" ref="G22" si="19">D22-D21</f>
        <v>10</v>
      </c>
      <c r="H22" s="791">
        <f t="shared" ref="H22" si="20">SUM(F22:G22)</f>
        <v>2540</v>
      </c>
    </row>
    <row r="23" spans="1:10" x14ac:dyDescent="0.25">
      <c r="A23" s="792">
        <v>43918.371527777781</v>
      </c>
      <c r="B23" s="796" t="s">
        <v>447</v>
      </c>
      <c r="C23" s="789">
        <v>105880</v>
      </c>
      <c r="D23" s="789">
        <v>29824</v>
      </c>
      <c r="E23" s="789">
        <f t="shared" si="0"/>
        <v>135704</v>
      </c>
      <c r="F23" s="791">
        <f t="shared" ref="F23" si="21">C23-C22</f>
        <v>4495</v>
      </c>
      <c r="G23" s="791">
        <f t="shared" ref="G23" si="22">D23-D22</f>
        <v>550</v>
      </c>
      <c r="H23" s="791">
        <f t="shared" ref="H23" si="23">SUM(F23:G23)</f>
        <v>5045</v>
      </c>
      <c r="I23" s="789">
        <v>830</v>
      </c>
      <c r="J23" s="789">
        <v>10</v>
      </c>
    </row>
    <row r="24" spans="1:10" x14ac:dyDescent="0.25">
      <c r="A24" s="792">
        <v>43918.573611111111</v>
      </c>
      <c r="C24" s="789">
        <v>106030</v>
      </c>
      <c r="D24" s="789">
        <v>28364</v>
      </c>
      <c r="E24" s="789">
        <f t="shared" si="0"/>
        <v>134394</v>
      </c>
      <c r="F24" s="791">
        <f t="shared" ref="F24" si="24">C24-C23</f>
        <v>150</v>
      </c>
      <c r="G24" s="791">
        <f t="shared" ref="G24" si="25">D24-D23</f>
        <v>-1460</v>
      </c>
      <c r="H24" s="791">
        <f t="shared" ref="H24" si="26">SUM(F24:G24)</f>
        <v>-1310</v>
      </c>
    </row>
    <row r="25" spans="1:10" x14ac:dyDescent="0.25">
      <c r="A25" s="792">
        <v>43918.981249999997</v>
      </c>
      <c r="C25" s="789">
        <v>106190</v>
      </c>
      <c r="D25" s="789">
        <v>28334</v>
      </c>
      <c r="E25" s="789">
        <f t="shared" si="0"/>
        <v>134524</v>
      </c>
      <c r="F25" s="791">
        <f t="shared" ref="F25" si="27">C25-C24</f>
        <v>160</v>
      </c>
      <c r="G25" s="791">
        <f t="shared" ref="G25" si="28">D25-D24</f>
        <v>-30</v>
      </c>
      <c r="H25" s="791">
        <f t="shared" ref="H25" si="29">SUM(F25:G25)</f>
        <v>130</v>
      </c>
    </row>
    <row r="26" spans="1:10" x14ac:dyDescent="0.25">
      <c r="A26" s="792">
        <v>43920.088194444441</v>
      </c>
      <c r="C26" s="789">
        <v>107155</v>
      </c>
      <c r="D26" s="789">
        <v>28519</v>
      </c>
      <c r="E26" s="789">
        <f t="shared" si="0"/>
        <v>135674</v>
      </c>
      <c r="F26" s="791">
        <f t="shared" ref="F26" si="30">C26-C25</f>
        <v>965</v>
      </c>
      <c r="G26" s="791">
        <f t="shared" ref="G26" si="31">D26-D25</f>
        <v>185</v>
      </c>
      <c r="H26" s="791">
        <f t="shared" ref="H26" si="32">SUM(F26:G26)</f>
        <v>1150</v>
      </c>
      <c r="I26" s="789">
        <v>525</v>
      </c>
      <c r="J26" s="789">
        <v>8</v>
      </c>
    </row>
    <row r="27" spans="1:10" x14ac:dyDescent="0.25">
      <c r="A27" s="792">
        <v>43921.71597222222</v>
      </c>
      <c r="C27" s="789">
        <v>109405</v>
      </c>
      <c r="D27" s="789">
        <v>28439</v>
      </c>
      <c r="E27" s="789">
        <f t="shared" si="0"/>
        <v>137844</v>
      </c>
      <c r="F27" s="791">
        <f t="shared" ref="F27" si="33">C27-C26</f>
        <v>2250</v>
      </c>
      <c r="G27" s="791">
        <f t="shared" ref="G27" si="34">D27-D26</f>
        <v>-80</v>
      </c>
      <c r="H27" s="791">
        <f t="shared" ref="H27" si="35">SUM(F27:G27)</f>
        <v>2170</v>
      </c>
    </row>
    <row r="28" spans="1:10" x14ac:dyDescent="0.25">
      <c r="A28" s="792">
        <v>43921.895138888889</v>
      </c>
      <c r="B28" s="796" t="s">
        <v>457</v>
      </c>
      <c r="C28" s="789">
        <v>109405</v>
      </c>
      <c r="D28" s="789">
        <v>28079</v>
      </c>
      <c r="E28" s="789">
        <f t="shared" si="0"/>
        <v>137484</v>
      </c>
      <c r="F28" s="791">
        <f t="shared" ref="F28" si="36">C28-C27</f>
        <v>0</v>
      </c>
      <c r="G28" s="791">
        <f t="shared" ref="G28" si="37">D28-D27</f>
        <v>-360</v>
      </c>
      <c r="H28" s="791">
        <f t="shared" ref="H28" si="38">SUM(F28:G28)</f>
        <v>-360</v>
      </c>
    </row>
    <row r="29" spans="1:10" x14ac:dyDescent="0.25">
      <c r="A29" s="792">
        <v>43922.277083333334</v>
      </c>
      <c r="B29" s="796" t="s">
        <v>458</v>
      </c>
      <c r="C29" s="789">
        <v>109630</v>
      </c>
      <c r="D29" s="789">
        <v>27599</v>
      </c>
      <c r="E29" s="789">
        <f t="shared" si="0"/>
        <v>137229</v>
      </c>
      <c r="F29" s="791">
        <f t="shared" ref="F29" si="39">C29-C28</f>
        <v>225</v>
      </c>
      <c r="G29" s="791">
        <f t="shared" ref="G29" si="40">D29-D28</f>
        <v>-480</v>
      </c>
      <c r="H29" s="791">
        <f t="shared" ref="H29" si="41">SUM(F29:G29)</f>
        <v>-255</v>
      </c>
    </row>
    <row r="30" spans="1:10" x14ac:dyDescent="0.25">
      <c r="A30" s="792">
        <v>43923.402777777781</v>
      </c>
      <c r="B30" s="796" t="s">
        <v>461</v>
      </c>
      <c r="C30" s="789">
        <v>82775</v>
      </c>
      <c r="D30" s="789">
        <v>22639</v>
      </c>
      <c r="E30" s="789">
        <f t="shared" si="0"/>
        <v>105414</v>
      </c>
      <c r="F30" s="791">
        <f t="shared" ref="F30" si="42">C30-C29</f>
        <v>-26855</v>
      </c>
      <c r="G30" s="791">
        <f t="shared" ref="G30" si="43">D30-D29</f>
        <v>-4960</v>
      </c>
      <c r="H30" s="791">
        <f t="shared" ref="H30" si="44">SUM(F30:G30)</f>
        <v>-31815</v>
      </c>
    </row>
  </sheetData>
  <mergeCells count="10">
    <mergeCell ref="J1:L1"/>
    <mergeCell ref="I4:J4"/>
    <mergeCell ref="A4:A5"/>
    <mergeCell ref="B4:B5"/>
    <mergeCell ref="F4:H4"/>
    <mergeCell ref="C4:E4"/>
    <mergeCell ref="C1:E1"/>
    <mergeCell ref="F1:H1"/>
    <mergeCell ref="B2:B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5" t="str">
        <f>B1&amp; "日"</f>
        <v>1日</v>
      </c>
      <c r="G1" s="1136"/>
      <c r="H1" s="1136"/>
      <c r="I1" s="1135" t="str">
        <f>C1 &amp; "日"</f>
        <v>7日</v>
      </c>
      <c r="J1" s="1136"/>
      <c r="K1" s="1136"/>
      <c r="L1" s="1135" t="s">
        <v>174</v>
      </c>
      <c r="M1" s="1136"/>
      <c r="N1" s="1136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-174 D 06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-176 D 21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-185 D 15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-191 D 03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-177 D 17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027 D 21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-070 D 02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-122 D 19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-139 D 02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-158 D 15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-170 D 15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-195 D 05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-174 D 07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-180 D 00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-184 D 08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-191 D 04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-193 D 02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-187 D 20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-162 D 02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-151 D 02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-167 D 07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-166 D 09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-177 D 06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-168 D 23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-172 D 22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-173 D 07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-168 D 17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-170 D 00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-181 D 15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-169 D 07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-170 D 14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-180 D 23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-171 D 12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-170 D 18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-180 D 13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-171 D 15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-171 D 01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-161 D 00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-171 D 21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-171 D 15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-159 D 20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-172 D 16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-168 D 22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-166 D 17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-173 D 00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-171 D 11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-173 D 21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-173 D 07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-172 D 07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-180 D 11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-173 D 14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-172 D 16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-185 D 10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-174 D 02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-173 D 17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-176 D 07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-173 D 00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-170 D 19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-176 D 23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-171 D 21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-171 D 13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-162 D 18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-171 D 16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-172 D 19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-161 D 20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-170 D 22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-170 D 01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-158 D 22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-169 D 22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-170 D 06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-147 D 09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-169 D 20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-170 D 12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-150 D 18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-169 D 10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-170 D 17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-156 D 16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-169 D 14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-171 D 06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-162 D 20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-169 D 17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-171 D 19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-155 D 05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-171 D 02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-169 D 23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-171 D 17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-171 D 03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-170 D 20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-171 D 19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-171 D 06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-171 D 05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-156 D 11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-170 D 15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-169 D 22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-164 D 22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-171 D 03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-171 D 02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-182 D 09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-172 D 08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-173 D 05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-181 D 19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-172 D 13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-172 D 08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-185 D 21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-173 D 08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-173 D 04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-190 D 22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-174 D 00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-174 D 16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-193 D 14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-175 D 09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-175 D 15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-194 D 21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-176 D 08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-175 D 19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-202 D 02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-177 D 20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-176 D 08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-202 D 06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-178 D 20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-176 D 20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-202 D 11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-179 D 20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-177 D 03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-203 D 07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-180 D 16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-177 D 16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-203 D 16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-181 D 16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-177 D 23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-202 D 06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-182 D 05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-178 D 00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-202 D 09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-183 D 04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-178 D 08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-202 D 14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-183 D 16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-178 D 13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-197 D 13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-183 D 19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-177 D 20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-195 D 04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-184 D 02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-178 D 02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-194 D 11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-184 D 09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-178 D 09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-188 D 22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-185 D 07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-178 D 23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-191 D 18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-185 D 17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-179 D 12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-193 D 19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-186 D 09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-180 D 02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-196 D 19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-187 D 05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-180 D 13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-202 D 22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-188 D 21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-181 D 02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-206 D 11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-190 D 13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-182 D 09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-206 D 02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-191 D 15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-182 D 19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-204 D 18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-192 D 03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-183 D 01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-204 D 14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-192 D 15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-183 D 08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-204 D 12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-193 D 15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-183 D 10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-204 D 12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-193 D 23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-183 D 14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-201 D 05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-194 D 04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-183 D 17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-194 D 20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-196 D 05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-184 D 03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-194 D 15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-196 D 22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-184 D 08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-194 D 04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-197 D 01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-184 D 09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-194 D 14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-197 D 20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-184 D 13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-192 D 10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-199 D 07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-184 D 13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-192 D 12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-199 D 06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-185 D 04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-194 D 00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-199 D 03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-185 D 11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-195 D 03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-199 D 12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-185 D 20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-199 D 20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-199 D 14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-186 D 12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-200 D 00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-199 D 12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-186 D 14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-190 D 08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-199 D 00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-185 D 17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-188 D 07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-198 D 18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-185 D 22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-186 D 16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-198 D 17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-186 D 14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-198 D 15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-198 D 15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-187 D 16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-201 D 02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-198 D 15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-187 D 19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-204 D 11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-198 D 12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-188 D 09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-203 D 21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-198 D 13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-188 D 13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-203 D 15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-198 D 15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-188 D 16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-203 D 20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-198 D 17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-188 D 22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-203 D 22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-198 D 19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-189 D 00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-190 D 12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-197 D 21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-187 D 21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-167 D 05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-197 D 03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-187 D 23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-170 D 18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-196 D 22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-188 D 06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-175 D 16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-196 D 20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-188 D 09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-184 D 18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-196 D 14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-188 D 13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-198 D 19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-196 D 11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-188 D 19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-199 D 08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-196 D 11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-188 D 22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-199 D 17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-196 D 10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-189 D 00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-201 D 03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-196 D 13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-189 D 08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-201 D 16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-196 D 18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-189 D 13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-197 D 17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-196 D 10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-189 D 00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-191 D 06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-196 D 08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-189 D 02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-188 D 00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-196 D 05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-189 D 01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-188 D 02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-196 D 03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-189 D 03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-151 D 11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-194 D 20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-187 D 18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-173 D 00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-194 D 16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-188 D 15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-205 D 02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-194 D 16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-190 D 06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-136 D 23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-189 D 22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-188 D 06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-145 D 17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-188 D 01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-187 D 19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-151 D 04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-187 D 08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-187 D 20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-183 D 22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-186 D 21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-187 D 21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-193 D 17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-186 D 07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-188 D 10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-189 D 04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-185 D 05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-188 D 01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-187 D 08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-185 D 23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-188 D 10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-189 D 20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-186 D 15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-188 D 13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-192 D 11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-187 D 01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-188 D 09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-192 D 00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-188 D 04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-188 D 18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-192 D 11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-187 D 14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-188 D 14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-193 D 07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-188 D 06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-188 D 21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-189 D 10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-188 D 13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-188 D 18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-192 D 04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-189 D 02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-188 D 23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-193 D 07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-192 D 02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-189 D 12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-192 D 21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-192 D 03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-189 D 12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-192 D 00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-192 D 00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-189 D 10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-190 D 15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-191 D 17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-189 D 14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-189 D 19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-191 D 02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-189 D 11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-189 D 22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-191 D 01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-189 D 13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-190 D 16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-190 D 23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-189 D 17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-191 D 10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-190 D 23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-189 D 17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-184 D 21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-190 D 11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-189 D 08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-184 D 18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-190 D 00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-189 D 09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-184 D 21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-189 D 18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-189 D 08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-186 D 08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-189 D 17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-189 D 09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-190 D 01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-189 D 17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-189 D 11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-190 D 13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-189 D 19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-189 D 13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-191 D 06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-189 D 20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-189 D 14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-188 D 21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-189 D 13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-189 D 06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-193 D 21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-189 D 13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-189 D 16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-193 D 08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-189 D 15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-189 D 15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-191 D 09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-189 D 13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-189 D 12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-191 D 03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-189 D 15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-189 D 14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-189 D 17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-189 D 22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-189 D 19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-192 D 22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-190 D 05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-189 D 23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-193 D 16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-190 D 08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-189 D 23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-192 D 14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-190 D 07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-189 D 20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-193 D 06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-190 D 09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-189 D 21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-192 D 00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-190 D 11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-189 D 22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-191 D 02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-190 D 15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-190 D 01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-191 D 15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-190 D 21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-190 D 04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-193 D 09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-191 D 01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-190 D 04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-190 D 09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-191 D 01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-190 D 02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-190 D 13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-191 D 03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-190 D 03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-191 D 07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-191 D 11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-190 D 09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-191 D 14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-191 D 14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-190 D 07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-192 D 19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-191 D 16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-190 D 09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-192 D 04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-191 D 20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-190 D 09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-191 D 11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-191 D 22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-190 D 11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-190 D 02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-191 D 23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-190 D 10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-190 D 12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-191 D 23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-190 D 12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-190 D 17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-192 D 02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-190 D 12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-190 D 18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-192 D 00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-190 D 12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-191 D 02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-192 D 02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-190 D 14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-191 D 06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-192 D 02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-190 D 14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-191 D 07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-192 D 01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-190 D 14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-190 D 03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-191 D 21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-190 D 12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-191 D 08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-191 D 23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-190 D 17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-192 D 22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-192 D 03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-190 D 21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-192 D 16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-192 D 01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-190 D 19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-192 D 18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-192 D 02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-190 D 21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-193 D 19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-192 D 03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-191 D 00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-193 D 23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-192 D 04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-191 D 01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-194 D 01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-192 D 08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-191 D 05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-194 D 12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-192 D 11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-191 D 07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-191 D 10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-192 D 03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-190 D 22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-188 D 05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-192 D 03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-190 D 23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-188 D 02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-192 D 03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-191 D 01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-188 D 20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-192 D 04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-191 D 02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-189 D 12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-192 D 04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-191 D 02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-188 D 16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-191 D 22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-190 D 20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-190 D 02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-191 D 22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-190 D 22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-187 D 11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-191 D 17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-190 D 19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-188 D 05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-191 D 17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-190 D 20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-188 D 23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-191 D 16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-190 D 22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-189 D 15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-191 D 17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-190 D 23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-190 D 01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-191 D 16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-190 D 23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-190 D 19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-191 D 18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-191 D 01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-192 D 15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-191 D 18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-191 D 02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-191 D 08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-191 D 11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-190 D 20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-191 D 01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-191 D 12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-190 D 21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-191 D 21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-191 D 18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-191 D 05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-192 D 08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-191 D 16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-191 D 04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-192 D 13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-191 D 18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-191 D 06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-193 D 10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-191 D 20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-191 D 08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-193 D 11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-191 D 22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-191 D 09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-193 D 15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-192 D 00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-191 D 11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-193 D 21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-192 D 03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-191 D 14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-194 D 02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-192 D 06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-191 D 17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-194 D 13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-192 D 11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-191 D 22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-194 D 15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-192 D 13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-191 D 23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-194 D 16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-192 D 15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-192 D 00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-195 D 02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-192 D 22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-192 D 08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-195 D 00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-193 D 00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-192 D 08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-195 D 16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-193 D 18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-193 D 04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-195 D 20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-193 D 23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-193 D 09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-195 D 21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-194 D 03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-193 D 11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-195 D 21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-194 D 07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-193 D 14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-195 D 22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-194 D 12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-193 D 20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-195 D 22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-194 D 14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-193 D 21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-195 D 10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-194 D 20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-194 D 05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41">
        <v>43677.583333333336</v>
      </c>
      <c r="C1" s="1141"/>
      <c r="D1" s="255" t="s">
        <v>149</v>
      </c>
      <c r="E1" s="253" t="s">
        <v>82</v>
      </c>
      <c r="F1" s="253" t="s">
        <v>74</v>
      </c>
      <c r="G1" s="1127" t="s">
        <v>75</v>
      </c>
      <c r="H1" s="1127"/>
      <c r="I1" s="1127"/>
      <c r="J1" s="1127"/>
      <c r="K1" s="28"/>
      <c r="L1" s="252" t="s">
        <v>77</v>
      </c>
      <c r="M1" s="252"/>
      <c r="N1" s="827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41">
        <v>43688.583333333336</v>
      </c>
      <c r="C2" s="1141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40" t="str">
        <f ca="1">IF(NOW() &gt; $B$2,"",(NOW()-$B$1)/($B$2-$B$1))</f>
        <v/>
      </c>
      <c r="H2" s="1140"/>
      <c r="I2" s="1140"/>
      <c r="J2" s="1140"/>
      <c r="K2" s="28" t="s">
        <v>79</v>
      </c>
      <c r="L2" s="127">
        <v>100000</v>
      </c>
      <c r="N2" s="827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27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27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7" t="s">
        <v>76</v>
      </c>
      <c r="C5" s="1137"/>
      <c r="D5" s="1138" t="s">
        <v>153</v>
      </c>
      <c r="E5" s="1138"/>
      <c r="F5" s="1138" t="s">
        <v>78</v>
      </c>
      <c r="G5" s="1138"/>
      <c r="H5" s="1138" t="s">
        <v>81</v>
      </c>
      <c r="I5" s="1138"/>
      <c r="J5" s="1127" t="s">
        <v>151</v>
      </c>
      <c r="K5" s="1127"/>
      <c r="L5" s="1139" t="s">
        <v>152</v>
      </c>
      <c r="M5" s="1139"/>
      <c r="N5" s="1127" t="s">
        <v>150</v>
      </c>
      <c r="O5" s="1127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61" t="s">
        <v>231</v>
      </c>
      <c r="C2" s="1161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62" t="s">
        <v>17</v>
      </c>
      <c r="U3" s="1162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7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81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2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68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81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2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73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80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63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74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80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63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9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9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64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70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9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64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5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78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7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6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78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7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71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72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2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5">
        <f ca="1">SUM(MAX(L4,L5),MAX(L6,L7),MAX(L8,L9),MAX(L10,L11),MAX(L12,L13))</f>
        <v>0</v>
      </c>
      <c r="M14" s="1155">
        <f ca="1">SUM(MAX(M4,M5),MAX(M6,M7),MAX(M8,M9),MAX(M10,M11),MAX(M12,M13))</f>
        <v>0</v>
      </c>
      <c r="N14" s="1165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3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6"/>
      <c r="M15" s="1156"/>
      <c r="N15" s="1166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3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3">
        <f ca="1">IFERROR(ROUND(J16/(O16*INPUT_IO_DROP_RATE),0),NA())</f>
        <v>0</v>
      </c>
      <c r="M16" s="1143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4">
        <f>SUM(D迎擊!AK:AK)</f>
        <v>1045</v>
      </c>
      <c r="AD16" s="53"/>
    </row>
    <row r="17" spans="2:27" x14ac:dyDescent="0.25">
      <c r="B17" s="1153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3">
        <f ca="1">IFERROR(ROUND(J17/O17,0),NA())</f>
        <v>0</v>
      </c>
      <c r="M17" s="1143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4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3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3">
        <f ca="1">IFERROR(ROUND(J18/O18,0),NA())</f>
        <v>0</v>
      </c>
      <c r="M18" s="1143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4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7" t="s">
        <v>158</v>
      </c>
      <c r="C20" s="1158"/>
      <c r="D20" s="1158"/>
      <c r="E20" s="1158"/>
      <c r="F20" s="1158"/>
      <c r="G20" s="1158"/>
      <c r="H20" s="1158"/>
      <c r="I20" s="1144">
        <v>2</v>
      </c>
      <c r="J20" s="1148" t="s">
        <v>191</v>
      </c>
      <c r="K20" s="1149"/>
      <c r="L20" s="114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4"/>
      <c r="N20" s="1144"/>
      <c r="O20" s="1144"/>
      <c r="P20" s="1145"/>
    </row>
    <row r="21" spans="2:27" ht="22.5" customHeight="1" thickBot="1" x14ac:dyDescent="0.3">
      <c r="B21" s="1159"/>
      <c r="C21" s="1160"/>
      <c r="D21" s="1160"/>
      <c r="E21" s="1160"/>
      <c r="F21" s="1160"/>
      <c r="G21" s="1160"/>
      <c r="H21" s="1160"/>
      <c r="I21" s="1146"/>
      <c r="J21" s="1150"/>
      <c r="K21" s="1151"/>
      <c r="L21" s="1146"/>
      <c r="M21" s="1146"/>
      <c r="N21" s="1146"/>
      <c r="O21" s="1146"/>
      <c r="P21" s="1147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9" t="s">
        <v>90</v>
      </c>
      <c r="B1" s="1189"/>
      <c r="C1" s="1184" t="s">
        <v>26</v>
      </c>
      <c r="D1" s="1184" t="s">
        <v>89</v>
      </c>
      <c r="E1" s="1184"/>
      <c r="F1" s="1184" t="s">
        <v>26</v>
      </c>
      <c r="G1" s="1196" t="s">
        <v>90</v>
      </c>
      <c r="H1" s="1196"/>
      <c r="I1" s="1183" t="s">
        <v>26</v>
      </c>
      <c r="J1" s="1183" t="s">
        <v>89</v>
      </c>
      <c r="K1" s="1183"/>
      <c r="L1" s="1183" t="s">
        <v>26</v>
      </c>
      <c r="M1" s="1195" t="s">
        <v>90</v>
      </c>
      <c r="N1" s="1195"/>
      <c r="O1" s="1194" t="s">
        <v>26</v>
      </c>
      <c r="P1" s="1194" t="s">
        <v>89</v>
      </c>
      <c r="Q1" s="1194"/>
      <c r="R1" s="1194" t="s">
        <v>26</v>
      </c>
      <c r="S1" s="1188" t="s">
        <v>90</v>
      </c>
      <c r="T1" s="1188"/>
      <c r="U1" s="1187" t="s">
        <v>26</v>
      </c>
      <c r="V1" s="1187" t="s">
        <v>89</v>
      </c>
      <c r="W1" s="1187"/>
      <c r="X1" s="1187" t="s">
        <v>26</v>
      </c>
      <c r="Y1" s="1186" t="s">
        <v>90</v>
      </c>
      <c r="Z1" s="1186"/>
      <c r="AA1" s="1185" t="s">
        <v>26</v>
      </c>
      <c r="AB1" s="1185" t="s">
        <v>89</v>
      </c>
      <c r="AC1" s="1185"/>
      <c r="AD1" s="1185" t="s">
        <v>26</v>
      </c>
      <c r="AE1" s="1192" t="s">
        <v>98</v>
      </c>
      <c r="AF1" s="1192"/>
      <c r="AG1" s="1193" t="s">
        <v>99</v>
      </c>
      <c r="AH1" s="1193"/>
      <c r="AI1" s="1190" t="s">
        <v>100</v>
      </c>
      <c r="AJ1" s="1190"/>
      <c r="AK1" s="1191" t="s">
        <v>26</v>
      </c>
      <c r="AM1" s="992" t="s">
        <v>155</v>
      </c>
      <c r="AN1" s="1182"/>
      <c r="AO1" s="1182"/>
      <c r="AP1" s="1182"/>
      <c r="AQ1" s="1182"/>
      <c r="AR1" s="1182"/>
      <c r="AS1" s="1182"/>
      <c r="AT1" s="1182"/>
      <c r="AU1" s="993"/>
      <c r="AV1" s="262"/>
      <c r="AW1" s="992" t="s">
        <v>58</v>
      </c>
      <c r="AX1" s="1182"/>
      <c r="AY1" s="1182"/>
      <c r="AZ1" s="1182"/>
      <c r="BA1" s="1182"/>
      <c r="BB1" s="1182"/>
      <c r="BC1" s="1182"/>
      <c r="BD1" s="1182"/>
      <c r="BE1" s="993"/>
    </row>
    <row r="2" spans="1:57" x14ac:dyDescent="0.25">
      <c r="A2" s="283" t="s">
        <v>28</v>
      </c>
      <c r="B2" s="110" t="s">
        <v>97</v>
      </c>
      <c r="C2" s="1184"/>
      <c r="D2" s="108" t="s">
        <v>28</v>
      </c>
      <c r="E2" s="110" t="s">
        <v>97</v>
      </c>
      <c r="F2" s="1184"/>
      <c r="G2" s="279" t="s">
        <v>28</v>
      </c>
      <c r="H2" s="111" t="s">
        <v>97</v>
      </c>
      <c r="I2" s="1183"/>
      <c r="J2" s="281" t="s">
        <v>28</v>
      </c>
      <c r="K2" s="106" t="s">
        <v>97</v>
      </c>
      <c r="L2" s="1183"/>
      <c r="M2" s="277" t="s">
        <v>28</v>
      </c>
      <c r="N2" s="104" t="s">
        <v>97</v>
      </c>
      <c r="O2" s="1194"/>
      <c r="P2" s="277" t="s">
        <v>28</v>
      </c>
      <c r="Q2" s="104" t="s">
        <v>97</v>
      </c>
      <c r="R2" s="1194"/>
      <c r="S2" s="272" t="s">
        <v>28</v>
      </c>
      <c r="T2" s="102" t="s">
        <v>97</v>
      </c>
      <c r="U2" s="1187"/>
      <c r="V2" s="272" t="s">
        <v>28</v>
      </c>
      <c r="W2" s="102" t="s">
        <v>97</v>
      </c>
      <c r="X2" s="1187"/>
      <c r="Y2" s="274" t="s">
        <v>28</v>
      </c>
      <c r="Z2" s="113" t="s">
        <v>97</v>
      </c>
      <c r="AA2" s="1185"/>
      <c r="AB2" s="274" t="s">
        <v>28</v>
      </c>
      <c r="AC2" s="113" t="s">
        <v>97</v>
      </c>
      <c r="AD2" s="1185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91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03" t="s">
        <v>185</v>
      </c>
      <c r="B1" s="1205" t="s">
        <v>188</v>
      </c>
      <c r="C1" s="1205"/>
      <c r="D1" s="1205"/>
      <c r="E1" s="1205"/>
      <c r="F1" s="1205"/>
      <c r="G1" s="1205"/>
      <c r="H1" s="1205"/>
      <c r="I1" s="351"/>
      <c r="J1" s="1205" t="s">
        <v>186</v>
      </c>
      <c r="K1" s="1205"/>
      <c r="L1" s="1205"/>
      <c r="M1" s="1205"/>
      <c r="N1" s="1205"/>
      <c r="O1" s="446" t="s">
        <v>227</v>
      </c>
      <c r="P1" s="351"/>
      <c r="Q1" s="1206" t="s">
        <v>187</v>
      </c>
      <c r="R1" s="1206"/>
      <c r="S1" s="1206"/>
      <c r="T1" s="1206"/>
      <c r="U1" s="1206"/>
      <c r="V1" s="1206"/>
      <c r="W1" s="1206"/>
    </row>
    <row r="2" spans="1:23" ht="25.5" customHeight="1" x14ac:dyDescent="0.25">
      <c r="A2" s="1203"/>
      <c r="B2" s="1198" t="s">
        <v>51</v>
      </c>
      <c r="C2" s="1198"/>
      <c r="D2" s="1199" t="s">
        <v>53</v>
      </c>
      <c r="E2" s="1199"/>
      <c r="F2" s="1209" t="s">
        <v>55</v>
      </c>
      <c r="G2" s="1209"/>
      <c r="H2" s="1209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03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7">
        <f>FLOOR(C7/MAX(DATA_DRAG_ACCU_EXP),1)</f>
        <v>60</v>
      </c>
      <c r="H3" s="1197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03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7">
        <f>MATCH(C10,DATA_DRAG_ACCU_EXP,0)</f>
        <v>97</v>
      </c>
      <c r="H4" s="1197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03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7">
        <f>INDEX(DATA_DRAG_LV_EXP,G4)-(C9-C10)</f>
        <v>23760</v>
      </c>
      <c r="H5" s="1197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03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7" t="str">
        <f>IF(R7&gt;0,R6/R7,"")</f>
        <v/>
      </c>
      <c r="V6" s="1207"/>
      <c r="W6" s="1207"/>
    </row>
    <row r="7" spans="1:23" ht="25.5" customHeight="1" x14ac:dyDescent="0.25">
      <c r="A7" s="1203"/>
      <c r="B7" s="122" t="s">
        <v>95</v>
      </c>
      <c r="C7" s="123">
        <f>C6-C8</f>
        <v>75540600</v>
      </c>
      <c r="D7" s="86" t="s">
        <v>54</v>
      </c>
      <c r="E7" s="87"/>
      <c r="F7" s="1127" t="s">
        <v>66</v>
      </c>
      <c r="G7" s="1127"/>
      <c r="H7" s="1127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03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7" t="s">
        <v>50</v>
      </c>
      <c r="G8" s="1208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03"/>
      <c r="B9" s="94" t="s">
        <v>92</v>
      </c>
      <c r="C9" s="94">
        <f>MOD(C7,DRAG_EXP_100)</f>
        <v>1139400</v>
      </c>
      <c r="F9" s="1127"/>
      <c r="G9" s="1208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03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03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03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202" t="s">
        <v>189</v>
      </c>
      <c r="B13" s="1204" t="s">
        <v>190</v>
      </c>
      <c r="C13" s="1204"/>
      <c r="D13" s="1204"/>
      <c r="E13" s="1204"/>
      <c r="F13" s="1204"/>
      <c r="G13" s="1204"/>
      <c r="H13" s="1204"/>
      <c r="O13" s="445"/>
    </row>
    <row r="14" spans="1:23" s="262" customFormat="1" ht="25.5" customHeight="1" x14ac:dyDescent="0.25">
      <c r="A14" s="1203"/>
      <c r="B14" s="1198" t="s">
        <v>51</v>
      </c>
      <c r="C14" s="1198"/>
      <c r="D14" s="1199" t="s">
        <v>53</v>
      </c>
      <c r="E14" s="1199"/>
      <c r="F14" s="1200" t="s">
        <v>55</v>
      </c>
      <c r="G14" s="1200"/>
      <c r="H14" s="1200"/>
    </row>
    <row r="15" spans="1:23" ht="25.5" customHeight="1" x14ac:dyDescent="0.25">
      <c r="A15" s="1203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1">
        <f>FLOOR(C19/MAX(DATA_WYRM_ACCU_EXP),1)</f>
        <v>133</v>
      </c>
      <c r="H15" s="1201"/>
    </row>
    <row r="16" spans="1:23" ht="25.5" customHeight="1" x14ac:dyDescent="0.25">
      <c r="A16" s="1203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7">
        <f>MATCH(C22,DATA_WYRM_ACCU_EXP,0)</f>
        <v>48</v>
      </c>
      <c r="H16" s="1197"/>
    </row>
    <row r="17" spans="1:8" ht="25.5" customHeight="1" x14ac:dyDescent="0.25">
      <c r="A17" s="1203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7">
        <f>INDEX(DATA_WYRM_LV_EXP,G16)-(C21-C22)</f>
        <v>530</v>
      </c>
      <c r="H17" s="1197"/>
    </row>
    <row r="18" spans="1:8" ht="25.5" customHeight="1" x14ac:dyDescent="0.25">
      <c r="A18" s="1203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03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14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14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1" t="s">
        <v>83</v>
      </c>
      <c r="B1" s="1117"/>
      <c r="C1" s="1117"/>
      <c r="D1" s="1117"/>
      <c r="E1" s="1118"/>
      <c r="F1" s="1211" t="s">
        <v>105</v>
      </c>
      <c r="G1" s="1117"/>
      <c r="H1" s="1117"/>
      <c r="I1" s="1117"/>
      <c r="J1" s="1118"/>
      <c r="K1" s="1211" t="s">
        <v>107</v>
      </c>
      <c r="L1" s="1117"/>
      <c r="M1" s="1117"/>
      <c r="N1" s="1117"/>
      <c r="O1" s="1118"/>
      <c r="P1" s="1216" t="s">
        <v>106</v>
      </c>
      <c r="Q1" s="1119"/>
      <c r="R1" s="1119"/>
      <c r="S1" s="1119"/>
      <c r="T1" s="1120"/>
      <c r="U1" s="1216" t="s">
        <v>154</v>
      </c>
      <c r="V1" s="1119"/>
      <c r="W1" s="1119"/>
      <c r="X1" s="1119"/>
      <c r="Y1" s="1120"/>
      <c r="Z1" s="1213" t="s">
        <v>85</v>
      </c>
      <c r="AA1" s="1214"/>
      <c r="AB1" s="1214"/>
      <c r="AC1" s="1214"/>
      <c r="AD1" s="1215"/>
      <c r="AE1" s="1212" t="s">
        <v>84</v>
      </c>
      <c r="AF1" s="1123"/>
      <c r="AG1" s="1123"/>
      <c r="AH1" s="1123"/>
      <c r="AI1" s="1124"/>
      <c r="AJ1" s="1212" t="s">
        <v>173</v>
      </c>
      <c r="AK1" s="1123"/>
      <c r="AL1" s="1123"/>
      <c r="AM1" s="1123"/>
      <c r="AN1" s="1124"/>
      <c r="AO1" s="1210" t="s">
        <v>86</v>
      </c>
      <c r="AP1" s="1125"/>
      <c r="AQ1" s="1125"/>
      <c r="AR1" s="1125"/>
      <c r="AS1" s="1126"/>
      <c r="AT1" s="1210" t="s">
        <v>87</v>
      </c>
      <c r="AU1" s="1125"/>
      <c r="AV1" s="1125"/>
      <c r="AW1" s="1125"/>
      <c r="AX1" s="1126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94" t="s">
        <v>117</v>
      </c>
      <c r="B1" s="1194"/>
      <c r="C1" s="1194"/>
      <c r="D1" s="230"/>
      <c r="E1" s="1218" t="s">
        <v>118</v>
      </c>
      <c r="F1" s="1218"/>
      <c r="G1" s="1218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7">
        <v>67</v>
      </c>
      <c r="C8" s="1217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0" t="s">
        <v>41</v>
      </c>
      <c r="J24" s="1220"/>
      <c r="K24" s="1219">
        <f>K14+K22</f>
        <v>0</v>
      </c>
      <c r="L24" s="1219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27" t="s">
        <v>117</v>
      </c>
      <c r="B1" s="827"/>
      <c r="C1" s="827"/>
      <c r="D1" s="827"/>
      <c r="E1" s="827"/>
      <c r="F1" s="827"/>
      <c r="G1" s="827" t="s">
        <v>118</v>
      </c>
      <c r="H1" s="827"/>
      <c r="I1" s="827"/>
      <c r="J1" s="827"/>
      <c r="K1" s="827"/>
      <c r="L1" s="827"/>
      <c r="N1" s="827" t="s">
        <v>125</v>
      </c>
      <c r="O1" s="827"/>
    </row>
    <row r="2" spans="1:15" x14ac:dyDescent="0.25">
      <c r="A2" s="1221" t="s">
        <v>123</v>
      </c>
      <c r="B2" s="1221"/>
      <c r="C2" s="1223" t="s">
        <v>116</v>
      </c>
      <c r="D2" s="1223"/>
      <c r="E2" s="1222" t="s">
        <v>124</v>
      </c>
      <c r="F2" s="1222"/>
      <c r="G2" s="1225" t="s">
        <v>120</v>
      </c>
      <c r="H2" s="1225"/>
      <c r="I2" s="1222" t="s">
        <v>121</v>
      </c>
      <c r="J2" s="1222"/>
      <c r="K2" s="1224" t="s">
        <v>122</v>
      </c>
      <c r="L2" s="1224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8" t="s">
        <v>182</v>
      </c>
      <c r="D1" s="1227">
        <f>INDEX(DATA_EVTBLD,B1,3)-B3</f>
        <v>2428</v>
      </c>
      <c r="E1" s="1226" t="s">
        <v>24</v>
      </c>
      <c r="F1" s="1229">
        <f>1-(INDEX(DATA_EVTBLD,B1,3)-B3)/DATA_EVTBLD_MAX</f>
        <v>0.68935516888433979</v>
      </c>
      <c r="G1" s="1229"/>
      <c r="H1" s="1229"/>
      <c r="I1" s="1229"/>
      <c r="J1" s="1229"/>
      <c r="K1" s="1229"/>
      <c r="L1" s="1229"/>
    </row>
    <row r="2" spans="1:12" ht="14.65" customHeight="1" x14ac:dyDescent="0.25">
      <c r="A2" s="335" t="s">
        <v>411</v>
      </c>
      <c r="B2" s="341">
        <v>30</v>
      </c>
      <c r="C2" s="1228"/>
      <c r="D2" s="1227"/>
      <c r="E2" s="1226"/>
      <c r="F2" s="1229"/>
      <c r="G2" s="1229"/>
      <c r="H2" s="1229"/>
      <c r="I2" s="1229"/>
      <c r="J2" s="1229"/>
      <c r="K2" s="1229"/>
      <c r="L2" s="1229"/>
    </row>
    <row r="3" spans="1:12" ht="14.65" customHeight="1" x14ac:dyDescent="0.25">
      <c r="A3" s="335" t="s">
        <v>181</v>
      </c>
      <c r="B3" s="341">
        <v>2122</v>
      </c>
      <c r="C3" s="1228"/>
      <c r="D3" s="1227"/>
      <c r="E3" s="1226"/>
      <c r="F3" s="1229"/>
      <c r="G3" s="1229"/>
      <c r="H3" s="1229"/>
      <c r="I3" s="1229"/>
      <c r="J3" s="1229"/>
      <c r="K3" s="1229"/>
      <c r="L3" s="1229"/>
    </row>
    <row r="5" spans="1:12" s="335" customFormat="1" ht="14.65" customHeight="1" x14ac:dyDescent="0.25">
      <c r="A5" s="335" t="s">
        <v>39</v>
      </c>
      <c r="B5" s="335" t="s">
        <v>410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2020-04-02T15:37:49Z</dcterms:modified>
</cp:coreProperties>
</file>