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E34CCA85-4E47-4715-B0C4-15202C4AA9F5}" xr6:coauthVersionLast="45" xr6:coauthVersionMax="45" xr10:uidLastSave="{00000000-0000-0000-0000-000000000000}"/>
  <bookViews>
    <workbookView xWindow="5415" yWindow="1950" windowWidth="21900" windowHeight="11400" activeTab="8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3" i="16" l="1"/>
  <c r="G203" i="16"/>
  <c r="K203" i="16" s="1"/>
  <c r="F203" i="16"/>
  <c r="I203" i="16" s="1"/>
  <c r="J203" i="16" s="1"/>
  <c r="E203" i="16"/>
  <c r="J27" i="40"/>
  <c r="H27" i="40"/>
  <c r="G27" i="40"/>
  <c r="F27" i="40"/>
  <c r="E27" i="40"/>
  <c r="I27" i="40" s="1"/>
  <c r="H202" i="16" l="1"/>
  <c r="G202" i="16"/>
  <c r="K202" i="16" s="1"/>
  <c r="F202" i="16"/>
  <c r="I202" i="16" s="1"/>
  <c r="J202" i="16" s="1"/>
  <c r="E202" i="16"/>
  <c r="H201" i="16" l="1"/>
  <c r="G201" i="16"/>
  <c r="K201" i="16" s="1"/>
  <c r="F201" i="16"/>
  <c r="I201" i="16" s="1"/>
  <c r="J201" i="16" s="1"/>
  <c r="E201" i="16"/>
  <c r="H200" i="16" l="1"/>
  <c r="G200" i="16"/>
  <c r="K200" i="16" s="1"/>
  <c r="F200" i="16"/>
  <c r="I200" i="16" s="1"/>
  <c r="J200" i="16" s="1"/>
  <c r="E200" i="16"/>
  <c r="H199" i="16"/>
  <c r="G199" i="16"/>
  <c r="K199" i="16" s="1"/>
  <c r="F199" i="16"/>
  <c r="I199" i="16" s="1"/>
  <c r="J199" i="16" s="1"/>
  <c r="E199" i="16"/>
  <c r="I198" i="16" l="1"/>
  <c r="J198" i="16" s="1"/>
  <c r="H198" i="16"/>
  <c r="G198" i="16"/>
  <c r="K198" i="16" s="1"/>
  <c r="F198" i="16"/>
  <c r="E198" i="16"/>
  <c r="J26" i="40" l="1"/>
  <c r="H26" i="40"/>
  <c r="G26" i="40"/>
  <c r="F26" i="40"/>
  <c r="E26" i="40"/>
  <c r="I26" i="40"/>
  <c r="H197" i="16" l="1"/>
  <c r="I197" i="16" s="1"/>
  <c r="J197" i="16" s="1"/>
  <c r="G197" i="16"/>
  <c r="K197" i="16" s="1"/>
  <c r="F197" i="16"/>
  <c r="E197" i="16"/>
  <c r="H196" i="16"/>
  <c r="G196" i="16"/>
  <c r="K196" i="16" s="1"/>
  <c r="F196" i="16"/>
  <c r="I196" i="16" s="1"/>
  <c r="J196" i="16" s="1"/>
  <c r="E196" i="16"/>
  <c r="I195" i="16" l="1"/>
  <c r="J195" i="16" s="1"/>
  <c r="H195" i="16"/>
  <c r="G195" i="16"/>
  <c r="K195" i="16" s="1"/>
  <c r="F195" i="16"/>
  <c r="E195" i="16"/>
  <c r="H194" i="16" l="1"/>
  <c r="F194" i="16"/>
  <c r="I194" i="16" s="1"/>
  <c r="J194" i="16" s="1"/>
  <c r="E194" i="16"/>
  <c r="G194" i="16" l="1"/>
  <c r="K194" i="16" s="1"/>
  <c r="J25" i="40" l="1"/>
  <c r="H25" i="40"/>
  <c r="G25" i="40"/>
  <c r="F25" i="40"/>
  <c r="E25" i="40"/>
  <c r="I25" i="40" s="1"/>
  <c r="H193" i="16"/>
  <c r="I193" i="16" s="1"/>
  <c r="J193" i="16" s="1"/>
  <c r="G193" i="16"/>
  <c r="K193" i="16" s="1"/>
  <c r="F193" i="16"/>
  <c r="H192" i="16"/>
  <c r="G192" i="16"/>
  <c r="K192" i="16" s="1"/>
  <c r="F192" i="16"/>
  <c r="I192" i="16" s="1"/>
  <c r="J192" i="16" s="1"/>
  <c r="E193" i="16"/>
  <c r="E192" i="16"/>
  <c r="I191" i="16" l="1"/>
  <c r="J191" i="16" s="1"/>
  <c r="H191" i="16"/>
  <c r="G191" i="16"/>
  <c r="K191" i="16" s="1"/>
  <c r="F191" i="16"/>
  <c r="G24" i="40" l="1"/>
  <c r="F24" i="40"/>
  <c r="E24" i="40"/>
  <c r="I24" i="40" s="1"/>
  <c r="J24" i="40" s="1"/>
  <c r="E191" i="16"/>
  <c r="H24" i="40" l="1"/>
  <c r="J23" i="40"/>
  <c r="H23" i="40"/>
  <c r="G23" i="40"/>
  <c r="F23" i="40"/>
  <c r="E23" i="40"/>
  <c r="I23" i="40"/>
  <c r="I190" i="16" l="1"/>
  <c r="J190" i="16" s="1"/>
  <c r="H190" i="16"/>
  <c r="G190" i="16"/>
  <c r="K190" i="16" s="1"/>
  <c r="F190" i="16"/>
  <c r="E190" i="16"/>
  <c r="I189" i="16" l="1"/>
  <c r="J189" i="16" s="1"/>
  <c r="H189" i="16"/>
  <c r="G189" i="16"/>
  <c r="K189" i="16" s="1"/>
  <c r="F189" i="16"/>
  <c r="E189" i="16"/>
  <c r="I188" i="16" l="1"/>
  <c r="J188" i="16" s="1"/>
  <c r="H188" i="16"/>
  <c r="G188" i="16"/>
  <c r="K188" i="16" s="1"/>
  <c r="F188" i="16"/>
  <c r="E188" i="16"/>
  <c r="H187" i="16" l="1"/>
  <c r="G187" i="16"/>
  <c r="K187" i="16" s="1"/>
  <c r="F187" i="16"/>
  <c r="I187" i="16" s="1"/>
  <c r="J187" i="16" s="1"/>
  <c r="E187" i="16"/>
  <c r="I22" i="40"/>
  <c r="J22" i="40" s="1"/>
  <c r="H22" i="40"/>
  <c r="G22" i="40"/>
  <c r="F22" i="40"/>
  <c r="E22" i="40"/>
  <c r="G21" i="40"/>
  <c r="F21" i="40"/>
  <c r="E21" i="40"/>
  <c r="I21" i="40" s="1"/>
  <c r="J21" i="40" s="1"/>
  <c r="H186" i="16"/>
  <c r="G186" i="16"/>
  <c r="K186" i="16" s="1"/>
  <c r="F186" i="16"/>
  <c r="I186" i="16" s="1"/>
  <c r="J186" i="16" s="1"/>
  <c r="H185" i="16"/>
  <c r="G185" i="16"/>
  <c r="K185" i="16" s="1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K184" i="16" s="1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K183" i="16" s="1"/>
  <c r="F183" i="16"/>
  <c r="E183" i="16"/>
  <c r="I20" i="40" l="1"/>
  <c r="J20" i="40" s="1"/>
  <c r="J19" i="40"/>
  <c r="H19" i="40"/>
  <c r="G19" i="40"/>
  <c r="F19" i="40"/>
  <c r="E19" i="40"/>
  <c r="I19" i="40"/>
  <c r="H182" i="16"/>
  <c r="G182" i="16"/>
  <c r="K182" i="16" s="1"/>
  <c r="F182" i="16"/>
  <c r="I182" i="16" s="1"/>
  <c r="J182" i="16" s="1"/>
  <c r="E182" i="16"/>
  <c r="J18" i="40" l="1"/>
  <c r="H18" i="40"/>
  <c r="G18" i="40"/>
  <c r="F18" i="40"/>
  <c r="E18" i="40"/>
  <c r="I18" i="40"/>
  <c r="H181" i="16"/>
  <c r="G181" i="16"/>
  <c r="K181" i="16" s="1"/>
  <c r="F181" i="16"/>
  <c r="I181" i="16" s="1"/>
  <c r="J181" i="16" s="1"/>
  <c r="E181" i="16"/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AX9" i="44" l="1"/>
  <c r="AW9" i="44"/>
  <c r="BA4" i="44"/>
  <c r="BA7" i="44" s="1"/>
  <c r="AZ14" i="44"/>
  <c r="AZ15" i="44" s="1"/>
  <c r="AZ16" i="44" s="1"/>
  <c r="AX4" i="44"/>
  <c r="AX7" i="44" s="1"/>
  <c r="BA14" i="44"/>
  <c r="BA15" i="44" s="1"/>
  <c r="BA16" i="44" s="1"/>
  <c r="AZ9" i="44"/>
  <c r="AW4" i="44"/>
  <c r="AX14" i="44"/>
  <c r="AX15" i="44" s="1"/>
  <c r="AX16" i="44" s="1"/>
  <c r="BA9" i="44"/>
  <c r="BA10" i="44" s="1"/>
  <c r="AZ4" i="44"/>
  <c r="AW14" i="44"/>
  <c r="AY9" i="44"/>
  <c r="AY4" i="44"/>
  <c r="AY14" i="44"/>
  <c r="AY15" i="44" s="1"/>
  <c r="AY16" i="44" s="1"/>
  <c r="AW17" i="44"/>
  <c r="AW18" i="44"/>
  <c r="AW19" i="44" s="1"/>
  <c r="AZ17" i="41"/>
  <c r="AZ9" i="41"/>
  <c r="H14" i="40"/>
  <c r="AW20" i="44"/>
  <c r="AZ14" i="41"/>
  <c r="AX10" i="44"/>
  <c r="I172" i="16"/>
  <c r="J172" i="16" s="1"/>
  <c r="H172" i="16"/>
  <c r="G172" i="16"/>
  <c r="K172" i="16" s="1"/>
  <c r="F172" i="16"/>
  <c r="BA5" i="44" l="1"/>
  <c r="BA6" i="44" s="1"/>
  <c r="AY12" i="44"/>
  <c r="AY10" i="44"/>
  <c r="AY13" i="44" s="1"/>
  <c r="AZ12" i="44"/>
  <c r="AZ10" i="44"/>
  <c r="AZ13" i="44" s="1"/>
  <c r="BA13" i="44"/>
  <c r="BA12" i="44"/>
  <c r="AX13" i="44"/>
  <c r="AX12" i="44"/>
  <c r="AW5" i="44"/>
  <c r="BB5" i="44" s="1"/>
  <c r="AW7" i="44"/>
  <c r="AW15" i="44"/>
  <c r="BB14" i="44"/>
  <c r="AY7" i="44"/>
  <c r="AY8" i="44" s="1"/>
  <c r="AW12" i="44"/>
  <c r="AW10" i="44"/>
  <c r="BA8" i="44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BB15" i="44" l="1"/>
  <c r="AW16" i="44"/>
  <c r="BB16" i="44" s="1"/>
  <c r="I12" i="40"/>
  <c r="H13" i="40"/>
  <c r="BB7" i="44"/>
  <c r="BB10" i="44"/>
  <c r="BA11" i="44"/>
  <c r="AW6" i="44"/>
  <c r="BB6" i="44" s="1"/>
  <c r="AX11" i="44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I96" i="25"/>
  <c r="F100" i="25"/>
  <c r="F97" i="25"/>
  <c r="I101" i="25"/>
  <c r="F49" i="25"/>
  <c r="F56" i="25"/>
  <c r="I125" i="25"/>
  <c r="I212" i="25"/>
  <c r="F179" i="25"/>
  <c r="F70" i="25"/>
  <c r="I217" i="25"/>
  <c r="I182" i="25"/>
  <c r="F8" i="25"/>
  <c r="F111" i="25"/>
  <c r="I113" i="25"/>
  <c r="F145" i="25"/>
  <c r="F184" i="25"/>
  <c r="I66" i="25"/>
  <c r="I55" i="25"/>
  <c r="I209" i="25"/>
  <c r="F50" i="25"/>
  <c r="I79" i="25"/>
  <c r="F62" i="25"/>
  <c r="I25" i="25"/>
  <c r="F58" i="25"/>
  <c r="F201" i="25"/>
  <c r="I31" i="25"/>
  <c r="I194" i="25"/>
  <c r="I196" i="25"/>
  <c r="I94" i="25"/>
  <c r="F165" i="25"/>
  <c r="F3" i="25"/>
  <c r="I178" i="25"/>
  <c r="F114" i="25"/>
  <c r="I54" i="25"/>
  <c r="I40" i="25"/>
  <c r="I90" i="25"/>
  <c r="I128" i="25"/>
  <c r="F162" i="25"/>
  <c r="I124" i="25"/>
  <c r="F122" i="25"/>
  <c r="F67" i="25"/>
  <c r="F181" i="25"/>
  <c r="I129" i="25"/>
  <c r="F144" i="25"/>
  <c r="I28" i="25"/>
  <c r="H8" i="28"/>
  <c r="F142" i="25"/>
  <c r="I186" i="25"/>
  <c r="F25" i="25"/>
  <c r="F146" i="25"/>
  <c r="I139" i="25"/>
  <c r="D8" i="28"/>
  <c r="I46" i="25"/>
  <c r="I86" i="25"/>
  <c r="F77" i="25"/>
  <c r="I34" i="25"/>
  <c r="F73" i="25"/>
  <c r="I156" i="25"/>
  <c r="I138" i="25"/>
  <c r="I64" i="25"/>
  <c r="I38" i="25"/>
  <c r="I170" i="25"/>
  <c r="F175" i="25"/>
  <c r="I50" i="25"/>
  <c r="I84" i="25"/>
  <c r="F21" i="25"/>
  <c r="I7" i="25"/>
  <c r="I213" i="25"/>
  <c r="I187" i="25"/>
  <c r="F12" i="25"/>
  <c r="I146" i="25"/>
  <c r="I140" i="25"/>
  <c r="F196" i="25"/>
  <c r="F198" i="25"/>
  <c r="F192" i="25"/>
  <c r="I111" i="25"/>
  <c r="I110" i="25"/>
  <c r="F66" i="25"/>
  <c r="F116" i="25"/>
  <c r="I82" i="25"/>
  <c r="F22" i="25"/>
  <c r="I157" i="25"/>
  <c r="F78" i="25"/>
  <c r="I193" i="25"/>
  <c r="I18" i="25"/>
  <c r="F214" i="25"/>
  <c r="F108" i="25"/>
  <c r="F140" i="25"/>
  <c r="I98" i="25"/>
  <c r="I27" i="25"/>
  <c r="I143" i="25"/>
  <c r="F65" i="25"/>
  <c r="I8" i="28"/>
  <c r="I171" i="25"/>
  <c r="I155" i="25"/>
  <c r="I173" i="25"/>
  <c r="I26" i="25"/>
  <c r="F160" i="25"/>
  <c r="I116" i="25"/>
  <c r="F38" i="25"/>
  <c r="F40" i="25"/>
  <c r="I221" i="25"/>
  <c r="F135" i="25"/>
  <c r="F95" i="25"/>
  <c r="I133" i="25"/>
  <c r="F105" i="25"/>
  <c r="F43" i="25"/>
  <c r="D7" i="28"/>
  <c r="F63" i="25"/>
  <c r="F159" i="25"/>
  <c r="F119" i="25"/>
  <c r="D9" i="28"/>
  <c r="F18" i="25"/>
  <c r="I112" i="25"/>
  <c r="F190" i="25"/>
  <c r="I122" i="25"/>
  <c r="F209" i="25"/>
  <c r="I152" i="25"/>
  <c r="F150" i="25"/>
  <c r="F98" i="25"/>
  <c r="F68" i="25"/>
  <c r="I177" i="25"/>
  <c r="F61" i="25"/>
  <c r="F45" i="25"/>
  <c r="F72" i="25"/>
  <c r="I78" i="25"/>
  <c r="I185" i="25"/>
  <c r="I137" i="25"/>
  <c r="F217" i="25"/>
  <c r="I76" i="25"/>
  <c r="I123" i="25"/>
  <c r="I163" i="25"/>
  <c r="I144" i="25"/>
  <c r="I53" i="25"/>
  <c r="I41" i="25"/>
  <c r="F44" i="25"/>
  <c r="F127" i="25"/>
  <c r="I162" i="25"/>
  <c r="I102" i="25"/>
  <c r="I147" i="25"/>
  <c r="F141" i="25"/>
  <c r="F5" i="25"/>
  <c r="F154" i="25"/>
  <c r="F216" i="25"/>
  <c r="F157" i="25"/>
  <c r="F147" i="25"/>
  <c r="I8" i="25"/>
  <c r="F113" i="25"/>
  <c r="F15" i="25"/>
  <c r="F110" i="25"/>
  <c r="I42" i="25"/>
  <c r="F32" i="25"/>
  <c r="I141" i="25"/>
  <c r="F118" i="25"/>
  <c r="I35" i="25"/>
  <c r="F85" i="25"/>
  <c r="I120" i="25"/>
  <c r="I73" i="25"/>
  <c r="F53" i="25"/>
  <c r="F41" i="25"/>
  <c r="I30" i="25"/>
  <c r="I203" i="25"/>
  <c r="F47" i="25"/>
  <c r="F112" i="25"/>
  <c r="I4" i="25"/>
  <c r="I219" i="25"/>
  <c r="F99" i="25"/>
  <c r="I59" i="25"/>
  <c r="F83" i="25"/>
  <c r="F194" i="25"/>
  <c r="I72" i="25"/>
  <c r="F138" i="25"/>
  <c r="I74" i="25"/>
  <c r="I44" i="25"/>
  <c r="F104" i="25"/>
  <c r="F161" i="25"/>
  <c r="I15" i="25"/>
  <c r="F136" i="25"/>
  <c r="I210" i="25"/>
  <c r="I169" i="25"/>
  <c r="I204" i="25"/>
  <c r="F19" i="25"/>
  <c r="F80" i="25"/>
  <c r="F89" i="25"/>
  <c r="I92" i="25"/>
  <c r="I11" i="25"/>
  <c r="F210" i="25"/>
  <c r="I39" i="25"/>
  <c r="F46" i="25"/>
  <c r="F218" i="25"/>
  <c r="F48" i="25"/>
  <c r="F148" i="25"/>
  <c r="I89" i="25"/>
  <c r="F35" i="25"/>
  <c r="I68" i="25"/>
  <c r="F102" i="25"/>
  <c r="I214" i="25"/>
  <c r="I132" i="25"/>
  <c r="F24" i="25"/>
  <c r="F174" i="25"/>
  <c r="I16" i="25"/>
  <c r="F120" i="25"/>
  <c r="I180" i="25"/>
  <c r="I158" i="25"/>
  <c r="F4" i="25"/>
  <c r="F137" i="25"/>
  <c r="F29" i="25"/>
  <c r="I7" i="28"/>
  <c r="I67" i="25"/>
  <c r="I174" i="25"/>
  <c r="I99" i="25"/>
  <c r="F88" i="25"/>
  <c r="I208" i="25"/>
  <c r="F13" i="25"/>
  <c r="I93" i="25"/>
  <c r="I91" i="25"/>
  <c r="F207" i="25"/>
  <c r="F221" i="25"/>
  <c r="I195" i="25"/>
  <c r="I70" i="25"/>
  <c r="F193" i="25"/>
  <c r="E8" i="28"/>
  <c r="F126" i="25"/>
  <c r="F129" i="25"/>
  <c r="F121" i="25"/>
  <c r="F169" i="25"/>
  <c r="I107" i="25"/>
  <c r="F16" i="25"/>
  <c r="F133" i="25"/>
  <c r="I131" i="25"/>
  <c r="I218" i="25"/>
  <c r="F182" i="25"/>
  <c r="F197" i="25"/>
  <c r="I166" i="25"/>
  <c r="F92" i="25"/>
  <c r="I200" i="25"/>
  <c r="I202" i="25"/>
  <c r="F26" i="25"/>
  <c r="F219" i="25"/>
  <c r="F64" i="25"/>
  <c r="F96" i="25"/>
  <c r="I109" i="25"/>
  <c r="F186" i="25"/>
  <c r="I65" i="25"/>
  <c r="I21" i="25"/>
  <c r="E7" i="28"/>
  <c r="F23" i="25"/>
  <c r="I148" i="25"/>
  <c r="I58" i="25"/>
  <c r="F117" i="25"/>
  <c r="I206" i="25"/>
  <c r="I106" i="25"/>
  <c r="I119" i="25"/>
  <c r="I201" i="25"/>
  <c r="F212" i="25"/>
  <c r="I19" i="25"/>
  <c r="E9" i="28"/>
  <c r="F188" i="25"/>
  <c r="F208" i="25"/>
  <c r="I81" i="25"/>
  <c r="F149" i="25"/>
  <c r="F163" i="25"/>
  <c r="I222" i="25"/>
  <c r="F166" i="25"/>
  <c r="I97" i="25"/>
  <c r="I49" i="25"/>
  <c r="I153" i="25"/>
  <c r="I87" i="25"/>
  <c r="F170" i="25"/>
  <c r="F91" i="25"/>
  <c r="I142" i="25"/>
  <c r="F33" i="25"/>
  <c r="I71" i="25"/>
  <c r="F17" i="25"/>
  <c r="F76" i="25"/>
  <c r="F86" i="25"/>
  <c r="I127" i="25"/>
  <c r="I115" i="25"/>
  <c r="I24" i="25"/>
  <c r="F155" i="25"/>
  <c r="F203" i="25"/>
  <c r="I6" i="25"/>
  <c r="F125" i="25"/>
  <c r="F27" i="25"/>
  <c r="F204" i="25"/>
  <c r="F42" i="25"/>
  <c r="F185" i="25"/>
  <c r="I95" i="25"/>
  <c r="I12" i="25"/>
  <c r="I5" i="25"/>
  <c r="I47" i="25"/>
  <c r="F124" i="25"/>
  <c r="F30" i="25"/>
  <c r="I69" i="25"/>
  <c r="F168" i="25"/>
  <c r="F107" i="25"/>
  <c r="I63" i="25"/>
  <c r="I36" i="25"/>
  <c r="F31" i="25"/>
  <c r="F34" i="25"/>
  <c r="I22" i="25"/>
  <c r="F152" i="25"/>
  <c r="F183" i="25"/>
  <c r="F7" i="25"/>
  <c r="I114" i="25"/>
  <c r="I199" i="25"/>
  <c r="H7" i="28"/>
  <c r="F11" i="25"/>
  <c r="F69" i="25"/>
  <c r="F103" i="25"/>
  <c r="I154" i="25"/>
  <c r="I184" i="25"/>
  <c r="I145" i="25"/>
  <c r="I197" i="25"/>
  <c r="F60" i="25"/>
  <c r="I198" i="25"/>
  <c r="I100" i="25"/>
  <c r="F134" i="25"/>
  <c r="F178" i="25"/>
  <c r="I167" i="25"/>
  <c r="F55" i="25"/>
  <c r="I121" i="25"/>
  <c r="I23" i="25"/>
  <c r="F51" i="25"/>
  <c r="I103" i="25"/>
  <c r="F59" i="25"/>
  <c r="F20" i="25"/>
  <c r="F9" i="25"/>
  <c r="F187" i="25"/>
  <c r="I61" i="25"/>
  <c r="I215" i="25"/>
  <c r="I85" i="25"/>
  <c r="F205" i="25"/>
  <c r="F10" i="25"/>
  <c r="F109" i="25"/>
  <c r="F128" i="25"/>
  <c r="F75" i="25"/>
  <c r="I160" i="25"/>
  <c r="F131" i="25"/>
  <c r="I10" i="25"/>
  <c r="F222" i="25"/>
  <c r="F176" i="25"/>
  <c r="I130" i="25"/>
  <c r="F82" i="25"/>
  <c r="I83" i="25"/>
  <c r="F52" i="25"/>
  <c r="F93" i="25"/>
  <c r="I165" i="25"/>
  <c r="I179" i="25"/>
  <c r="I176" i="25"/>
  <c r="F39" i="25"/>
  <c r="I136" i="25"/>
  <c r="I211" i="25"/>
  <c r="F79" i="25"/>
  <c r="F220" i="25"/>
  <c r="F211" i="25"/>
  <c r="F106" i="25"/>
  <c r="I117" i="25"/>
  <c r="F36" i="25"/>
  <c r="I192" i="25"/>
  <c r="I29" i="25"/>
  <c r="I62" i="25"/>
  <c r="F87" i="25"/>
  <c r="F94" i="25"/>
  <c r="I37" i="25"/>
  <c r="I57" i="25"/>
  <c r="I33" i="25"/>
  <c r="I220" i="25"/>
  <c r="F195" i="25"/>
  <c r="F180" i="25"/>
  <c r="F177" i="25"/>
  <c r="I48" i="25"/>
  <c r="I181" i="25"/>
  <c r="I60" i="25"/>
  <c r="F153" i="25"/>
  <c r="H9" i="28"/>
  <c r="F200" i="25"/>
  <c r="I13" i="25"/>
  <c r="F173" i="25"/>
  <c r="F54" i="25"/>
  <c r="F6" i="25"/>
  <c r="F101" i="25"/>
  <c r="F81" i="25"/>
  <c r="I189" i="25"/>
  <c r="F191" i="25"/>
  <c r="I207" i="25"/>
  <c r="F71" i="25"/>
  <c r="F28" i="25"/>
  <c r="F156" i="25"/>
  <c r="F171" i="25"/>
  <c r="I17" i="25"/>
  <c r="I104" i="25"/>
  <c r="I108" i="25"/>
  <c r="F199" i="25"/>
  <c r="I216" i="25"/>
  <c r="F74" i="25"/>
  <c r="I75" i="25"/>
  <c r="I159" i="25"/>
  <c r="I14" i="25"/>
  <c r="F123" i="25"/>
  <c r="I149" i="25"/>
  <c r="F90" i="25"/>
  <c r="F213" i="25"/>
  <c r="I77" i="25"/>
  <c r="F115" i="25"/>
  <c r="I118" i="25"/>
  <c r="I45" i="25"/>
  <c r="F158" i="25"/>
  <c r="F172" i="25"/>
  <c r="I105" i="25"/>
  <c r="F130" i="25"/>
  <c r="I190" i="25"/>
  <c r="I135" i="25"/>
  <c r="I161" i="25"/>
  <c r="I191" i="25"/>
  <c r="I188" i="25"/>
  <c r="F202" i="25"/>
  <c r="I183" i="25"/>
  <c r="F132" i="25"/>
  <c r="I151" i="25"/>
  <c r="I172" i="25"/>
  <c r="F143" i="25"/>
  <c r="I168" i="25"/>
  <c r="F189" i="25"/>
  <c r="I20" i="25"/>
  <c r="F139" i="25"/>
  <c r="I43" i="25"/>
  <c r="F151" i="25"/>
  <c r="I205" i="25"/>
  <c r="I32" i="25"/>
  <c r="F37" i="25"/>
  <c r="I52" i="25"/>
  <c r="F84" i="25"/>
  <c r="I9" i="25"/>
  <c r="I126" i="25"/>
  <c r="I3" i="25"/>
  <c r="I175" i="25"/>
  <c r="I56" i="25"/>
  <c r="F57" i="25"/>
  <c r="I134" i="25"/>
  <c r="F167" i="25"/>
  <c r="I80" i="25"/>
  <c r="F164" i="25"/>
  <c r="F215" i="25"/>
  <c r="I9" i="28"/>
  <c r="F14" i="25"/>
  <c r="I51" i="25"/>
  <c r="I150" i="25"/>
  <c r="F206" i="25"/>
  <c r="I164" i="25"/>
  <c r="I88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<sst xmlns="http://schemas.openxmlformats.org/spreadsheetml/2006/main" count="1031" uniqueCount="311">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</sst>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  <c:pt idx="175">
                  <c:v>14085</c:v>
                </c:pt>
                <c:pt idx="176">
                  <c:v>13430</c:v>
                </c:pt>
                <c:pt idx="177">
                  <c:v>14430</c:v>
                </c:pt>
                <c:pt idx="178">
                  <c:v>14330</c:v>
                </c:pt>
                <c:pt idx="179">
                  <c:v>16790</c:v>
                </c:pt>
                <c:pt idx="180">
                  <c:v>16790</c:v>
                </c:pt>
                <c:pt idx="181">
                  <c:v>17365</c:v>
                </c:pt>
                <c:pt idx="182">
                  <c:v>16965</c:v>
                </c:pt>
                <c:pt idx="183">
                  <c:v>16965</c:v>
                </c:pt>
                <c:pt idx="184">
                  <c:v>17065</c:v>
                </c:pt>
                <c:pt idx="185">
                  <c:v>16450</c:v>
                </c:pt>
                <c:pt idx="186">
                  <c:v>16450</c:v>
                </c:pt>
                <c:pt idx="187">
                  <c:v>16500</c:v>
                </c:pt>
                <c:pt idx="188">
                  <c:v>16525</c:v>
                </c:pt>
                <c:pt idx="189">
                  <c:v>16525</c:v>
                </c:pt>
                <c:pt idx="190">
                  <c:v>16625</c:v>
                </c:pt>
                <c:pt idx="191">
                  <c:v>17330</c:v>
                </c:pt>
                <c:pt idx="192">
                  <c:v>16475</c:v>
                </c:pt>
                <c:pt idx="193">
                  <c:v>16475</c:v>
                </c:pt>
                <c:pt idx="194">
                  <c:v>16745</c:v>
                </c:pt>
                <c:pt idx="195">
                  <c:v>16890</c:v>
                </c:pt>
                <c:pt idx="196">
                  <c:v>16830</c:v>
                </c:pt>
                <c:pt idx="197">
                  <c:v>17240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2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X12" sqref="X11:X12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88" t="s">
        <v>228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90" t="s">
        <v>240</v>
      </c>
      <c r="AM1" s="391"/>
      <c r="AN1" s="391"/>
      <c r="AO1" s="391"/>
      <c r="AP1" s="391"/>
      <c r="AQ1" s="391"/>
      <c r="AR1" s="391"/>
      <c r="AS1" s="391"/>
      <c r="AT1" s="391"/>
      <c r="AU1" s="391"/>
      <c r="AV1" s="391"/>
      <c r="AW1" s="391"/>
      <c r="AX1" s="391"/>
      <c r="AY1" s="391"/>
      <c r="AZ1" s="391"/>
      <c r="BA1" s="391"/>
      <c r="BB1" s="391"/>
      <c r="BC1" s="391"/>
      <c r="BD1" s="391"/>
      <c r="BE1" s="391"/>
      <c r="BF1" s="391"/>
      <c r="BG1" s="391"/>
      <c r="BH1" s="391"/>
      <c r="BI1" s="391"/>
      <c r="BJ1" s="391"/>
      <c r="BK1" s="392"/>
    </row>
    <row r="2" spans="1:63" s="198" customFormat="1" ht="15.75" customHeight="1" x14ac:dyDescent="0.25">
      <c r="A2" s="369" t="s">
        <v>234</v>
      </c>
      <c r="B2" s="369"/>
      <c r="C2" s="370"/>
      <c r="D2" s="371" t="s">
        <v>62</v>
      </c>
      <c r="E2" s="369"/>
      <c r="F2" s="369"/>
      <c r="G2" s="369"/>
      <c r="H2" s="370"/>
      <c r="I2" s="366" t="s">
        <v>246</v>
      </c>
      <c r="J2" s="367"/>
      <c r="K2" s="367"/>
      <c r="L2" s="367"/>
      <c r="M2" s="367"/>
      <c r="N2" s="367"/>
      <c r="O2" s="367"/>
      <c r="P2" s="367"/>
      <c r="Q2" s="367"/>
      <c r="R2" s="367"/>
      <c r="S2" s="367"/>
      <c r="T2" s="368"/>
      <c r="U2" s="366" t="s">
        <v>269</v>
      </c>
      <c r="V2" s="367"/>
      <c r="W2" s="367"/>
      <c r="X2" s="367"/>
      <c r="Y2" s="367"/>
      <c r="Z2" s="367"/>
      <c r="AA2" s="368"/>
      <c r="AB2" s="366" t="s">
        <v>254</v>
      </c>
      <c r="AC2" s="367"/>
      <c r="AD2" s="367"/>
      <c r="AE2" s="367"/>
      <c r="AF2" s="367"/>
      <c r="AG2" s="367"/>
      <c r="AH2" s="367"/>
      <c r="AI2" s="367"/>
      <c r="AJ2" s="367"/>
      <c r="AK2" s="368"/>
      <c r="AL2" s="371" t="s">
        <v>239</v>
      </c>
      <c r="AM2" s="369"/>
      <c r="AN2" s="369"/>
      <c r="AO2" s="369"/>
      <c r="AP2" s="369"/>
      <c r="AQ2" s="369"/>
      <c r="AR2" s="370"/>
      <c r="AS2" s="371" t="s">
        <v>232</v>
      </c>
      <c r="AT2" s="369"/>
      <c r="AU2" s="369"/>
      <c r="AV2" s="369"/>
      <c r="AW2" s="369"/>
      <c r="AX2" s="369"/>
      <c r="AY2" s="369"/>
      <c r="AZ2" s="370"/>
      <c r="BA2" s="369" t="s">
        <v>233</v>
      </c>
      <c r="BB2" s="369"/>
      <c r="BC2" s="369"/>
      <c r="BD2" s="369"/>
      <c r="BE2" s="369"/>
      <c r="BF2" s="369"/>
      <c r="BG2" s="369"/>
      <c r="BH2" s="369"/>
      <c r="BI2" s="369"/>
      <c r="BJ2" s="369"/>
      <c r="BK2" s="370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72" t="s">
        <v>238</v>
      </c>
      <c r="AT3" s="373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61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11429</v>
      </c>
      <c r="F4" s="74">
        <v>9142</v>
      </c>
      <c r="G4" s="74">
        <v>5392</v>
      </c>
      <c r="H4" s="323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10.981012658227847</v>
      </c>
      <c r="AQ4" s="257">
        <f>COUNT(D真龍!F:F)</f>
        <v>316</v>
      </c>
      <c r="AR4" s="114">
        <f>$B$5/AP4</f>
        <v>2.7319884726224788</v>
      </c>
      <c r="AS4" s="378" t="s">
        <v>68</v>
      </c>
      <c r="AT4" s="222" t="s">
        <v>229</v>
      </c>
      <c r="AU4" s="208">
        <f>MAX(SUM(BC4:BK4) - E4 + V4,0)</f>
        <v>0</v>
      </c>
      <c r="AV4" s="209">
        <f>MAX(SUM(BC5:BK5) - E5 + V5,0)</f>
        <v>0</v>
      </c>
      <c r="AW4" s="210">
        <f>MAX(SUM(BC6:BK6) - E6 + V6,0)</f>
        <v>0</v>
      </c>
      <c r="AX4" s="211">
        <f>MAX(SUM(BC7:BK7) - E7 + V7,0)</f>
        <v>0</v>
      </c>
      <c r="AY4" s="223">
        <f>MAX(SUM(BC8:BK8) - E8 + V8,0)</f>
        <v>1030</v>
      </c>
      <c r="AZ4" s="228">
        <f>SUM(AU4:AY4)</f>
        <v>1030</v>
      </c>
      <c r="BA4" s="362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12142</v>
      </c>
      <c r="F5" s="71">
        <v>4000</v>
      </c>
      <c r="G5" s="71">
        <v>5389</v>
      </c>
      <c r="H5" s="324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47">
        <f t="shared" si="2"/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6.3196202531645564</v>
      </c>
      <c r="AQ5" s="257">
        <f>COUNT(D真龍!H:H)</f>
        <v>316</v>
      </c>
      <c r="AR5" s="114">
        <f>$B$5/AP5</f>
        <v>4.7471206810215323</v>
      </c>
      <c r="AS5" s="372"/>
      <c r="AT5" s="185" t="s">
        <v>76</v>
      </c>
      <c r="AU5" s="74">
        <f>ROUNDUP(AU4/$AP$4,0)</f>
        <v>0</v>
      </c>
      <c r="AV5" s="71">
        <f>ROUNDUP(AV4/$AP$4,0)</f>
        <v>0</v>
      </c>
      <c r="AW5" s="72">
        <f>ROUNDUP(AW4/$AP$4,0)</f>
        <v>0</v>
      </c>
      <c r="AX5" s="131">
        <f>ROUNDUP(AX4/$AP$4,0)</f>
        <v>0</v>
      </c>
      <c r="AY5" s="73">
        <f>ROUNDUP(AY4/$AP$4,0)</f>
        <v>94</v>
      </c>
      <c r="AZ5" s="229">
        <f t="shared" ref="AZ5:AZ17" si="3">SUM(AU5:AY5)</f>
        <v>94</v>
      </c>
      <c r="BA5" s="362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10043</v>
      </c>
      <c r="F6" s="72">
        <v>4205</v>
      </c>
      <c r="G6" s="72">
        <v>1884</v>
      </c>
      <c r="H6" s="325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47">
        <f t="shared" si="2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0.40322580645161288</v>
      </c>
      <c r="AQ6" s="257">
        <f>COUNT(D真龍!G:G)</f>
        <v>124</v>
      </c>
      <c r="AR6" s="293">
        <f>$B$5/AP6</f>
        <v>74.400000000000006</v>
      </c>
      <c r="AS6" s="372"/>
      <c r="AT6" s="185" t="s">
        <v>236</v>
      </c>
      <c r="AU6" s="204">
        <f>ROUNDUP(AU5/(RECOVER_AP / $B$5)*RECOVER_DIAMS,0)</f>
        <v>0</v>
      </c>
      <c r="AV6" s="207">
        <f>ROUNDUP(AV5/(RECOVER_AP / $B$5)*RECOVER_DIAMS,0)</f>
        <v>0</v>
      </c>
      <c r="AW6" s="205">
        <f>ROUNDUP(AW5/(RECOVER_AP / $B$5)*RECOVER_DIAMS,0)</f>
        <v>0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3"/>
        <v>705</v>
      </c>
      <c r="BA6" s="362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3563</v>
      </c>
      <c r="F7" s="131">
        <v>989</v>
      </c>
      <c r="G7" s="131">
        <v>1657</v>
      </c>
      <c r="H7" s="326">
        <v>3976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47">
        <f t="shared" si="2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72"/>
      <c r="AT7" s="185" t="s">
        <v>116</v>
      </c>
      <c r="AU7" s="74">
        <f>ROUNDUP(AU4/$AP$8,0)</f>
        <v>0</v>
      </c>
      <c r="AV7" s="71">
        <f>ROUNDUP(AV4/$AP$8,0)</f>
        <v>0</v>
      </c>
      <c r="AW7" s="72">
        <f>ROUNDUP(AW4/$AP$8,0)</f>
        <v>0</v>
      </c>
      <c r="AX7" s="131">
        <f>ROUNDUP(AX4/$AP$8,0)</f>
        <v>0</v>
      </c>
      <c r="AY7" s="73">
        <f>ROUNDUP(AY4/$AP$8,0)</f>
        <v>86</v>
      </c>
      <c r="AZ7" s="229">
        <f t="shared" si="3"/>
        <v>86</v>
      </c>
      <c r="BA7" s="362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2070</v>
      </c>
      <c r="F8" s="73">
        <v>428</v>
      </c>
      <c r="G8" s="73">
        <v>1168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2"/>
        <v>1840</v>
      </c>
      <c r="X8" s="322">
        <f t="shared" si="2"/>
        <v>480</v>
      </c>
      <c r="Y8" s="322">
        <f t="shared" si="2"/>
        <v>360</v>
      </c>
      <c r="Z8" s="322">
        <f t="shared" si="2"/>
        <v>304</v>
      </c>
      <c r="AA8" s="348">
        <f t="shared" si="2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9.0909090909090917</v>
      </c>
      <c r="AN8" s="256">
        <f>COUNT(D真龍!K:K)</f>
        <v>22</v>
      </c>
      <c r="AO8" s="203">
        <f>$C$4/AM8</f>
        <v>4.3999999999999995</v>
      </c>
      <c r="AP8" s="115">
        <f>AVERAGE(D真龍!Q:Q)</f>
        <v>12.028011204481793</v>
      </c>
      <c r="AQ8" s="257">
        <f>COUNT(D真龍!Q:Q)</f>
        <v>714</v>
      </c>
      <c r="AR8" s="114">
        <f>$C$5/AP8</f>
        <v>3.3255705635770845</v>
      </c>
      <c r="AS8" s="379"/>
      <c r="AT8" s="224" t="s">
        <v>237</v>
      </c>
      <c r="AU8" s="216">
        <f>ROUNDUP(AU7/(RECOVER_AP / $C$5)*RECOVER_DIAMS,0)</f>
        <v>0</v>
      </c>
      <c r="AV8" s="217">
        <f>ROUNDUP(AV7/(RECOVER_AP / $C$5)*RECOVER_DIAMS,0)</f>
        <v>0</v>
      </c>
      <c r="AW8" s="218">
        <f>ROUNDUP(AW7/(RECOVER_AP / $C$5)*RECOVER_DIAMS,0)</f>
        <v>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3"/>
        <v>860</v>
      </c>
      <c r="BA8" s="363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72" t="s">
        <v>235</v>
      </c>
      <c r="E9" s="373"/>
      <c r="F9" s="373"/>
      <c r="G9" s="374">
        <v>2230</v>
      </c>
      <c r="H9" s="375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5.5</v>
      </c>
      <c r="AN9" s="256">
        <f>COUNT(D真龍!M:M)</f>
        <v>22</v>
      </c>
      <c r="AO9" s="203">
        <f>$C$4/AM9</f>
        <v>7.2727272727272725</v>
      </c>
      <c r="AP9" s="115">
        <f>AVERAGE(D真龍!S:S)+AVERAGE(D真龍!U:U)</f>
        <v>6.9369747899159666</v>
      </c>
      <c r="AQ9" s="257">
        <f>COUNT(D真龍!S:S)</f>
        <v>714</v>
      </c>
      <c r="AR9" s="114">
        <f>$C$5/AP9</f>
        <v>5.7662023016353725</v>
      </c>
      <c r="AS9" s="378" t="s">
        <v>71</v>
      </c>
      <c r="AT9" s="222" t="s">
        <v>229</v>
      </c>
      <c r="AU9" s="208">
        <f>MAX(SUM(BC10:BK10) - F4 + W4,0)</f>
        <v>0</v>
      </c>
      <c r="AV9" s="209">
        <f>MAX(SUM(BC11:BK11) - F5 + W5,0)</f>
        <v>0</v>
      </c>
      <c r="AW9" s="210">
        <f>MAX(SUM(BC12:BK12) - F6 + W6,0)</f>
        <v>0</v>
      </c>
      <c r="AX9" s="211">
        <f>MAX(SUM(BC13:BK13) - F7 + W7,0)</f>
        <v>851</v>
      </c>
      <c r="AY9" s="223">
        <f>MAX(SUM(BC14:BK14) - F8 + W8,0)</f>
        <v>1772</v>
      </c>
      <c r="AZ9" s="228">
        <f t="shared" si="3"/>
        <v>2623</v>
      </c>
      <c r="BA9" s="361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84" t="s">
        <v>245</v>
      </c>
      <c r="E10" s="385"/>
      <c r="F10" s="386">
        <v>140138020</v>
      </c>
      <c r="G10" s="386"/>
      <c r="H10" s="387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22</v>
      </c>
      <c r="AO10" s="203">
        <f>$C$4/AM10</f>
        <v>8</v>
      </c>
      <c r="AP10" s="115">
        <f>AVERAGE(D真龍!T:T)+AVERAGE(D真龍!V:V)</f>
        <v>6.9257703081232496</v>
      </c>
      <c r="AQ10" s="257">
        <f>COUNT(D真龍!T:T)</f>
        <v>714</v>
      </c>
      <c r="AR10" s="114">
        <f>$C$5/AP10</f>
        <v>5.7755308392315472</v>
      </c>
      <c r="AS10" s="372"/>
      <c r="AT10" s="185" t="s">
        <v>76</v>
      </c>
      <c r="AU10" s="74">
        <f>ROUNDUP(AU9/$AP$5,0)</f>
        <v>0</v>
      </c>
      <c r="AV10" s="71">
        <f>ROUNDUP(AV9/$AP$5,0)</f>
        <v>0</v>
      </c>
      <c r="AW10" s="72">
        <f>ROUNDUP(AW9/$AP$5,0)</f>
        <v>0</v>
      </c>
      <c r="AX10" s="131">
        <f>ROUNDUP(AX9/$AP$5,0)</f>
        <v>135</v>
      </c>
      <c r="AY10" s="73">
        <f>ROUNDUP(AY9/$AP$5,0)</f>
        <v>281</v>
      </c>
      <c r="AZ10" s="229">
        <f t="shared" si="3"/>
        <v>416</v>
      </c>
      <c r="BA10" s="362"/>
      <c r="BB10" s="179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73" t="s">
        <v>70</v>
      </c>
      <c r="AM11" s="297">
        <f>AVERAGE(D真龍!L:L)</f>
        <v>0.95238095238095233</v>
      </c>
      <c r="AN11" s="296">
        <f>COUNT(D真龍!L:L)</f>
        <v>21</v>
      </c>
      <c r="AO11" s="297">
        <f>$C$4/AM11</f>
        <v>42</v>
      </c>
      <c r="AP11" s="298">
        <f>AVERAGE(D真龍!R:R)</f>
        <v>1.152492668621701</v>
      </c>
      <c r="AQ11" s="269">
        <f>COUNT(D真龍!R:R)</f>
        <v>682</v>
      </c>
      <c r="AR11" s="299">
        <f>$C$5/AP11</f>
        <v>34.707379134860048</v>
      </c>
      <c r="AS11" s="372"/>
      <c r="AT11" s="185" t="s">
        <v>236</v>
      </c>
      <c r="AU11" s="204">
        <f>ROUNDUP(AU10/(RECOVER_AP / $B$5)*RECOVER_DIAMS,0)</f>
        <v>0</v>
      </c>
      <c r="AV11" s="207">
        <f>ROUNDUP(AV10/(RECOVER_AP / $B$5)*RECOVER_DIAMS,0)</f>
        <v>0</v>
      </c>
      <c r="AW11" s="205">
        <f>ROUNDUP(AW10/(RECOVER_AP / $B$5)*RECOVER_DIAMS,0)</f>
        <v>0</v>
      </c>
      <c r="AX11" s="206">
        <f>ROUNDUP(AX10/(RECOVER_AP / $B$5)*RECOVER_DIAMS,0)</f>
        <v>1013</v>
      </c>
      <c r="AY11" s="220">
        <f>ROUNDUP(AY10/(RECOVER_AP / $B$5)*RECOVER_DIAMS,0)</f>
        <v>2108</v>
      </c>
      <c r="AZ11" s="230">
        <f t="shared" si="3"/>
        <v>3121</v>
      </c>
      <c r="BA11" s="362"/>
      <c r="BB11" s="180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94">
        <f t="shared" si="4"/>
        <v>360</v>
      </c>
    </row>
    <row r="12" spans="1:63" ht="15.75" customHeight="1" x14ac:dyDescent="0.25">
      <c r="AS12" s="372"/>
      <c r="AT12" s="185" t="s">
        <v>116</v>
      </c>
      <c r="AU12" s="74">
        <f>ROUNDUP(AU9/$AP$9,0)</f>
        <v>0</v>
      </c>
      <c r="AV12" s="71">
        <f>ROUNDUP(AV9/$AP$9,0)</f>
        <v>0</v>
      </c>
      <c r="AW12" s="72">
        <f>ROUNDUP(AW9/$AP$9,0)</f>
        <v>0</v>
      </c>
      <c r="AX12" s="131">
        <f>ROUNDUP(AX9/$AP$9,0)</f>
        <v>123</v>
      </c>
      <c r="AY12" s="73">
        <f>ROUNDUP(AY9/$AP$9,0)</f>
        <v>256</v>
      </c>
      <c r="AZ12" s="229">
        <f t="shared" si="3"/>
        <v>379</v>
      </c>
      <c r="BA12" s="362"/>
      <c r="BB12" s="192" t="s">
        <v>6</v>
      </c>
      <c r="BC12" s="193">
        <f t="shared" si="4"/>
        <v>0</v>
      </c>
      <c r="BD12" s="193">
        <f t="shared" si="4"/>
        <v>0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5">
        <f t="shared" si="4"/>
        <v>360</v>
      </c>
    </row>
    <row r="13" spans="1:63" ht="15.75" customHeight="1" x14ac:dyDescent="0.25">
      <c r="AS13" s="379"/>
      <c r="AT13" s="224" t="s">
        <v>237</v>
      </c>
      <c r="AU13" s="216">
        <f>ROUNDUP(AU10/(RECOVER_AP / $C$5)*RECOVER_DIAMS,0)</f>
        <v>0</v>
      </c>
      <c r="AV13" s="217">
        <f>ROUNDUP(AV10/(RECOVER_AP / $C$5)*RECOVER_DIAMS,0)</f>
        <v>0</v>
      </c>
      <c r="AW13" s="218">
        <f>ROUNDUP(AW10/(RECOVER_AP / $C$5)*RECOVER_DIAMS,0)</f>
        <v>0</v>
      </c>
      <c r="AX13" s="219">
        <f>ROUNDUP(AX10/(RECOVER_AP / $C$5)*RECOVER_DIAMS,0)</f>
        <v>1350</v>
      </c>
      <c r="AY13" s="225">
        <f>ROUNDUP(AY10/(RECOVER_AP / $C$5)*RECOVER_DIAMS,0)</f>
        <v>2810</v>
      </c>
      <c r="AZ13" s="231">
        <f t="shared" si="3"/>
        <v>4160</v>
      </c>
      <c r="BA13" s="362"/>
      <c r="BB13" s="181" t="s">
        <v>4</v>
      </c>
      <c r="BC13" s="130">
        <f t="shared" si="4"/>
        <v>0</v>
      </c>
      <c r="BD13" s="130">
        <f t="shared" si="4"/>
        <v>0</v>
      </c>
      <c r="BE13" s="130">
        <f t="shared" si="4"/>
        <v>0</v>
      </c>
      <c r="BF13" s="130">
        <f t="shared" si="4"/>
        <v>0</v>
      </c>
      <c r="BG13" s="130">
        <f t="shared" si="4"/>
        <v>0</v>
      </c>
      <c r="BH13" s="130">
        <f t="shared" si="4"/>
        <v>0</v>
      </c>
      <c r="BI13" s="130">
        <f t="shared" si="4"/>
        <v>0</v>
      </c>
      <c r="BJ13" s="130">
        <f t="shared" si="4"/>
        <v>0</v>
      </c>
      <c r="BK13" s="196">
        <f t="shared" si="4"/>
        <v>0</v>
      </c>
    </row>
    <row r="14" spans="1:63" ht="15.75" customHeight="1" x14ac:dyDescent="0.25">
      <c r="AS14" s="378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3"/>
        <v>0</v>
      </c>
      <c r="BA14" s="363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13">
        <f t="shared" si="4"/>
        <v>360</v>
      </c>
    </row>
    <row r="15" spans="1:63" ht="15.75" customHeight="1" x14ac:dyDescent="0.25">
      <c r="AS15" s="372"/>
      <c r="AT15" s="185" t="s">
        <v>116</v>
      </c>
      <c r="AU15" s="74">
        <f>ROUNDUP(AU14/$AP$10,0)</f>
        <v>0</v>
      </c>
      <c r="AV15" s="71">
        <f>ROUNDUP(AV14/$AP$10,0)</f>
        <v>0</v>
      </c>
      <c r="AW15" s="72">
        <f>ROUNDUP(AW14/$AP$10,0)</f>
        <v>0</v>
      </c>
      <c r="AX15" s="131">
        <f>ROUNDUP(AX14/$AP$10,0)</f>
        <v>0</v>
      </c>
      <c r="AY15" s="73">
        <f>ROUNDUP(AY14/$AP$10,0)</f>
        <v>0</v>
      </c>
      <c r="AZ15" s="229">
        <f t="shared" si="3"/>
        <v>0</v>
      </c>
      <c r="BA15" s="361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79"/>
      <c r="AT16" s="224" t="s">
        <v>237</v>
      </c>
      <c r="AU16" s="216">
        <f>ROUNDUP(AU15/(RECOVER_AP / $C$5)*RECOVER_DIAMS,0)</f>
        <v>0</v>
      </c>
      <c r="AV16" s="217">
        <f>ROUNDUP(AV15/3*30,0)</f>
        <v>0</v>
      </c>
      <c r="AW16" s="218">
        <f>ROUNDUP(AW15/3*30,0)</f>
        <v>0</v>
      </c>
      <c r="AX16" s="219">
        <f>ROUNDUP(AX15/3*30,0)</f>
        <v>0</v>
      </c>
      <c r="AY16" s="225">
        <f>ROUNDUP(AY15/3*30,0)</f>
        <v>0</v>
      </c>
      <c r="AZ16" s="231">
        <f t="shared" si="3"/>
        <v>0</v>
      </c>
      <c r="BA16" s="362"/>
      <c r="BB16" s="179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3"/>
        <v>165</v>
      </c>
      <c r="BA17" s="362"/>
      <c r="BB17" s="180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94">
        <f t="shared" si="5"/>
        <v>90</v>
      </c>
    </row>
    <row r="18" spans="45:63" ht="15.75" customHeight="1" x14ac:dyDescent="0.25">
      <c r="AS18" s="378" t="s">
        <v>70</v>
      </c>
      <c r="AT18" s="222" t="s">
        <v>229</v>
      </c>
      <c r="AU18" s="380">
        <f>MAX(SUM(BC28:BK32) - G9 + SUM(Z4:Z8),0)</f>
        <v>0</v>
      </c>
      <c r="AV18" s="380"/>
      <c r="AW18" s="380"/>
      <c r="AX18" s="380"/>
      <c r="AY18" s="380"/>
      <c r="AZ18" s="381"/>
      <c r="BA18" s="362"/>
      <c r="BB18" s="192" t="s">
        <v>6</v>
      </c>
      <c r="BC18" s="193">
        <f t="shared" si="5"/>
        <v>0</v>
      </c>
      <c r="BD18" s="193">
        <f t="shared" si="5"/>
        <v>0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5">
        <f t="shared" si="5"/>
        <v>90</v>
      </c>
    </row>
    <row r="19" spans="45:63" ht="15.75" customHeight="1" x14ac:dyDescent="0.25">
      <c r="AS19" s="372"/>
      <c r="AT19" s="185" t="s">
        <v>243</v>
      </c>
      <c r="AU19" s="382">
        <f>ROUNDUP(AU18/AP6,0)</f>
        <v>0</v>
      </c>
      <c r="AV19" s="382"/>
      <c r="AW19" s="382"/>
      <c r="AX19" s="382"/>
      <c r="AY19" s="382"/>
      <c r="AZ19" s="383"/>
      <c r="BA19" s="362"/>
      <c r="BB19" s="181" t="s">
        <v>4</v>
      </c>
      <c r="BC19" s="130">
        <f t="shared" si="5"/>
        <v>0</v>
      </c>
      <c r="BD19" s="130">
        <f t="shared" si="5"/>
        <v>0</v>
      </c>
      <c r="BE19" s="130">
        <f t="shared" si="5"/>
        <v>0</v>
      </c>
      <c r="BF19" s="130">
        <f t="shared" si="5"/>
        <v>0</v>
      </c>
      <c r="BG19" s="130">
        <f t="shared" si="5"/>
        <v>0</v>
      </c>
      <c r="BH19" s="130">
        <f t="shared" si="5"/>
        <v>0</v>
      </c>
      <c r="BI19" s="130">
        <f t="shared" si="5"/>
        <v>0</v>
      </c>
      <c r="BJ19" s="130">
        <f t="shared" si="5"/>
        <v>0</v>
      </c>
      <c r="BK19" s="196">
        <f t="shared" si="5"/>
        <v>0</v>
      </c>
    </row>
    <row r="20" spans="45:63" ht="15.75" customHeight="1" x14ac:dyDescent="0.25">
      <c r="AS20" s="372"/>
      <c r="AT20" s="224" t="s">
        <v>244</v>
      </c>
      <c r="AU20" s="376">
        <f>ROUNDUP(AU18/AP11,0)</f>
        <v>0</v>
      </c>
      <c r="AV20" s="376"/>
      <c r="AW20" s="376"/>
      <c r="AX20" s="376"/>
      <c r="AY20" s="376"/>
      <c r="AZ20" s="377"/>
      <c r="BA20" s="363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13">
        <f t="shared" si="5"/>
        <v>90</v>
      </c>
    </row>
    <row r="21" spans="45:63" ht="15.75" customHeight="1" x14ac:dyDescent="0.25">
      <c r="AS21" s="221" t="s">
        <v>94</v>
      </c>
      <c r="AT21" s="197" t="s">
        <v>229</v>
      </c>
      <c r="AU21" s="364">
        <f>MAX(SUM(BC34:BK38) - F10 + SUM(AA4:AA8),0)</f>
        <v>659861980</v>
      </c>
      <c r="AV21" s="364"/>
      <c r="AW21" s="364"/>
      <c r="AX21" s="364"/>
      <c r="AY21" s="364"/>
      <c r="AZ21" s="365"/>
      <c r="BA21" s="361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62"/>
      <c r="BB22" s="179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362"/>
      <c r="BB23" s="180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94">
        <f t="shared" si="6"/>
        <v>80</v>
      </c>
    </row>
    <row r="24" spans="45:63" ht="15.75" customHeight="1" x14ac:dyDescent="0.25">
      <c r="BA24" s="362"/>
      <c r="BB24" s="192" t="s">
        <v>6</v>
      </c>
      <c r="BC24" s="193">
        <f t="shared" si="6"/>
        <v>0</v>
      </c>
      <c r="BD24" s="193">
        <f t="shared" si="6"/>
        <v>0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5">
        <f t="shared" si="6"/>
        <v>80</v>
      </c>
    </row>
    <row r="25" spans="45:63" ht="15.75" customHeight="1" x14ac:dyDescent="0.25">
      <c r="BA25" s="362"/>
      <c r="BB25" s="181" t="s">
        <v>4</v>
      </c>
      <c r="BC25" s="130">
        <f t="shared" si="6"/>
        <v>0</v>
      </c>
      <c r="BD25" s="130">
        <f t="shared" si="6"/>
        <v>0</v>
      </c>
      <c r="BE25" s="130">
        <f t="shared" si="6"/>
        <v>0</v>
      </c>
      <c r="BF25" s="130">
        <f t="shared" si="6"/>
        <v>0</v>
      </c>
      <c r="BG25" s="130">
        <f t="shared" si="6"/>
        <v>0</v>
      </c>
      <c r="BH25" s="130">
        <f t="shared" si="6"/>
        <v>0</v>
      </c>
      <c r="BI25" s="130">
        <f t="shared" si="6"/>
        <v>0</v>
      </c>
      <c r="BJ25" s="130">
        <f t="shared" si="6"/>
        <v>0</v>
      </c>
      <c r="BK25" s="196">
        <f t="shared" si="6"/>
        <v>0</v>
      </c>
    </row>
    <row r="26" spans="45:63" ht="15.75" customHeight="1" x14ac:dyDescent="0.25">
      <c r="BA26" s="363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13">
        <f t="shared" si="6"/>
        <v>80</v>
      </c>
    </row>
    <row r="27" spans="45:63" ht="15.75" customHeight="1" x14ac:dyDescent="0.25">
      <c r="BA27" s="361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62"/>
      <c r="BB28" s="179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362"/>
      <c r="BB29" s="180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94">
        <f t="shared" si="7"/>
        <v>46</v>
      </c>
    </row>
    <row r="30" spans="45:63" ht="15.75" customHeight="1" x14ac:dyDescent="0.25">
      <c r="BA30" s="362"/>
      <c r="BB30" s="192" t="s">
        <v>6</v>
      </c>
      <c r="BC30" s="193">
        <f t="shared" si="7"/>
        <v>0</v>
      </c>
      <c r="BD30" s="193">
        <f t="shared" si="7"/>
        <v>0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5">
        <f t="shared" si="7"/>
        <v>46</v>
      </c>
    </row>
    <row r="31" spans="45:63" ht="15.75" customHeight="1" x14ac:dyDescent="0.25">
      <c r="BA31" s="362"/>
      <c r="BB31" s="181" t="s">
        <v>4</v>
      </c>
      <c r="BC31" s="130">
        <f t="shared" si="7"/>
        <v>0</v>
      </c>
      <c r="BD31" s="130">
        <f t="shared" si="7"/>
        <v>0</v>
      </c>
      <c r="BE31" s="130">
        <f t="shared" si="7"/>
        <v>0</v>
      </c>
      <c r="BF31" s="130">
        <f t="shared" si="7"/>
        <v>0</v>
      </c>
      <c r="BG31" s="130">
        <f t="shared" si="7"/>
        <v>0</v>
      </c>
      <c r="BH31" s="130">
        <f t="shared" si="7"/>
        <v>0</v>
      </c>
      <c r="BI31" s="130">
        <f t="shared" si="7"/>
        <v>0</v>
      </c>
      <c r="BJ31" s="130">
        <f t="shared" si="7"/>
        <v>0</v>
      </c>
      <c r="BK31" s="196">
        <f t="shared" si="7"/>
        <v>0</v>
      </c>
    </row>
    <row r="32" spans="45:63" ht="15.75" customHeight="1" x14ac:dyDescent="0.25">
      <c r="BA32" s="363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13">
        <f t="shared" si="7"/>
        <v>46</v>
      </c>
    </row>
    <row r="33" spans="53:63" ht="15.75" customHeight="1" x14ac:dyDescent="0.25">
      <c r="BA33" s="361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62"/>
      <c r="BB34" s="286" t="s">
        <v>9</v>
      </c>
      <c r="BC34" s="333">
        <f t="shared" ref="BC34:BK38" si="8">IF(ISBLANK(AC4),0,VLOOKUP(AC4,$I$4:$T$10,12,FALSE))</f>
        <v>0</v>
      </c>
      <c r="BD34" s="333">
        <f t="shared" si="8"/>
        <v>0</v>
      </c>
      <c r="BE34" s="333">
        <f t="shared" si="8"/>
        <v>0</v>
      </c>
      <c r="BF34" s="333">
        <f t="shared" si="8"/>
        <v>0</v>
      </c>
      <c r="BG34" s="333">
        <f t="shared" si="8"/>
        <v>0</v>
      </c>
      <c r="BH34" s="333">
        <f t="shared" si="8"/>
        <v>0</v>
      </c>
      <c r="BI34" s="333">
        <f t="shared" si="8"/>
        <v>0</v>
      </c>
      <c r="BJ34" s="333">
        <f t="shared" si="8"/>
        <v>0</v>
      </c>
      <c r="BK34" s="334">
        <f t="shared" si="8"/>
        <v>25000000</v>
      </c>
    </row>
    <row r="35" spans="53:63" ht="15.75" customHeight="1" x14ac:dyDescent="0.25">
      <c r="BA35" s="362"/>
      <c r="BB35" s="287" t="s">
        <v>7</v>
      </c>
      <c r="BC35" s="335">
        <f t="shared" si="8"/>
        <v>0</v>
      </c>
      <c r="BD35" s="335">
        <f t="shared" si="8"/>
        <v>0</v>
      </c>
      <c r="BE35" s="335">
        <f t="shared" si="8"/>
        <v>0</v>
      </c>
      <c r="BF35" s="335">
        <f t="shared" si="8"/>
        <v>0</v>
      </c>
      <c r="BG35" s="335">
        <f t="shared" si="8"/>
        <v>0</v>
      </c>
      <c r="BH35" s="335">
        <f t="shared" si="8"/>
        <v>0</v>
      </c>
      <c r="BI35" s="335">
        <f t="shared" si="8"/>
        <v>0</v>
      </c>
      <c r="BJ35" s="335">
        <f t="shared" si="8"/>
        <v>0</v>
      </c>
      <c r="BK35" s="336">
        <f t="shared" si="8"/>
        <v>25000000</v>
      </c>
    </row>
    <row r="36" spans="53:63" ht="15.75" customHeight="1" x14ac:dyDescent="0.25">
      <c r="BA36" s="362"/>
      <c r="BB36" s="192" t="s">
        <v>6</v>
      </c>
      <c r="BC36" s="337">
        <f t="shared" si="8"/>
        <v>0</v>
      </c>
      <c r="BD36" s="337">
        <f t="shared" si="8"/>
        <v>0</v>
      </c>
      <c r="BE36" s="337">
        <f t="shared" si="8"/>
        <v>0</v>
      </c>
      <c r="BF36" s="337">
        <f t="shared" si="8"/>
        <v>0</v>
      </c>
      <c r="BG36" s="337">
        <f t="shared" si="8"/>
        <v>0</v>
      </c>
      <c r="BH36" s="337">
        <f t="shared" si="8"/>
        <v>0</v>
      </c>
      <c r="BI36" s="337">
        <f t="shared" si="8"/>
        <v>0</v>
      </c>
      <c r="BJ36" s="337">
        <f t="shared" si="8"/>
        <v>0</v>
      </c>
      <c r="BK36" s="338">
        <f t="shared" si="8"/>
        <v>25000000</v>
      </c>
    </row>
    <row r="37" spans="53:63" ht="15.75" customHeight="1" x14ac:dyDescent="0.25">
      <c r="BA37" s="362"/>
      <c r="BB37" s="288" t="s">
        <v>4</v>
      </c>
      <c r="BC37" s="339">
        <f t="shared" si="8"/>
        <v>0</v>
      </c>
      <c r="BD37" s="339">
        <f t="shared" si="8"/>
        <v>0</v>
      </c>
      <c r="BE37" s="339">
        <f t="shared" si="8"/>
        <v>0</v>
      </c>
      <c r="BF37" s="339">
        <f t="shared" si="8"/>
        <v>0</v>
      </c>
      <c r="BG37" s="339">
        <f t="shared" si="8"/>
        <v>0</v>
      </c>
      <c r="BH37" s="339">
        <f t="shared" si="8"/>
        <v>0</v>
      </c>
      <c r="BI37" s="339">
        <f t="shared" si="8"/>
        <v>0</v>
      </c>
      <c r="BJ37" s="339">
        <f t="shared" si="8"/>
        <v>0</v>
      </c>
      <c r="BK37" s="340">
        <f t="shared" si="8"/>
        <v>0</v>
      </c>
    </row>
    <row r="38" spans="53:63" ht="15.75" customHeight="1" x14ac:dyDescent="0.25">
      <c r="BA38" s="363"/>
      <c r="BB38" s="12" t="s">
        <v>3</v>
      </c>
      <c r="BC38" s="341">
        <f t="shared" si="8"/>
        <v>0</v>
      </c>
      <c r="BD38" s="341">
        <f t="shared" si="8"/>
        <v>0</v>
      </c>
      <c r="BE38" s="341">
        <f t="shared" si="8"/>
        <v>0</v>
      </c>
      <c r="BF38" s="341">
        <f t="shared" si="8"/>
        <v>0</v>
      </c>
      <c r="BG38" s="341">
        <f t="shared" si="8"/>
        <v>0</v>
      </c>
      <c r="BH38" s="341">
        <f t="shared" si="8"/>
        <v>0</v>
      </c>
      <c r="BI38" s="341">
        <f t="shared" si="8"/>
        <v>0</v>
      </c>
      <c r="BJ38" s="341">
        <f t="shared" si="8"/>
        <v>0</v>
      </c>
      <c r="BK38" s="342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311" activePane="bottomLeft" state="frozen"/>
      <selection pane="bottomLeft" activeCell="K321" sqref="K321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3" t="s">
        <v>69</v>
      </c>
      <c r="B1" s="393"/>
      <c r="C1" s="393"/>
      <c r="D1" s="393"/>
      <c r="E1" s="393"/>
      <c r="F1" s="393"/>
      <c r="G1" s="393"/>
      <c r="H1" s="393"/>
      <c r="I1" s="393"/>
      <c r="J1" s="393"/>
      <c r="K1" s="393" t="s">
        <v>73</v>
      </c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21"/>
    </row>
    <row r="2" spans="1:23" s="178" customFormat="1" ht="15" customHeight="1" x14ac:dyDescent="0.25">
      <c r="A2" s="393" t="s">
        <v>223</v>
      </c>
      <c r="B2" s="393"/>
      <c r="C2" s="393"/>
      <c r="D2" s="393"/>
      <c r="E2" s="393"/>
      <c r="F2" s="393" t="s">
        <v>88</v>
      </c>
      <c r="G2" s="393"/>
      <c r="H2" s="393"/>
      <c r="I2" s="393"/>
      <c r="J2" s="393"/>
      <c r="K2" s="393" t="s">
        <v>223</v>
      </c>
      <c r="L2" s="393"/>
      <c r="M2" s="393"/>
      <c r="N2" s="393"/>
      <c r="O2" s="393"/>
      <c r="P2" s="393"/>
      <c r="Q2" s="393" t="s">
        <v>88</v>
      </c>
      <c r="R2" s="393"/>
      <c r="S2" s="393"/>
      <c r="T2" s="393"/>
      <c r="U2" s="393"/>
      <c r="V2" s="393"/>
      <c r="W2" s="21"/>
    </row>
    <row r="3" spans="1:23" s="178" customFormat="1" ht="15" customHeight="1" x14ac:dyDescent="0.25">
      <c r="A3" s="393" t="s">
        <v>221</v>
      </c>
      <c r="B3" s="393"/>
      <c r="C3" s="393"/>
      <c r="D3" s="393" t="s">
        <v>222</v>
      </c>
      <c r="E3" s="393"/>
      <c r="F3" s="393" t="s">
        <v>221</v>
      </c>
      <c r="G3" s="393"/>
      <c r="H3" s="393"/>
      <c r="I3" s="393" t="s">
        <v>222</v>
      </c>
      <c r="J3" s="393"/>
      <c r="K3" s="393" t="s">
        <v>221</v>
      </c>
      <c r="L3" s="393"/>
      <c r="M3" s="393"/>
      <c r="N3" s="393"/>
      <c r="O3" s="393" t="s">
        <v>222</v>
      </c>
      <c r="P3" s="393"/>
      <c r="Q3" s="393" t="s">
        <v>221</v>
      </c>
      <c r="R3" s="393"/>
      <c r="S3" s="393"/>
      <c r="T3" s="393"/>
      <c r="U3" s="393" t="s">
        <v>222</v>
      </c>
      <c r="V3" s="393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K7" s="173">
        <v>9</v>
      </c>
      <c r="L7" s="234">
        <v>1</v>
      </c>
      <c r="M7" s="173">
        <v>2</v>
      </c>
      <c r="N7" s="173">
        <v>4</v>
      </c>
      <c r="O7" s="173">
        <v>3</v>
      </c>
      <c r="P7" s="173">
        <v>1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K8" s="173">
        <v>9</v>
      </c>
      <c r="L8" s="234">
        <v>1</v>
      </c>
      <c r="M8" s="173">
        <v>3</v>
      </c>
      <c r="N8" s="173">
        <v>4</v>
      </c>
      <c r="O8" s="173">
        <v>2</v>
      </c>
      <c r="P8" s="173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K9" s="173">
        <v>9</v>
      </c>
      <c r="L9" s="234">
        <v>1</v>
      </c>
      <c r="M9" s="173">
        <v>3</v>
      </c>
      <c r="N9" s="173">
        <v>4</v>
      </c>
      <c r="O9" s="173">
        <v>3</v>
      </c>
      <c r="P9" s="173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K10" s="173">
        <v>9</v>
      </c>
      <c r="L10" s="234">
        <v>1</v>
      </c>
      <c r="M10" s="173">
        <v>2</v>
      </c>
      <c r="N10" s="173">
        <v>4</v>
      </c>
      <c r="O10" s="173">
        <v>3</v>
      </c>
      <c r="P10" s="173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K11" s="173">
        <v>10</v>
      </c>
      <c r="L11" s="234">
        <v>1</v>
      </c>
      <c r="M11" s="173">
        <v>3</v>
      </c>
      <c r="N11" s="173">
        <v>4</v>
      </c>
      <c r="O11" s="173">
        <v>2</v>
      </c>
      <c r="P11" s="173">
        <v>1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K12" s="173">
        <v>9</v>
      </c>
      <c r="L12" s="234">
        <v>1</v>
      </c>
      <c r="M12" s="173">
        <v>2</v>
      </c>
      <c r="N12" s="173">
        <v>4</v>
      </c>
      <c r="O12" s="173">
        <v>3</v>
      </c>
      <c r="P12" s="173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K13" s="173">
        <v>9</v>
      </c>
      <c r="L13" s="234">
        <v>1</v>
      </c>
      <c r="M13" s="173">
        <v>3</v>
      </c>
      <c r="N13" s="173">
        <v>4</v>
      </c>
      <c r="O13" s="173">
        <v>3</v>
      </c>
      <c r="P13" s="173">
        <v>1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K14" s="173">
        <v>9</v>
      </c>
      <c r="L14" s="234">
        <v>1</v>
      </c>
      <c r="M14" s="173">
        <v>3</v>
      </c>
      <c r="N14" s="173">
        <v>4</v>
      </c>
      <c r="O14" s="173">
        <v>3</v>
      </c>
      <c r="P14" s="173">
        <v>1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K15" s="173">
        <v>9</v>
      </c>
      <c r="L15" s="234">
        <v>1</v>
      </c>
      <c r="M15" s="173">
        <v>3</v>
      </c>
      <c r="N15" s="173">
        <v>4</v>
      </c>
      <c r="O15" s="173">
        <v>3</v>
      </c>
      <c r="P15" s="173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K16" s="173">
        <v>9</v>
      </c>
      <c r="L16" s="234">
        <v>1</v>
      </c>
      <c r="M16" s="173">
        <v>2</v>
      </c>
      <c r="N16" s="173">
        <v>4</v>
      </c>
      <c r="O16" s="173">
        <v>2</v>
      </c>
      <c r="P16" s="173">
        <v>1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K17" s="173">
        <v>9</v>
      </c>
      <c r="L17" s="234">
        <v>1</v>
      </c>
      <c r="M17" s="173">
        <v>3</v>
      </c>
      <c r="N17" s="173">
        <v>4</v>
      </c>
      <c r="O17" s="173">
        <v>3</v>
      </c>
      <c r="P17" s="173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K18" s="173">
        <v>9</v>
      </c>
      <c r="L18" s="234">
        <v>1</v>
      </c>
      <c r="M18" s="173">
        <v>2</v>
      </c>
      <c r="N18" s="173">
        <v>4</v>
      </c>
      <c r="O18" s="173">
        <v>3</v>
      </c>
      <c r="P18" s="173">
        <v>1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K19" s="173">
        <v>9</v>
      </c>
      <c r="L19" s="234">
        <v>0</v>
      </c>
      <c r="M19" s="173">
        <v>3</v>
      </c>
      <c r="N19" s="173">
        <v>4</v>
      </c>
      <c r="O19" s="173">
        <v>3</v>
      </c>
      <c r="P19" s="173">
        <v>1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K20" s="173">
        <v>9</v>
      </c>
      <c r="L20" s="234">
        <v>1</v>
      </c>
      <c r="M20" s="173">
        <v>3</v>
      </c>
      <c r="N20" s="173">
        <v>4</v>
      </c>
      <c r="O20" s="173">
        <v>3</v>
      </c>
      <c r="P20" s="173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K21" s="360">
        <v>9</v>
      </c>
      <c r="L21" s="360">
        <v>1</v>
      </c>
      <c r="M21" s="360">
        <v>3</v>
      </c>
      <c r="N21" s="360">
        <v>4</v>
      </c>
      <c r="O21" s="360">
        <v>3</v>
      </c>
      <c r="P21" s="360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K22" s="173">
        <v>9</v>
      </c>
      <c r="L22" s="234">
        <v>1</v>
      </c>
      <c r="M22" s="173">
        <v>3</v>
      </c>
      <c r="N22" s="173">
        <v>4</v>
      </c>
      <c r="O22" s="173">
        <v>3</v>
      </c>
      <c r="P22" s="173">
        <v>1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K23" s="173">
        <v>9</v>
      </c>
      <c r="L23" s="234">
        <v>1</v>
      </c>
      <c r="M23" s="173">
        <v>3</v>
      </c>
      <c r="N23" s="173">
        <v>4</v>
      </c>
      <c r="O23" s="173">
        <v>2</v>
      </c>
      <c r="P23" s="173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K24" s="173">
        <v>9</v>
      </c>
      <c r="L24" s="234">
        <v>1</v>
      </c>
      <c r="M24" s="173">
        <v>3</v>
      </c>
      <c r="N24" s="173">
        <v>4</v>
      </c>
      <c r="O24" s="173">
        <v>3</v>
      </c>
      <c r="P24" s="173">
        <v>1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K25" s="173">
        <v>10</v>
      </c>
      <c r="L25" s="234">
        <v>1</v>
      </c>
      <c r="M25" s="173">
        <v>3</v>
      </c>
      <c r="N25" s="173">
        <v>4</v>
      </c>
      <c r="O25" s="173">
        <v>3</v>
      </c>
      <c r="P25" s="173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K26" s="173">
        <v>9</v>
      </c>
      <c r="L26" s="234">
        <v>1</v>
      </c>
      <c r="M26" s="173">
        <v>3</v>
      </c>
      <c r="N26" s="173">
        <v>4</v>
      </c>
      <c r="O26" s="173">
        <v>3</v>
      </c>
      <c r="P26" s="173">
        <v>1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F320" s="173">
        <v>7</v>
      </c>
      <c r="G320" s="184">
        <v>1</v>
      </c>
      <c r="H320" s="173">
        <v>5</v>
      </c>
      <c r="I320" s="1">
        <v>3</v>
      </c>
      <c r="J320" s="1">
        <v>1</v>
      </c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  <row r="639" spans="17:22" x14ac:dyDescent="0.25">
      <c r="Q639" s="173">
        <v>13</v>
      </c>
      <c r="R639" s="184">
        <v>1</v>
      </c>
      <c r="S639" s="173">
        <v>4</v>
      </c>
      <c r="T639" s="173">
        <v>5</v>
      </c>
      <c r="U639" s="1">
        <v>4</v>
      </c>
      <c r="V639" s="1">
        <v>1</v>
      </c>
    </row>
    <row r="640" spans="17:22" x14ac:dyDescent="0.25">
      <c r="Q640" s="173">
        <v>12</v>
      </c>
      <c r="R640" s="184">
        <v>1</v>
      </c>
      <c r="S640" s="173">
        <v>3</v>
      </c>
      <c r="T640" s="173">
        <v>5</v>
      </c>
      <c r="U640" s="1">
        <v>4</v>
      </c>
      <c r="V640" s="1">
        <v>2</v>
      </c>
    </row>
    <row r="641" spans="17:22" x14ac:dyDescent="0.25">
      <c r="Q641" s="173">
        <v>12</v>
      </c>
      <c r="R641" s="184">
        <v>0</v>
      </c>
      <c r="S641" s="173">
        <v>4</v>
      </c>
      <c r="T641" s="173">
        <v>5</v>
      </c>
      <c r="U641" s="1">
        <v>4</v>
      </c>
      <c r="V641" s="1">
        <v>1</v>
      </c>
    </row>
    <row r="642" spans="17:22" x14ac:dyDescent="0.25">
      <c r="Q642" s="173">
        <v>12</v>
      </c>
      <c r="R642" s="184">
        <v>2</v>
      </c>
      <c r="S642" s="173">
        <v>4</v>
      </c>
      <c r="T642" s="173">
        <v>5</v>
      </c>
      <c r="U642" s="1">
        <v>3</v>
      </c>
      <c r="V642" s="1">
        <v>1</v>
      </c>
    </row>
    <row r="643" spans="17:22" x14ac:dyDescent="0.25">
      <c r="Q643" s="173">
        <v>13</v>
      </c>
      <c r="R643" s="184">
        <v>1</v>
      </c>
      <c r="S643" s="173">
        <v>4</v>
      </c>
      <c r="T643" s="173">
        <v>5</v>
      </c>
      <c r="U643" s="1">
        <v>4</v>
      </c>
      <c r="V643" s="1">
        <v>1</v>
      </c>
    </row>
    <row r="644" spans="17:22" x14ac:dyDescent="0.25">
      <c r="Q644" s="173">
        <v>11</v>
      </c>
      <c r="R644" s="184">
        <v>1</v>
      </c>
      <c r="S644" s="173">
        <v>3</v>
      </c>
      <c r="T644" s="173">
        <v>5</v>
      </c>
      <c r="U644" s="1">
        <v>3</v>
      </c>
      <c r="V644" s="1">
        <v>2</v>
      </c>
    </row>
    <row r="645" spans="17:22" x14ac:dyDescent="0.25">
      <c r="Q645" s="173">
        <v>12</v>
      </c>
      <c r="R645" s="184">
        <v>1</v>
      </c>
      <c r="S645" s="173">
        <v>4</v>
      </c>
      <c r="T645" s="173">
        <v>6</v>
      </c>
      <c r="U645" s="1">
        <v>4</v>
      </c>
      <c r="V645" s="1">
        <v>2</v>
      </c>
    </row>
    <row r="646" spans="17:22" x14ac:dyDescent="0.25">
      <c r="Q646" s="173">
        <v>13</v>
      </c>
      <c r="R646" s="184">
        <v>1</v>
      </c>
      <c r="S646" s="173">
        <v>4</v>
      </c>
      <c r="T646" s="173">
        <v>5</v>
      </c>
      <c r="U646" s="1">
        <v>4</v>
      </c>
      <c r="V646" s="1">
        <v>2</v>
      </c>
    </row>
    <row r="647" spans="17:22" x14ac:dyDescent="0.25">
      <c r="Q647" s="173">
        <v>13</v>
      </c>
      <c r="R647" s="184">
        <v>2</v>
      </c>
      <c r="S647" s="173">
        <v>4</v>
      </c>
      <c r="T647" s="173">
        <v>5</v>
      </c>
      <c r="U647" s="1">
        <v>4</v>
      </c>
      <c r="V647" s="1">
        <v>2</v>
      </c>
    </row>
    <row r="648" spans="17:22" x14ac:dyDescent="0.25">
      <c r="Q648" s="173">
        <v>13</v>
      </c>
      <c r="R648" s="184">
        <v>1</v>
      </c>
      <c r="S648" s="173">
        <v>4</v>
      </c>
      <c r="T648" s="173">
        <v>5</v>
      </c>
      <c r="U648" s="1">
        <v>3</v>
      </c>
      <c r="V648" s="1">
        <v>1</v>
      </c>
    </row>
    <row r="649" spans="17:22" x14ac:dyDescent="0.25">
      <c r="Q649" s="173">
        <v>12</v>
      </c>
      <c r="R649" s="184">
        <v>0</v>
      </c>
      <c r="S649" s="173">
        <v>4</v>
      </c>
      <c r="T649" s="173">
        <v>5</v>
      </c>
      <c r="U649" s="1">
        <v>3</v>
      </c>
      <c r="V649" s="1">
        <v>2</v>
      </c>
    </row>
    <row r="650" spans="17:22" x14ac:dyDescent="0.25">
      <c r="Q650" s="173">
        <v>12</v>
      </c>
      <c r="R650" s="184">
        <v>1</v>
      </c>
      <c r="S650" s="173">
        <v>3</v>
      </c>
      <c r="T650" s="173">
        <v>5</v>
      </c>
      <c r="U650" s="1">
        <v>3</v>
      </c>
      <c r="V650" s="1">
        <v>2</v>
      </c>
    </row>
    <row r="651" spans="17:22" x14ac:dyDescent="0.25">
      <c r="Q651" s="173">
        <v>12</v>
      </c>
      <c r="R651" s="184">
        <v>1</v>
      </c>
      <c r="S651" s="173">
        <v>3</v>
      </c>
      <c r="T651" s="173">
        <v>5</v>
      </c>
      <c r="U651" s="1">
        <v>3</v>
      </c>
      <c r="V651" s="1">
        <v>2</v>
      </c>
    </row>
    <row r="652" spans="17:22" x14ac:dyDescent="0.25">
      <c r="Q652" s="173">
        <v>12</v>
      </c>
      <c r="R652" s="184">
        <v>0</v>
      </c>
      <c r="S652" s="173">
        <v>4</v>
      </c>
      <c r="T652" s="173">
        <v>5</v>
      </c>
      <c r="U652" s="1">
        <v>4</v>
      </c>
      <c r="V652" s="1">
        <v>2</v>
      </c>
    </row>
    <row r="653" spans="17:22" x14ac:dyDescent="0.25">
      <c r="Q653" s="173">
        <v>12</v>
      </c>
      <c r="R653" s="184">
        <v>2</v>
      </c>
      <c r="S653" s="173">
        <v>3</v>
      </c>
      <c r="T653" s="173">
        <v>6</v>
      </c>
      <c r="U653" s="1">
        <v>3</v>
      </c>
      <c r="V653" s="1">
        <v>1</v>
      </c>
    </row>
    <row r="654" spans="17:22" x14ac:dyDescent="0.25">
      <c r="Q654" s="173">
        <v>11</v>
      </c>
      <c r="R654" s="184">
        <v>1</v>
      </c>
      <c r="S654" s="173">
        <v>4</v>
      </c>
      <c r="T654" s="173">
        <v>5</v>
      </c>
      <c r="U654" s="1">
        <v>4</v>
      </c>
      <c r="V654" s="1">
        <v>1</v>
      </c>
    </row>
    <row r="655" spans="17:22" x14ac:dyDescent="0.25">
      <c r="Q655" s="173">
        <v>13</v>
      </c>
      <c r="R655" s="184">
        <v>1</v>
      </c>
      <c r="S655" s="173">
        <v>3</v>
      </c>
      <c r="T655" s="173">
        <v>5</v>
      </c>
      <c r="U655" s="1">
        <v>3</v>
      </c>
      <c r="V655" s="1">
        <v>2</v>
      </c>
    </row>
    <row r="656" spans="17:22" x14ac:dyDescent="0.25">
      <c r="Q656" s="173">
        <v>11</v>
      </c>
      <c r="R656" s="184">
        <v>0</v>
      </c>
      <c r="S656" s="173">
        <v>4</v>
      </c>
      <c r="T656" s="173">
        <v>5</v>
      </c>
      <c r="U656" s="1">
        <v>3</v>
      </c>
      <c r="V656" s="1">
        <v>2</v>
      </c>
    </row>
    <row r="657" spans="17:22" x14ac:dyDescent="0.25">
      <c r="Q657" s="173">
        <v>13</v>
      </c>
      <c r="R657" s="184">
        <v>0</v>
      </c>
      <c r="S657" s="173">
        <v>3</v>
      </c>
      <c r="T657" s="173">
        <v>5</v>
      </c>
      <c r="U657" s="1">
        <v>3</v>
      </c>
      <c r="V657" s="1">
        <v>2</v>
      </c>
    </row>
    <row r="658" spans="17:22" x14ac:dyDescent="0.25">
      <c r="Q658" s="173">
        <v>12</v>
      </c>
      <c r="R658" s="184">
        <v>1</v>
      </c>
      <c r="S658" s="173">
        <v>3</v>
      </c>
      <c r="T658" s="173">
        <v>5</v>
      </c>
      <c r="U658" s="1">
        <v>3</v>
      </c>
      <c r="V658" s="1">
        <v>2</v>
      </c>
    </row>
    <row r="659" spans="17:22" x14ac:dyDescent="0.25">
      <c r="Q659" s="173">
        <v>12</v>
      </c>
      <c r="R659" s="184">
        <v>0</v>
      </c>
      <c r="S659" s="173">
        <v>4</v>
      </c>
      <c r="T659" s="173">
        <v>5</v>
      </c>
      <c r="U659" s="1">
        <v>4</v>
      </c>
      <c r="V659" s="1">
        <v>2</v>
      </c>
    </row>
    <row r="660" spans="17:22" x14ac:dyDescent="0.25">
      <c r="Q660" s="173">
        <v>11</v>
      </c>
      <c r="R660" s="184">
        <v>1</v>
      </c>
      <c r="S660" s="173">
        <v>3</v>
      </c>
      <c r="T660" s="173">
        <v>5</v>
      </c>
      <c r="U660" s="1">
        <v>4</v>
      </c>
      <c r="V660" s="1">
        <v>1</v>
      </c>
    </row>
    <row r="661" spans="17:22" x14ac:dyDescent="0.25">
      <c r="Q661" s="173">
        <v>12</v>
      </c>
      <c r="R661" s="184">
        <v>1</v>
      </c>
      <c r="S661" s="173">
        <v>3</v>
      </c>
      <c r="T661" s="173">
        <v>5</v>
      </c>
      <c r="U661" s="1">
        <v>4</v>
      </c>
      <c r="V661" s="1">
        <v>2</v>
      </c>
    </row>
    <row r="662" spans="17:22" x14ac:dyDescent="0.25">
      <c r="Q662" s="173">
        <v>12</v>
      </c>
      <c r="R662" s="184">
        <v>1</v>
      </c>
      <c r="S662" s="173">
        <v>3</v>
      </c>
      <c r="T662" s="173">
        <v>5</v>
      </c>
      <c r="U662" s="1">
        <v>4</v>
      </c>
      <c r="V662" s="1">
        <v>2</v>
      </c>
    </row>
    <row r="663" spans="17:22" x14ac:dyDescent="0.25">
      <c r="Q663" s="173">
        <v>13</v>
      </c>
      <c r="R663" s="184">
        <v>1</v>
      </c>
      <c r="S663" s="173">
        <v>3</v>
      </c>
      <c r="T663" s="173">
        <v>6</v>
      </c>
      <c r="U663" s="1">
        <v>3</v>
      </c>
      <c r="V663" s="1">
        <v>2</v>
      </c>
    </row>
    <row r="664" spans="17:22" x14ac:dyDescent="0.25">
      <c r="Q664" s="173">
        <v>11</v>
      </c>
      <c r="R664" s="184">
        <v>0</v>
      </c>
      <c r="S664" s="173">
        <v>4</v>
      </c>
      <c r="T664" s="173">
        <v>5</v>
      </c>
      <c r="U664" s="1">
        <v>3</v>
      </c>
      <c r="V664" s="1">
        <v>1</v>
      </c>
    </row>
    <row r="665" spans="17:22" x14ac:dyDescent="0.25">
      <c r="Q665" s="173">
        <v>13</v>
      </c>
      <c r="R665" s="184">
        <v>0</v>
      </c>
      <c r="S665" s="173">
        <v>3</v>
      </c>
      <c r="T665" s="173">
        <v>5</v>
      </c>
      <c r="U665" s="1">
        <v>3</v>
      </c>
      <c r="V665" s="1">
        <v>2</v>
      </c>
    </row>
    <row r="666" spans="17:22" x14ac:dyDescent="0.25">
      <c r="Q666" s="173">
        <v>11</v>
      </c>
      <c r="R666" s="184">
        <v>2</v>
      </c>
      <c r="S666" s="173">
        <v>3</v>
      </c>
      <c r="T666" s="173">
        <v>5</v>
      </c>
      <c r="U666" s="1">
        <v>3</v>
      </c>
      <c r="V666" s="1">
        <v>2</v>
      </c>
    </row>
    <row r="667" spans="17:22" x14ac:dyDescent="0.25">
      <c r="Q667" s="173">
        <v>11</v>
      </c>
      <c r="R667" s="184">
        <v>2</v>
      </c>
      <c r="S667" s="173">
        <v>3</v>
      </c>
      <c r="T667" s="173">
        <v>5</v>
      </c>
      <c r="U667" s="1">
        <v>3</v>
      </c>
      <c r="V667" s="1">
        <v>2</v>
      </c>
    </row>
    <row r="668" spans="17:22" x14ac:dyDescent="0.25">
      <c r="Q668" s="173">
        <v>11</v>
      </c>
      <c r="R668" s="184">
        <v>1</v>
      </c>
      <c r="S668" s="173">
        <v>3</v>
      </c>
      <c r="T668" s="173">
        <v>5</v>
      </c>
      <c r="U668" s="1">
        <v>3</v>
      </c>
      <c r="V668" s="1">
        <v>2</v>
      </c>
    </row>
    <row r="669" spans="17:22" x14ac:dyDescent="0.25">
      <c r="Q669" s="173">
        <v>11</v>
      </c>
      <c r="R669" s="184">
        <v>0</v>
      </c>
      <c r="S669" s="173">
        <v>4</v>
      </c>
      <c r="T669" s="173">
        <v>5</v>
      </c>
      <c r="U669" s="1">
        <v>3</v>
      </c>
      <c r="V669" s="1">
        <v>2</v>
      </c>
    </row>
    <row r="670" spans="17:22" x14ac:dyDescent="0.25">
      <c r="Q670" s="173">
        <v>11</v>
      </c>
      <c r="R670" s="184">
        <v>0</v>
      </c>
      <c r="S670" s="173">
        <v>3</v>
      </c>
      <c r="T670" s="173">
        <v>5</v>
      </c>
      <c r="U670" s="1">
        <v>3</v>
      </c>
      <c r="V670" s="1">
        <v>1</v>
      </c>
    </row>
    <row r="671" spans="17:22" x14ac:dyDescent="0.25">
      <c r="Q671" s="173">
        <v>12</v>
      </c>
      <c r="R671" s="184">
        <v>2</v>
      </c>
      <c r="S671" s="173">
        <v>3</v>
      </c>
      <c r="T671" s="173">
        <v>6</v>
      </c>
      <c r="U671" s="1">
        <v>3</v>
      </c>
      <c r="V671" s="1">
        <v>2</v>
      </c>
    </row>
    <row r="672" spans="17:22" x14ac:dyDescent="0.25">
      <c r="Q672" s="173">
        <v>13</v>
      </c>
      <c r="R672" s="184">
        <v>1</v>
      </c>
      <c r="S672" s="173">
        <v>4</v>
      </c>
      <c r="T672" s="173">
        <v>6</v>
      </c>
      <c r="U672" s="1">
        <v>4</v>
      </c>
      <c r="V672" s="1">
        <v>2</v>
      </c>
    </row>
    <row r="673" spans="17:22" x14ac:dyDescent="0.25">
      <c r="Q673" s="173">
        <v>12</v>
      </c>
      <c r="R673" s="184">
        <v>1</v>
      </c>
      <c r="S673" s="173">
        <v>3</v>
      </c>
      <c r="T673" s="173">
        <v>5</v>
      </c>
      <c r="U673" s="1">
        <v>3</v>
      </c>
      <c r="V673" s="1">
        <v>2</v>
      </c>
    </row>
    <row r="674" spans="17:22" x14ac:dyDescent="0.25">
      <c r="Q674" s="173">
        <v>11</v>
      </c>
      <c r="R674" s="184">
        <v>0</v>
      </c>
      <c r="S674" s="173">
        <v>3</v>
      </c>
      <c r="T674" s="173">
        <v>5</v>
      </c>
      <c r="U674" s="1">
        <v>3</v>
      </c>
      <c r="V674" s="1">
        <v>2</v>
      </c>
    </row>
    <row r="675" spans="17:22" x14ac:dyDescent="0.25">
      <c r="Q675" s="173">
        <v>12</v>
      </c>
      <c r="R675" s="184">
        <v>1</v>
      </c>
      <c r="S675" s="173">
        <v>4</v>
      </c>
      <c r="T675" s="173">
        <v>5</v>
      </c>
      <c r="U675" s="1">
        <v>4</v>
      </c>
      <c r="V675" s="1">
        <v>2</v>
      </c>
    </row>
    <row r="676" spans="17:22" x14ac:dyDescent="0.25">
      <c r="Q676" s="173">
        <v>11</v>
      </c>
      <c r="R676" s="184">
        <v>1</v>
      </c>
      <c r="S676" s="173">
        <v>3</v>
      </c>
      <c r="T676" s="173">
        <v>6</v>
      </c>
      <c r="U676" s="1">
        <v>4</v>
      </c>
      <c r="V676" s="1">
        <v>2</v>
      </c>
    </row>
    <row r="677" spans="17:22" x14ac:dyDescent="0.25">
      <c r="Q677" s="173">
        <v>12</v>
      </c>
      <c r="R677" s="184">
        <v>0</v>
      </c>
      <c r="S677" s="173">
        <v>4</v>
      </c>
      <c r="T677" s="173">
        <v>5</v>
      </c>
      <c r="U677" s="1">
        <v>4</v>
      </c>
      <c r="V677" s="1">
        <v>2</v>
      </c>
    </row>
    <row r="678" spans="17:22" x14ac:dyDescent="0.25">
      <c r="Q678" s="173">
        <v>13</v>
      </c>
      <c r="R678" s="184">
        <v>2</v>
      </c>
      <c r="S678" s="173">
        <v>3</v>
      </c>
      <c r="T678" s="173">
        <v>5</v>
      </c>
      <c r="U678" s="1">
        <v>3</v>
      </c>
      <c r="V678" s="1">
        <v>1</v>
      </c>
    </row>
    <row r="679" spans="17:22" x14ac:dyDescent="0.25">
      <c r="Q679" s="173">
        <v>11</v>
      </c>
      <c r="R679" s="184">
        <v>0</v>
      </c>
      <c r="S679" s="173">
        <v>3</v>
      </c>
      <c r="T679" s="173">
        <v>5</v>
      </c>
      <c r="U679" s="1">
        <v>4</v>
      </c>
      <c r="V679" s="1">
        <v>1</v>
      </c>
    </row>
    <row r="680" spans="17:22" x14ac:dyDescent="0.25">
      <c r="Q680" s="173">
        <v>13</v>
      </c>
      <c r="R680" s="184">
        <v>1</v>
      </c>
      <c r="S680" s="173">
        <v>3</v>
      </c>
      <c r="T680" s="173">
        <v>5</v>
      </c>
      <c r="U680" s="1">
        <v>3</v>
      </c>
      <c r="V680" s="1">
        <v>1</v>
      </c>
    </row>
    <row r="681" spans="17:22" x14ac:dyDescent="0.25">
      <c r="Q681" s="173">
        <v>13</v>
      </c>
      <c r="R681" s="184">
        <v>0</v>
      </c>
      <c r="S681" s="173">
        <v>4</v>
      </c>
      <c r="T681" s="173">
        <v>5</v>
      </c>
      <c r="U681" s="1">
        <v>3</v>
      </c>
      <c r="V681" s="1">
        <v>2</v>
      </c>
    </row>
    <row r="682" spans="17:22" x14ac:dyDescent="0.25">
      <c r="Q682" s="173">
        <v>13</v>
      </c>
      <c r="R682" s="184">
        <v>0</v>
      </c>
      <c r="S682" s="173">
        <v>3</v>
      </c>
      <c r="T682" s="173">
        <v>5</v>
      </c>
      <c r="U682" s="1">
        <v>3</v>
      </c>
      <c r="V682" s="1">
        <v>2</v>
      </c>
    </row>
    <row r="683" spans="17:22" x14ac:dyDescent="0.25">
      <c r="Q683" s="173">
        <v>11</v>
      </c>
      <c r="R683" s="184">
        <v>2</v>
      </c>
      <c r="S683" s="173">
        <v>4</v>
      </c>
      <c r="T683" s="173">
        <v>6</v>
      </c>
      <c r="U683" s="1">
        <v>4</v>
      </c>
      <c r="V683" s="1">
        <v>1</v>
      </c>
    </row>
    <row r="684" spans="17:22" x14ac:dyDescent="0.25">
      <c r="Q684" s="173">
        <v>13</v>
      </c>
      <c r="R684" s="184">
        <v>2</v>
      </c>
      <c r="S684" s="173">
        <v>3</v>
      </c>
      <c r="T684" s="173">
        <v>5</v>
      </c>
      <c r="U684" s="1">
        <v>3</v>
      </c>
      <c r="V684" s="1">
        <v>2</v>
      </c>
    </row>
    <row r="685" spans="17:22" x14ac:dyDescent="0.25">
      <c r="Q685" s="173">
        <v>13</v>
      </c>
      <c r="R685" s="184">
        <v>1</v>
      </c>
      <c r="S685" s="173">
        <v>4</v>
      </c>
      <c r="T685" s="173">
        <v>6</v>
      </c>
      <c r="U685" s="1">
        <v>4</v>
      </c>
      <c r="V685" s="1">
        <v>2</v>
      </c>
    </row>
    <row r="686" spans="17:22" x14ac:dyDescent="0.25">
      <c r="Q686" s="173">
        <v>12</v>
      </c>
      <c r="R686" s="184">
        <v>2</v>
      </c>
      <c r="S686" s="173">
        <v>4</v>
      </c>
      <c r="T686" s="173">
        <v>5</v>
      </c>
      <c r="U686" s="1">
        <v>4</v>
      </c>
      <c r="V686" s="1">
        <v>2</v>
      </c>
    </row>
    <row r="687" spans="17:22" x14ac:dyDescent="0.25">
      <c r="Q687" s="173">
        <v>13</v>
      </c>
      <c r="R687" s="184">
        <v>1</v>
      </c>
      <c r="S687" s="173">
        <v>4</v>
      </c>
      <c r="T687" s="173">
        <v>5</v>
      </c>
      <c r="U687" s="1">
        <v>4</v>
      </c>
      <c r="V687" s="1">
        <v>2</v>
      </c>
    </row>
    <row r="688" spans="17:22" x14ac:dyDescent="0.25">
      <c r="Q688" s="173">
        <v>11</v>
      </c>
      <c r="R688" s="184">
        <v>1</v>
      </c>
      <c r="S688" s="173">
        <v>3</v>
      </c>
      <c r="T688" s="173">
        <v>5</v>
      </c>
      <c r="U688" s="1">
        <v>3</v>
      </c>
      <c r="V688" s="1">
        <v>2</v>
      </c>
    </row>
    <row r="689" spans="17:22" x14ac:dyDescent="0.25">
      <c r="Q689" s="173">
        <v>13</v>
      </c>
      <c r="R689" s="184">
        <v>1</v>
      </c>
      <c r="S689" s="173">
        <v>4</v>
      </c>
      <c r="T689" s="173">
        <v>5</v>
      </c>
      <c r="U689" s="1">
        <v>4</v>
      </c>
      <c r="V689" s="1">
        <v>2</v>
      </c>
    </row>
    <row r="690" spans="17:22" x14ac:dyDescent="0.25">
      <c r="Q690" s="173">
        <v>12</v>
      </c>
      <c r="R690" s="184">
        <v>1</v>
      </c>
      <c r="S690" s="173">
        <v>3</v>
      </c>
      <c r="T690" s="173">
        <v>5</v>
      </c>
      <c r="U690" s="1">
        <v>3</v>
      </c>
      <c r="V690" s="1">
        <v>2</v>
      </c>
    </row>
    <row r="691" spans="17:22" x14ac:dyDescent="0.25">
      <c r="Q691" s="173">
        <v>12</v>
      </c>
      <c r="R691" s="184">
        <v>1</v>
      </c>
      <c r="S691" s="173">
        <v>4</v>
      </c>
      <c r="T691" s="173">
        <v>5</v>
      </c>
      <c r="U691" s="1">
        <v>4</v>
      </c>
      <c r="V691" s="1">
        <v>1</v>
      </c>
    </row>
    <row r="692" spans="17:22" x14ac:dyDescent="0.25">
      <c r="Q692" s="173">
        <v>11</v>
      </c>
      <c r="R692" s="184">
        <v>2</v>
      </c>
      <c r="S692" s="173">
        <v>3</v>
      </c>
      <c r="T692" s="173">
        <v>5</v>
      </c>
      <c r="U692" s="1">
        <v>4</v>
      </c>
      <c r="V692" s="1">
        <v>2</v>
      </c>
    </row>
    <row r="693" spans="17:22" x14ac:dyDescent="0.25">
      <c r="Q693" s="173">
        <v>13</v>
      </c>
      <c r="R693" s="184">
        <v>2</v>
      </c>
      <c r="S693" s="173">
        <v>3</v>
      </c>
      <c r="T693" s="173">
        <v>5</v>
      </c>
      <c r="U693" s="1">
        <v>4</v>
      </c>
      <c r="V693" s="1">
        <v>2</v>
      </c>
    </row>
    <row r="694" spans="17:22" x14ac:dyDescent="0.25">
      <c r="Q694" s="173">
        <v>11</v>
      </c>
      <c r="R694" s="184">
        <v>2</v>
      </c>
      <c r="S694" s="173">
        <v>4</v>
      </c>
      <c r="T694" s="173">
        <v>5</v>
      </c>
      <c r="U694" s="1">
        <v>4</v>
      </c>
      <c r="V694" s="1">
        <v>2</v>
      </c>
    </row>
    <row r="695" spans="17:22" x14ac:dyDescent="0.25">
      <c r="Q695" s="173">
        <v>12</v>
      </c>
      <c r="R695" s="184">
        <v>1</v>
      </c>
      <c r="S695" s="173">
        <v>4</v>
      </c>
      <c r="T695" s="173">
        <v>6</v>
      </c>
      <c r="U695" s="1">
        <v>4</v>
      </c>
      <c r="V695" s="1">
        <v>1</v>
      </c>
    </row>
    <row r="696" spans="17:22" x14ac:dyDescent="0.25">
      <c r="Q696" s="173">
        <v>12</v>
      </c>
      <c r="R696" s="184">
        <v>1</v>
      </c>
      <c r="S696" s="173">
        <v>4</v>
      </c>
      <c r="T696" s="173">
        <v>5</v>
      </c>
      <c r="U696" s="1">
        <v>4</v>
      </c>
      <c r="V696" s="1">
        <v>1</v>
      </c>
    </row>
    <row r="697" spans="17:22" x14ac:dyDescent="0.25">
      <c r="Q697" s="173">
        <v>12</v>
      </c>
      <c r="R697" s="184">
        <v>2</v>
      </c>
      <c r="S697" s="173">
        <v>3</v>
      </c>
      <c r="T697" s="173">
        <v>6</v>
      </c>
      <c r="U697" s="1">
        <v>4</v>
      </c>
      <c r="V697" s="1">
        <v>2</v>
      </c>
    </row>
    <row r="698" spans="17:22" x14ac:dyDescent="0.25">
      <c r="Q698" s="173">
        <v>13</v>
      </c>
      <c r="R698" s="184">
        <v>1</v>
      </c>
      <c r="S698" s="173">
        <v>3</v>
      </c>
      <c r="T698" s="173">
        <v>6</v>
      </c>
      <c r="U698" s="1">
        <v>3</v>
      </c>
      <c r="V698" s="1">
        <v>2</v>
      </c>
    </row>
    <row r="699" spans="17:22" x14ac:dyDescent="0.25">
      <c r="Q699" s="173">
        <v>12</v>
      </c>
      <c r="R699" s="184">
        <v>0</v>
      </c>
      <c r="S699" s="173">
        <v>3</v>
      </c>
      <c r="T699" s="173">
        <v>5</v>
      </c>
      <c r="U699" s="1">
        <v>3</v>
      </c>
      <c r="V699" s="1">
        <v>1</v>
      </c>
    </row>
    <row r="700" spans="17:22" x14ac:dyDescent="0.25">
      <c r="Q700" s="173">
        <v>13</v>
      </c>
      <c r="R700" s="184">
        <v>1</v>
      </c>
      <c r="S700" s="173">
        <v>4</v>
      </c>
      <c r="T700" s="173">
        <v>5</v>
      </c>
      <c r="U700" s="1">
        <v>4</v>
      </c>
      <c r="V700" s="1">
        <v>1</v>
      </c>
    </row>
    <row r="701" spans="17:22" x14ac:dyDescent="0.25">
      <c r="Q701" s="173">
        <v>13</v>
      </c>
      <c r="R701" s="184">
        <v>1</v>
      </c>
      <c r="S701" s="173">
        <v>3</v>
      </c>
      <c r="T701" s="173">
        <v>5</v>
      </c>
      <c r="U701" s="1">
        <v>4</v>
      </c>
      <c r="V701" s="1">
        <v>2</v>
      </c>
    </row>
    <row r="702" spans="17:22" x14ac:dyDescent="0.25">
      <c r="Q702" s="173">
        <v>11</v>
      </c>
      <c r="R702" s="184">
        <v>0</v>
      </c>
      <c r="S702" s="173">
        <v>3</v>
      </c>
      <c r="T702" s="173">
        <v>5</v>
      </c>
      <c r="U702" s="1">
        <v>4</v>
      </c>
      <c r="V702" s="1">
        <v>2</v>
      </c>
    </row>
    <row r="703" spans="17:22" x14ac:dyDescent="0.25">
      <c r="Q703" s="173">
        <v>12</v>
      </c>
      <c r="R703" s="184">
        <v>2</v>
      </c>
      <c r="S703" s="173">
        <v>4</v>
      </c>
      <c r="T703" s="173">
        <v>5</v>
      </c>
      <c r="U703" s="1">
        <v>3</v>
      </c>
      <c r="V703" s="1">
        <v>1</v>
      </c>
    </row>
    <row r="704" spans="17:22" x14ac:dyDescent="0.25">
      <c r="Q704" s="173">
        <v>11</v>
      </c>
      <c r="R704" s="184">
        <v>1</v>
      </c>
      <c r="S704" s="173">
        <v>3</v>
      </c>
      <c r="T704" s="173">
        <v>5</v>
      </c>
      <c r="U704" s="1">
        <v>4</v>
      </c>
      <c r="V704" s="1">
        <v>2</v>
      </c>
    </row>
    <row r="705" spans="17:22" x14ac:dyDescent="0.25">
      <c r="Q705" s="173">
        <v>11</v>
      </c>
      <c r="R705" s="184">
        <v>2</v>
      </c>
      <c r="S705" s="173">
        <v>3</v>
      </c>
      <c r="T705" s="173">
        <v>5</v>
      </c>
      <c r="U705" s="1">
        <v>4</v>
      </c>
      <c r="V705" s="1">
        <v>2</v>
      </c>
    </row>
    <row r="706" spans="17:22" x14ac:dyDescent="0.25">
      <c r="Q706" s="173">
        <v>12</v>
      </c>
      <c r="R706" s="184">
        <v>0</v>
      </c>
      <c r="S706" s="173">
        <v>3</v>
      </c>
      <c r="T706" s="173">
        <v>5</v>
      </c>
      <c r="U706" s="1">
        <v>4</v>
      </c>
      <c r="V706" s="1">
        <v>1</v>
      </c>
    </row>
    <row r="707" spans="17:22" x14ac:dyDescent="0.25">
      <c r="Q707" s="173">
        <v>13</v>
      </c>
      <c r="R707" s="184">
        <v>2</v>
      </c>
      <c r="S707" s="173">
        <v>3</v>
      </c>
      <c r="T707" s="173">
        <v>5</v>
      </c>
      <c r="U707" s="1">
        <v>4</v>
      </c>
      <c r="V707" s="1">
        <v>2</v>
      </c>
    </row>
    <row r="708" spans="17:22" x14ac:dyDescent="0.25">
      <c r="Q708" s="173">
        <v>13</v>
      </c>
      <c r="R708" s="184">
        <v>1</v>
      </c>
      <c r="S708" s="173">
        <v>3</v>
      </c>
      <c r="T708" s="173">
        <v>5</v>
      </c>
      <c r="U708" s="1">
        <v>3</v>
      </c>
      <c r="V708" s="1">
        <v>1</v>
      </c>
    </row>
    <row r="709" spans="17:22" x14ac:dyDescent="0.25">
      <c r="Q709" s="173">
        <v>13</v>
      </c>
      <c r="R709" s="184">
        <v>1</v>
      </c>
      <c r="S709" s="173">
        <v>4</v>
      </c>
      <c r="T709" s="173">
        <v>6</v>
      </c>
      <c r="U709" s="1">
        <v>3</v>
      </c>
      <c r="V709" s="1">
        <v>1</v>
      </c>
    </row>
    <row r="710" spans="17:22" x14ac:dyDescent="0.25">
      <c r="Q710" s="173">
        <v>11</v>
      </c>
      <c r="R710" s="184">
        <v>1</v>
      </c>
      <c r="S710" s="173">
        <v>3</v>
      </c>
      <c r="T710" s="173">
        <v>5</v>
      </c>
      <c r="U710" s="1">
        <v>4</v>
      </c>
      <c r="V710" s="1">
        <v>2</v>
      </c>
    </row>
    <row r="711" spans="17:22" x14ac:dyDescent="0.25">
      <c r="Q711" s="359">
        <v>11</v>
      </c>
      <c r="R711" s="359">
        <v>1</v>
      </c>
      <c r="S711" s="359">
        <v>3</v>
      </c>
      <c r="T711" s="359">
        <v>5</v>
      </c>
      <c r="U711" s="359">
        <v>4</v>
      </c>
      <c r="V711" s="359">
        <v>2</v>
      </c>
    </row>
    <row r="712" spans="17:22" x14ac:dyDescent="0.25">
      <c r="Q712" s="173">
        <v>12</v>
      </c>
      <c r="R712" s="184">
        <v>1</v>
      </c>
      <c r="S712" s="173">
        <v>4</v>
      </c>
      <c r="T712" s="173">
        <v>5</v>
      </c>
      <c r="U712" s="1">
        <v>4</v>
      </c>
      <c r="V712" s="1">
        <v>2</v>
      </c>
    </row>
    <row r="713" spans="17:22" x14ac:dyDescent="0.25">
      <c r="Q713" s="173">
        <v>11</v>
      </c>
      <c r="R713" s="184">
        <v>1</v>
      </c>
      <c r="S713" s="173">
        <v>3</v>
      </c>
      <c r="T713" s="173">
        <v>5</v>
      </c>
      <c r="U713" s="1">
        <v>3</v>
      </c>
      <c r="V713" s="1">
        <v>2</v>
      </c>
    </row>
    <row r="714" spans="17:22" x14ac:dyDescent="0.25">
      <c r="Q714" s="173">
        <v>13</v>
      </c>
      <c r="R714" s="184">
        <v>2</v>
      </c>
      <c r="S714" s="173">
        <v>4</v>
      </c>
      <c r="T714" s="173">
        <v>5</v>
      </c>
      <c r="U714" s="1">
        <v>4</v>
      </c>
      <c r="V714" s="1">
        <v>1</v>
      </c>
    </row>
    <row r="715" spans="17:22" x14ac:dyDescent="0.25">
      <c r="Q715" s="173">
        <v>11</v>
      </c>
      <c r="R715" s="234">
        <v>2</v>
      </c>
      <c r="S715" s="173">
        <v>3</v>
      </c>
      <c r="T715" s="173">
        <v>6</v>
      </c>
      <c r="U715" s="173">
        <v>3</v>
      </c>
      <c r="V715" s="173">
        <v>2</v>
      </c>
    </row>
    <row r="716" spans="17:22" x14ac:dyDescent="0.25">
      <c r="Q716" s="173">
        <v>12</v>
      </c>
      <c r="R716" s="234">
        <v>1</v>
      </c>
      <c r="S716" s="173">
        <v>3</v>
      </c>
      <c r="T716" s="173">
        <v>6</v>
      </c>
      <c r="U716" s="173">
        <v>4</v>
      </c>
      <c r="V716" s="173">
        <v>1</v>
      </c>
    </row>
    <row r="717" spans="17:22" x14ac:dyDescent="0.25">
      <c r="Q717" s="173">
        <v>12</v>
      </c>
      <c r="R717" s="234">
        <v>2</v>
      </c>
      <c r="S717" s="173">
        <v>3</v>
      </c>
      <c r="T717" s="173">
        <v>5</v>
      </c>
      <c r="U717" s="173">
        <v>4</v>
      </c>
      <c r="V717" s="173">
        <v>2</v>
      </c>
    </row>
    <row r="718" spans="17:22" x14ac:dyDescent="0.25">
      <c r="Q718" s="173">
        <v>12</v>
      </c>
      <c r="R718" s="184">
        <v>2</v>
      </c>
      <c r="S718" s="173">
        <v>3</v>
      </c>
      <c r="T718" s="173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zoomScaleNormal="100" workbookViewId="0">
      <selection activeCell="E21" sqref="E21:E22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5.425781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5" style="76" customWidth="1"/>
    <col min="24" max="28" width="5.5703125" style="285" customWidth="1"/>
    <col min="29" max="29" width="7.85546875" style="285" customWidth="1"/>
    <col min="30" max="30" width="5.1406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88" t="s">
        <v>228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89"/>
      <c r="AM1" s="389"/>
      <c r="AN1" s="390" t="s">
        <v>240</v>
      </c>
      <c r="AO1" s="391"/>
      <c r="AP1" s="391"/>
      <c r="AQ1" s="391"/>
      <c r="AR1" s="391"/>
      <c r="AS1" s="391"/>
      <c r="AT1" s="391"/>
      <c r="AU1" s="391"/>
      <c r="AV1" s="391"/>
      <c r="AW1" s="391"/>
      <c r="AX1" s="391"/>
      <c r="AY1" s="391"/>
      <c r="AZ1" s="391"/>
      <c r="BA1" s="391"/>
      <c r="BB1" s="391"/>
      <c r="BC1" s="391"/>
      <c r="BD1" s="391"/>
      <c r="BE1" s="391"/>
      <c r="BF1" s="391"/>
      <c r="BG1" s="391"/>
      <c r="BH1" s="391"/>
      <c r="BI1" s="391"/>
      <c r="BJ1" s="391"/>
      <c r="BK1" s="391"/>
      <c r="BL1" s="391"/>
      <c r="BM1" s="392"/>
    </row>
    <row r="2" spans="1:65" s="198" customFormat="1" ht="15.75" customHeight="1" x14ac:dyDescent="0.25">
      <c r="A2" s="366" t="s">
        <v>234</v>
      </c>
      <c r="B2" s="367"/>
      <c r="C2" s="367"/>
      <c r="D2" s="368"/>
      <c r="E2" s="366" t="s">
        <v>62</v>
      </c>
      <c r="F2" s="367"/>
      <c r="G2" s="367"/>
      <c r="H2" s="368"/>
      <c r="I2" s="366" t="s">
        <v>246</v>
      </c>
      <c r="J2" s="367"/>
      <c r="K2" s="367"/>
      <c r="L2" s="367"/>
      <c r="M2" s="367"/>
      <c r="N2" s="367"/>
      <c r="O2" s="367"/>
      <c r="P2" s="367"/>
      <c r="Q2" s="367"/>
      <c r="R2" s="367"/>
      <c r="S2" s="367"/>
      <c r="T2" s="367"/>
      <c r="U2" s="367"/>
      <c r="V2" s="368"/>
      <c r="W2" s="366" t="s">
        <v>269</v>
      </c>
      <c r="X2" s="367"/>
      <c r="Y2" s="367"/>
      <c r="Z2" s="367"/>
      <c r="AA2" s="367"/>
      <c r="AB2" s="367"/>
      <c r="AC2" s="368"/>
      <c r="AD2" s="366" t="s">
        <v>254</v>
      </c>
      <c r="AE2" s="367"/>
      <c r="AF2" s="367"/>
      <c r="AG2" s="367"/>
      <c r="AH2" s="367"/>
      <c r="AI2" s="367"/>
      <c r="AJ2" s="367"/>
      <c r="AK2" s="367"/>
      <c r="AL2" s="367"/>
      <c r="AM2" s="368"/>
      <c r="AN2" s="371" t="s">
        <v>239</v>
      </c>
      <c r="AO2" s="369"/>
      <c r="AP2" s="369"/>
      <c r="AQ2" s="369"/>
      <c r="AR2" s="369"/>
      <c r="AS2" s="369"/>
      <c r="AT2" s="370"/>
      <c r="AU2" s="371" t="s">
        <v>232</v>
      </c>
      <c r="AV2" s="369"/>
      <c r="AW2" s="369"/>
      <c r="AX2" s="369"/>
      <c r="AY2" s="369"/>
      <c r="AZ2" s="369"/>
      <c r="BA2" s="369"/>
      <c r="BB2" s="370"/>
      <c r="BC2" s="369" t="s">
        <v>233</v>
      </c>
      <c r="BD2" s="369"/>
      <c r="BE2" s="369"/>
      <c r="BF2" s="369"/>
      <c r="BG2" s="369"/>
      <c r="BH2" s="369"/>
      <c r="BI2" s="369"/>
      <c r="BJ2" s="369"/>
      <c r="BK2" s="369"/>
      <c r="BL2" s="369"/>
      <c r="BM2" s="370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72" t="s">
        <v>238</v>
      </c>
      <c r="AV3" s="373"/>
      <c r="AW3" s="286" t="s">
        <v>300</v>
      </c>
      <c r="AX3" s="287" t="s">
        <v>301</v>
      </c>
      <c r="AY3" s="192" t="s">
        <v>302</v>
      </c>
      <c r="AZ3" s="288" t="s">
        <v>303</v>
      </c>
      <c r="BA3" s="75" t="s">
        <v>304</v>
      </c>
      <c r="BB3" s="227" t="s">
        <v>66</v>
      </c>
      <c r="BC3" s="361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300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300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7">
        <v>0</v>
      </c>
      <c r="AD4" s="276" t="s">
        <v>305</v>
      </c>
      <c r="AE4" s="303">
        <v>8</v>
      </c>
      <c r="AF4" s="303">
        <v>8</v>
      </c>
      <c r="AG4" s="303">
        <v>8</v>
      </c>
      <c r="AH4" s="303">
        <v>8</v>
      </c>
      <c r="AI4" s="303">
        <v>8</v>
      </c>
      <c r="AJ4" s="303">
        <v>8</v>
      </c>
      <c r="AK4" s="303">
        <v>8</v>
      </c>
      <c r="AL4" s="303">
        <v>8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78" t="s">
        <v>20</v>
      </c>
      <c r="AV4" s="222" t="s">
        <v>229</v>
      </c>
      <c r="AW4" s="208">
        <f>MAX(SUM(BE5:BM5) - F4 + X4,0)</f>
        <v>0</v>
      </c>
      <c r="AX4" s="209">
        <f>MAX(SUM(BE6:BM6) - F5 + X5,0)</f>
        <v>0</v>
      </c>
      <c r="AY4" s="210">
        <f>MAX(SUM(BE4:BM4) - F6 + X6,0)</f>
        <v>0</v>
      </c>
      <c r="AZ4" s="211">
        <f>MAX(SUM(BE8:BM8) - F7 + X7,0)</f>
        <v>0</v>
      </c>
      <c r="BA4" s="223">
        <f>MAX(SUM(BE7:BM7) - F8 + X8,0)</f>
        <v>0</v>
      </c>
      <c r="BB4" s="228">
        <f t="shared" ref="BB4:BB9" si="0">SUM(AW4:BA4)</f>
        <v>0</v>
      </c>
      <c r="BC4" s="362"/>
      <c r="BD4" s="286" t="s">
        <v>305</v>
      </c>
      <c r="BE4" s="16">
        <f t="shared" ref="BE4:BM8" si="1">IF(ISBLANK(AE4),0,VLOOKUP(AE4,$I$4:$V$15,9,FALSE))</f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6">
        <f t="shared" si="1"/>
        <v>0</v>
      </c>
      <c r="BL4" s="16">
        <f t="shared" si="1"/>
        <v>0</v>
      </c>
      <c r="BM4" s="15">
        <f t="shared" si="1"/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301</v>
      </c>
      <c r="F5" s="71">
        <v>980</v>
      </c>
      <c r="G5" s="71">
        <v>1921</v>
      </c>
      <c r="H5" s="71">
        <v>148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301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7">
        <v>0</v>
      </c>
      <c r="AD5" s="275" t="s">
        <v>306</v>
      </c>
      <c r="AE5" s="305">
        <v>2</v>
      </c>
      <c r="AF5" s="305">
        <v>2</v>
      </c>
      <c r="AG5" s="305">
        <v>2</v>
      </c>
      <c r="AH5" s="305">
        <v>2</v>
      </c>
      <c r="AI5" s="305">
        <v>2</v>
      </c>
      <c r="AJ5" s="305">
        <v>2</v>
      </c>
      <c r="AK5" s="305">
        <v>2</v>
      </c>
      <c r="AL5" s="305">
        <v>2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72"/>
      <c r="AV5" s="274" t="s">
        <v>75</v>
      </c>
      <c r="AW5" s="74" t="e">
        <f>ROUNDUP(AW4/$AR$4,0)</f>
        <v>#DIV/0!</v>
      </c>
      <c r="AX5" s="71" t="e">
        <f>ROUNDUP(AX4/$AR$4,0)</f>
        <v>#DIV/0!</v>
      </c>
      <c r="AY5" s="72" t="e">
        <f>ROUNDUP(AY4/$AR$4,0)</f>
        <v>#DIV/0!</v>
      </c>
      <c r="AZ5" s="131" t="e">
        <f>ROUNDUP(AZ4/$AR$4,0)</f>
        <v>#DIV/0!</v>
      </c>
      <c r="BA5" s="73" t="e">
        <f>ROUNDUP(BA4/$AR$4,0)</f>
        <v>#DIV/0!</v>
      </c>
      <c r="BB5" s="229" t="e">
        <f t="shared" si="0"/>
        <v>#DIV/0!</v>
      </c>
      <c r="BC5" s="362"/>
      <c r="BD5" s="287" t="s">
        <v>306</v>
      </c>
      <c r="BE5" s="33">
        <f t="shared" si="1"/>
        <v>180</v>
      </c>
      <c r="BF5" s="33">
        <f t="shared" si="1"/>
        <v>180</v>
      </c>
      <c r="BG5" s="33">
        <f t="shared" si="1"/>
        <v>180</v>
      </c>
      <c r="BH5" s="33">
        <f t="shared" si="1"/>
        <v>180</v>
      </c>
      <c r="BI5" s="33">
        <f t="shared" si="1"/>
        <v>180</v>
      </c>
      <c r="BJ5" s="33">
        <f t="shared" si="1"/>
        <v>180</v>
      </c>
      <c r="BK5" s="33">
        <f t="shared" si="1"/>
        <v>180</v>
      </c>
      <c r="BL5" s="33">
        <f t="shared" si="1"/>
        <v>180</v>
      </c>
      <c r="BM5" s="194">
        <f t="shared" si="1"/>
        <v>380</v>
      </c>
    </row>
    <row r="6" spans="1:65" ht="15.75" customHeight="1" x14ac:dyDescent="0.25">
      <c r="E6" s="281" t="s">
        <v>302</v>
      </c>
      <c r="F6" s="72">
        <v>3768</v>
      </c>
      <c r="G6" s="72">
        <v>3231</v>
      </c>
      <c r="H6" s="72">
        <v>688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302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7">
        <v>0</v>
      </c>
      <c r="AD6" s="281" t="s">
        <v>307</v>
      </c>
      <c r="AE6" s="307">
        <v>8</v>
      </c>
      <c r="AF6" s="307">
        <v>8</v>
      </c>
      <c r="AG6" s="307">
        <v>8</v>
      </c>
      <c r="AH6" s="307">
        <v>8</v>
      </c>
      <c r="AI6" s="307">
        <v>8</v>
      </c>
      <c r="AJ6" s="307">
        <v>8</v>
      </c>
      <c r="AK6" s="307">
        <v>8</v>
      </c>
      <c r="AL6" s="307">
        <v>8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3.375</v>
      </c>
      <c r="AS6" s="257">
        <f>COUNT(D咢牙!G:G)</f>
        <v>8</v>
      </c>
      <c r="AT6" s="293">
        <f>$C$5/AR6</f>
        <v>8.8888888888888893</v>
      </c>
      <c r="AU6" s="372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si="0"/>
        <v>#DIV/0!</v>
      </c>
      <c r="BC6" s="362"/>
      <c r="BD6" s="192" t="s">
        <v>307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3">
        <f t="shared" si="1"/>
        <v>0</v>
      </c>
      <c r="BL6" s="193">
        <f t="shared" si="1"/>
        <v>0</v>
      </c>
      <c r="BM6" s="195">
        <f t="shared" si="1"/>
        <v>380</v>
      </c>
    </row>
    <row r="7" spans="1:65" ht="15.75" customHeight="1" x14ac:dyDescent="0.25">
      <c r="E7" s="280" t="s">
        <v>303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303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7">
        <v>0</v>
      </c>
      <c r="AD7" s="280" t="s">
        <v>308</v>
      </c>
      <c r="AE7" s="309">
        <v>23</v>
      </c>
      <c r="AF7" s="309">
        <v>23</v>
      </c>
      <c r="AG7" s="309">
        <v>23</v>
      </c>
      <c r="AH7" s="309">
        <v>23</v>
      </c>
      <c r="AI7" s="309">
        <v>23</v>
      </c>
      <c r="AJ7" s="309">
        <v>23</v>
      </c>
      <c r="AK7" s="309">
        <v>23</v>
      </c>
      <c r="AL7" s="309">
        <v>23</v>
      </c>
      <c r="AM7" s="310">
        <v>23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8</v>
      </c>
      <c r="AT7" s="293">
        <f>$C$5/AR7</f>
        <v>3.8181818181818179</v>
      </c>
      <c r="AU7" s="372"/>
      <c r="AV7" s="274" t="s">
        <v>76</v>
      </c>
      <c r="AW7" s="74">
        <f>ROUNDUP(AW4/$AR$6,0)</f>
        <v>0</v>
      </c>
      <c r="AX7" s="71">
        <f>ROUNDUP(AX4/$AR$6,0)</f>
        <v>0</v>
      </c>
      <c r="AY7" s="72">
        <f>ROUNDUP(AY4/$AR$6,0)</f>
        <v>0</v>
      </c>
      <c r="AZ7" s="131">
        <f>ROUNDUP(AZ4/$AR$6,0)</f>
        <v>0</v>
      </c>
      <c r="BA7" s="73">
        <f>ROUNDUP(BA4/$AR$6,0)</f>
        <v>0</v>
      </c>
      <c r="BB7" s="229">
        <f t="shared" si="0"/>
        <v>0</v>
      </c>
      <c r="BC7" s="362"/>
      <c r="BD7" s="288" t="s">
        <v>308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30">
        <f t="shared" si="1"/>
        <v>0</v>
      </c>
      <c r="BL7" s="130">
        <f t="shared" si="1"/>
        <v>0</v>
      </c>
      <c r="BM7" s="196">
        <f t="shared" si="1"/>
        <v>0</v>
      </c>
    </row>
    <row r="8" spans="1:65" ht="15.75" customHeight="1" x14ac:dyDescent="0.25">
      <c r="E8" s="279" t="s">
        <v>304</v>
      </c>
      <c r="F8" s="73">
        <v>1044</v>
      </c>
      <c r="G8" s="73">
        <v>928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304</v>
      </c>
      <c r="X8" s="322">
        <v>0</v>
      </c>
      <c r="Y8" s="322">
        <v>0</v>
      </c>
      <c r="Z8" s="322">
        <v>0</v>
      </c>
      <c r="AA8" s="322">
        <v>0</v>
      </c>
      <c r="AB8" s="322">
        <v>0</v>
      </c>
      <c r="AC8" s="348">
        <v>0</v>
      </c>
      <c r="AD8" s="267" t="s">
        <v>309</v>
      </c>
      <c r="AE8" s="311">
        <v>8</v>
      </c>
      <c r="AF8" s="311">
        <v>8</v>
      </c>
      <c r="AG8" s="311">
        <v>8</v>
      </c>
      <c r="AH8" s="311">
        <v>8</v>
      </c>
      <c r="AI8" s="311">
        <v>8</v>
      </c>
      <c r="AJ8" s="311">
        <v>8</v>
      </c>
      <c r="AK8" s="311">
        <v>8</v>
      </c>
      <c r="AL8" s="311">
        <v>8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79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0"/>
        <v>0</v>
      </c>
      <c r="BC8" s="363"/>
      <c r="BD8" s="12" t="s">
        <v>309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3">
        <f t="shared" si="1"/>
        <v>0</v>
      </c>
      <c r="BL8" s="13">
        <f t="shared" si="1"/>
        <v>0</v>
      </c>
      <c r="BM8" s="113">
        <f t="shared" si="1"/>
        <v>380</v>
      </c>
    </row>
    <row r="9" spans="1:65" ht="15.75" customHeight="1" x14ac:dyDescent="0.25">
      <c r="E9" s="372" t="s">
        <v>235</v>
      </c>
      <c r="F9" s="373"/>
      <c r="G9" s="373"/>
      <c r="H9" s="301">
        <v>4881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>
        <f>AVERAGE(D咢牙!J:J)</f>
        <v>2.6666666666666665</v>
      </c>
      <c r="AP9" s="256">
        <f>COUNT(D咢牙!J:J)</f>
        <v>18</v>
      </c>
      <c r="AQ9" s="203">
        <f>$D$4/AO9</f>
        <v>15</v>
      </c>
      <c r="AR9" s="115">
        <f>AVERAGE(D咢牙!M:M)</f>
        <v>3.4814814814814814</v>
      </c>
      <c r="AS9" s="257">
        <f>COUNT(D咢牙!M:M)</f>
        <v>27</v>
      </c>
      <c r="AT9" s="114">
        <f>$D$5/AR9</f>
        <v>11.48936170212766</v>
      </c>
      <c r="AU9" s="378" t="s">
        <v>19</v>
      </c>
      <c r="AV9" s="222" t="s">
        <v>229</v>
      </c>
      <c r="AW9" s="208">
        <f>MAX(SUM(BE11:BM11) - G4 + Y4,0)</f>
        <v>18</v>
      </c>
      <c r="AX9" s="209">
        <f>MAX(SUM(BE12:BM12) - G5 + Y5,0)</f>
        <v>0</v>
      </c>
      <c r="AY9" s="210">
        <f>MAX(SUM(BE10:BM10) - G6 + Y6,0)</f>
        <v>0</v>
      </c>
      <c r="AZ9" s="211">
        <f>MAX(SUM(BE14:BM14) - G7 + Y7,0)</f>
        <v>0</v>
      </c>
      <c r="BA9" s="223">
        <f>MAX(SUM(BE13:BM13) - G8 + Y8,0)</f>
        <v>0</v>
      </c>
      <c r="BB9" s="228">
        <f t="shared" si="0"/>
        <v>18</v>
      </c>
      <c r="BC9" s="361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72" t="s">
        <v>279</v>
      </c>
      <c r="F10" s="373"/>
      <c r="G10" s="396">
        <v>150</v>
      </c>
      <c r="H10" s="397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AC10" s="300"/>
      <c r="AN10" s="272" t="s">
        <v>114</v>
      </c>
      <c r="AO10" s="203">
        <f>AVERAGE(D咢牙!K:K)</f>
        <v>4</v>
      </c>
      <c r="AP10" s="256">
        <f>COUNT(D咢牙!K:K)</f>
        <v>18</v>
      </c>
      <c r="AQ10" s="203">
        <f>$D$4/AO10</f>
        <v>10</v>
      </c>
      <c r="AR10" s="115">
        <f>AVERAGE(D咢牙!N:N)</f>
        <v>5.4444444444444446</v>
      </c>
      <c r="AS10" s="257">
        <f>COUNT(D咢牙!N:N)</f>
        <v>27</v>
      </c>
      <c r="AT10" s="114">
        <f>$D$5/AR10</f>
        <v>7.3469387755102042</v>
      </c>
      <c r="AU10" s="372"/>
      <c r="AV10" s="274" t="s">
        <v>76</v>
      </c>
      <c r="AW10" s="74">
        <f>ROUNDUP(AW9/$AR$7,0)</f>
        <v>3</v>
      </c>
      <c r="AX10" s="71">
        <f t="shared" ref="AX10:BA10" si="2">ROUNDUP(AX9/$AR$7,0)</f>
        <v>0</v>
      </c>
      <c r="AY10" s="72">
        <f t="shared" si="2"/>
        <v>0</v>
      </c>
      <c r="AZ10" s="131">
        <f t="shared" si="2"/>
        <v>0</v>
      </c>
      <c r="BA10" s="73">
        <f t="shared" si="2"/>
        <v>0</v>
      </c>
      <c r="BB10" s="229">
        <f t="shared" ref="BB10:BB16" si="3">SUM(AW10:BA10)</f>
        <v>3</v>
      </c>
      <c r="BC10" s="362"/>
      <c r="BD10" s="286" t="s">
        <v>305</v>
      </c>
      <c r="BE10" s="16">
        <f t="shared" ref="BE10:BM14" si="4">IF(ISBLANK(AE4),0,VLOOKUP(AE4,$I$4:$V$15,10,FALSE))</f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6">
        <f t="shared" si="4"/>
        <v>0</v>
      </c>
      <c r="BL10" s="16">
        <f t="shared" si="4"/>
        <v>0</v>
      </c>
      <c r="BM10" s="15">
        <f t="shared" si="4"/>
        <v>300</v>
      </c>
    </row>
    <row r="11" spans="1:65" ht="15.75" customHeight="1" x14ac:dyDescent="0.25">
      <c r="E11" s="384" t="s">
        <v>245</v>
      </c>
      <c r="F11" s="385"/>
      <c r="G11" s="386">
        <v>769775559</v>
      </c>
      <c r="H11" s="386"/>
      <c r="I11" s="315">
        <v>7</v>
      </c>
      <c r="J11" s="358" t="s">
        <v>241</v>
      </c>
      <c r="K11" s="358" t="s">
        <v>241</v>
      </c>
      <c r="L11" s="358" t="s">
        <v>241</v>
      </c>
      <c r="M11" s="358" t="s">
        <v>241</v>
      </c>
      <c r="N11" s="358" t="s">
        <v>241</v>
      </c>
      <c r="O11" s="358" t="s">
        <v>230</v>
      </c>
      <c r="P11" s="358" t="s">
        <v>241</v>
      </c>
      <c r="Q11" s="358">
        <v>100</v>
      </c>
      <c r="R11" s="358">
        <v>100</v>
      </c>
      <c r="S11" s="358">
        <v>14</v>
      </c>
      <c r="T11" s="358">
        <v>0</v>
      </c>
      <c r="U11" s="358">
        <v>30</v>
      </c>
      <c r="V11" s="343">
        <v>10000000</v>
      </c>
      <c r="AN11" s="273" t="s">
        <v>70</v>
      </c>
      <c r="AO11" s="295">
        <f>AVERAGE(D咢牙!L:L)</f>
        <v>1.4444444444444444</v>
      </c>
      <c r="AP11" s="296">
        <f>COUNT(D咢牙!L:L)</f>
        <v>18</v>
      </c>
      <c r="AQ11" s="297">
        <f>$D$4/AO11</f>
        <v>27.692307692307693</v>
      </c>
      <c r="AR11" s="298">
        <f>AVERAGE(D咢牙!O:O)</f>
        <v>1.9259259259259258</v>
      </c>
      <c r="AS11" s="269">
        <f>COUNT(D咢牙!O:O)</f>
        <v>27</v>
      </c>
      <c r="AT11" s="299">
        <f>$D$5/AR11</f>
        <v>20.76923076923077</v>
      </c>
      <c r="AU11" s="372"/>
      <c r="AV11" s="274" t="s">
        <v>236</v>
      </c>
      <c r="AW11" s="204">
        <f>ROUNDUP(AW10/(RECOVER_AP / $C$5)*RECOVER_DIAMS,0)</f>
        <v>23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3"/>
        <v>23</v>
      </c>
      <c r="BC11" s="362"/>
      <c r="BD11" s="287" t="s">
        <v>306</v>
      </c>
      <c r="BE11" s="33">
        <f t="shared" si="4"/>
        <v>150</v>
      </c>
      <c r="BF11" s="33">
        <f t="shared" si="4"/>
        <v>150</v>
      </c>
      <c r="BG11" s="33">
        <f t="shared" si="4"/>
        <v>150</v>
      </c>
      <c r="BH11" s="33">
        <f t="shared" si="4"/>
        <v>150</v>
      </c>
      <c r="BI11" s="33">
        <f t="shared" si="4"/>
        <v>150</v>
      </c>
      <c r="BJ11" s="33">
        <f t="shared" si="4"/>
        <v>150</v>
      </c>
      <c r="BK11" s="33">
        <f t="shared" si="4"/>
        <v>150</v>
      </c>
      <c r="BL11" s="33">
        <f t="shared" si="4"/>
        <v>150</v>
      </c>
      <c r="BM11" s="194">
        <f t="shared" si="4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3">
        <v>0</v>
      </c>
      <c r="AU12" s="372"/>
      <c r="AV12" s="274" t="s">
        <v>116</v>
      </c>
      <c r="AW12" s="74">
        <f>ROUNDUP(AW9/$AR$9,0)</f>
        <v>6</v>
      </c>
      <c r="AX12" s="71">
        <f>ROUNDUP(AX9/$AR$9,0)</f>
        <v>0</v>
      </c>
      <c r="AY12" s="72">
        <f>ROUNDUP(AY9/$AR$9,0)</f>
        <v>0</v>
      </c>
      <c r="AZ12" s="131">
        <f>ROUNDUP(AZ9/$AR$9,0)</f>
        <v>0</v>
      </c>
      <c r="BA12" s="73">
        <f>ROUNDUP(BA9/$AR$9,0)</f>
        <v>0</v>
      </c>
      <c r="BB12" s="229">
        <f t="shared" si="3"/>
        <v>6</v>
      </c>
      <c r="BC12" s="362"/>
      <c r="BD12" s="192" t="s">
        <v>307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3">
        <f t="shared" si="4"/>
        <v>0</v>
      </c>
      <c r="BL12" s="193">
        <f t="shared" si="4"/>
        <v>0</v>
      </c>
      <c r="BM12" s="195">
        <f t="shared" si="4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3">
        <v>10000000</v>
      </c>
      <c r="AU13" s="379"/>
      <c r="AV13" s="224" t="s">
        <v>237</v>
      </c>
      <c r="AW13" s="216">
        <f>ROUNDUP(AW10/(RECOVER_AP / $D$5)*RECOVER_DIAMS,0)</f>
        <v>30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3"/>
        <v>30</v>
      </c>
      <c r="BC13" s="362"/>
      <c r="BD13" s="288" t="s">
        <v>308</v>
      </c>
      <c r="BE13" s="130">
        <f t="shared" si="4"/>
        <v>0</v>
      </c>
      <c r="BF13" s="130">
        <f t="shared" si="4"/>
        <v>0</v>
      </c>
      <c r="BG13" s="130">
        <f t="shared" si="4"/>
        <v>0</v>
      </c>
      <c r="BH13" s="130">
        <f t="shared" si="4"/>
        <v>0</v>
      </c>
      <c r="BI13" s="130">
        <f t="shared" si="4"/>
        <v>0</v>
      </c>
      <c r="BJ13" s="130">
        <f t="shared" si="4"/>
        <v>0</v>
      </c>
      <c r="BK13" s="130">
        <f t="shared" si="4"/>
        <v>0</v>
      </c>
      <c r="BL13" s="130">
        <f t="shared" si="4"/>
        <v>0</v>
      </c>
      <c r="BM13" s="196">
        <f t="shared" si="4"/>
        <v>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3">
        <v>8000000</v>
      </c>
      <c r="AU14" s="378" t="s">
        <v>114</v>
      </c>
      <c r="AV14" s="222" t="s">
        <v>229</v>
      </c>
      <c r="AW14" s="208">
        <f>MAX(SUM(BE17:BM17) - H4 + Z4,0)</f>
        <v>441</v>
      </c>
      <c r="AX14" s="209">
        <f>MAX(SUM(BE18:BM18) - H5 + Z5,0)</f>
        <v>0</v>
      </c>
      <c r="AY14" s="210">
        <f>MAX(SUM(BE16:BM16) - H6 + Z6,0)</f>
        <v>0</v>
      </c>
      <c r="AZ14" s="211">
        <f>MAX(SUM(BE20:BM20) - H7 + Z7,0)</f>
        <v>0</v>
      </c>
      <c r="BA14" s="223">
        <f>MAX(SUM(BE19:BM19) - H8 + Z8,0)</f>
        <v>0</v>
      </c>
      <c r="BB14" s="228">
        <f t="shared" si="3"/>
        <v>441</v>
      </c>
      <c r="BC14" s="363"/>
      <c r="BD14" s="12" t="s">
        <v>309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3">
        <f t="shared" si="4"/>
        <v>0</v>
      </c>
      <c r="BL14" s="13">
        <f t="shared" si="4"/>
        <v>0</v>
      </c>
      <c r="BM14" s="113">
        <f t="shared" si="4"/>
        <v>300</v>
      </c>
    </row>
    <row r="15" spans="1:65" ht="15.75" customHeight="1" x14ac:dyDescent="0.25">
      <c r="I15" s="313">
        <v>23</v>
      </c>
      <c r="J15" s="314" t="s">
        <v>230</v>
      </c>
      <c r="K15" s="314" t="s">
        <v>241</v>
      </c>
      <c r="L15" s="314" t="s">
        <v>241</v>
      </c>
      <c r="M15" s="314" t="s">
        <v>230</v>
      </c>
      <c r="N15" s="314" t="s">
        <v>230</v>
      </c>
      <c r="O15" s="314" t="s">
        <v>230</v>
      </c>
      <c r="P15" s="314" t="s">
        <v>230</v>
      </c>
      <c r="Q15" s="314">
        <v>0</v>
      </c>
      <c r="R15" s="314">
        <v>0</v>
      </c>
      <c r="S15" s="314">
        <v>0</v>
      </c>
      <c r="T15" s="314">
        <v>0</v>
      </c>
      <c r="U15" s="314">
        <v>0</v>
      </c>
      <c r="V15" s="344">
        <v>0</v>
      </c>
      <c r="AU15" s="372"/>
      <c r="AV15" s="274" t="s">
        <v>116</v>
      </c>
      <c r="AW15" s="74">
        <f>ROUNDUP(AW14/$AR$10,0)</f>
        <v>81</v>
      </c>
      <c r="AX15" s="71">
        <f>ROUNDUP(AX14/$AR$10,0)</f>
        <v>0</v>
      </c>
      <c r="AY15" s="72">
        <f>ROUNDUP(AY14/$AR$10,0)</f>
        <v>0</v>
      </c>
      <c r="AZ15" s="131">
        <f>ROUNDUP(AZ14/$AR$10,0)</f>
        <v>0</v>
      </c>
      <c r="BA15" s="73">
        <f>ROUNDUP(BA14/$AR$10,0)</f>
        <v>0</v>
      </c>
      <c r="BB15" s="229">
        <f t="shared" si="3"/>
        <v>81</v>
      </c>
      <c r="BC15" s="361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79"/>
      <c r="AV16" s="224" t="s">
        <v>237</v>
      </c>
      <c r="AW16" s="216">
        <f>ROUNDUP(AW15/(RECOVER_AP / $D$5)*RECOVER_DIAMS,0)</f>
        <v>810</v>
      </c>
      <c r="AX16" s="217">
        <f>ROUNDUP(AX15/(RECOVER_AP / $D$5)*RECOVER_DIAMS,0)</f>
        <v>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0</v>
      </c>
      <c r="BB16" s="231">
        <f t="shared" si="3"/>
        <v>810</v>
      </c>
      <c r="BC16" s="362"/>
      <c r="BD16" s="286" t="s">
        <v>305</v>
      </c>
      <c r="BE16" s="16">
        <f t="shared" ref="BE16:BM20" si="5">IF(ISBLANK(AE4),0,VLOOKUP(AE4,$I$4:$V$15,11,FALSE))</f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6">
        <f t="shared" si="5"/>
        <v>0</v>
      </c>
      <c r="BL16" s="16">
        <f t="shared" si="5"/>
        <v>0</v>
      </c>
      <c r="BM16" s="15">
        <f t="shared" si="5"/>
        <v>49</v>
      </c>
    </row>
    <row r="17" spans="47:65" ht="15.75" customHeight="1" x14ac:dyDescent="0.25">
      <c r="AU17" s="221" t="s">
        <v>278</v>
      </c>
      <c r="AV17" s="197" t="s">
        <v>229</v>
      </c>
      <c r="AW17" s="394">
        <f>MAX(SUM(BE22:BM26) - G10 + SUM(AA4:AA8),0)</f>
        <v>0</v>
      </c>
      <c r="AX17" s="394"/>
      <c r="AY17" s="394"/>
      <c r="AZ17" s="394"/>
      <c r="BA17" s="394"/>
      <c r="BB17" s="395"/>
      <c r="BC17" s="362"/>
      <c r="BD17" s="287" t="s">
        <v>306</v>
      </c>
      <c r="BE17" s="33">
        <f t="shared" si="5"/>
        <v>49</v>
      </c>
      <c r="BF17" s="33">
        <f t="shared" si="5"/>
        <v>49</v>
      </c>
      <c r="BG17" s="33">
        <f t="shared" si="5"/>
        <v>49</v>
      </c>
      <c r="BH17" s="33">
        <f t="shared" si="5"/>
        <v>49</v>
      </c>
      <c r="BI17" s="33">
        <f t="shared" si="5"/>
        <v>49</v>
      </c>
      <c r="BJ17" s="33">
        <f t="shared" si="5"/>
        <v>49</v>
      </c>
      <c r="BK17" s="33">
        <f t="shared" si="5"/>
        <v>49</v>
      </c>
      <c r="BL17" s="33">
        <f t="shared" si="5"/>
        <v>49</v>
      </c>
      <c r="BM17" s="194">
        <f t="shared" si="5"/>
        <v>49</v>
      </c>
    </row>
    <row r="18" spans="47:65" ht="15.75" customHeight="1" x14ac:dyDescent="0.25">
      <c r="AU18" s="378" t="s">
        <v>70</v>
      </c>
      <c r="AV18" s="222" t="s">
        <v>229</v>
      </c>
      <c r="AW18" s="380">
        <f>MAX(SUM(BE28:BM32) - H9 + SUM(AB4:AB8),0)</f>
        <v>0</v>
      </c>
      <c r="AX18" s="380"/>
      <c r="AY18" s="380"/>
      <c r="AZ18" s="380"/>
      <c r="BA18" s="380"/>
      <c r="BB18" s="381"/>
      <c r="BC18" s="362"/>
      <c r="BD18" s="192" t="s">
        <v>307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3">
        <f t="shared" si="5"/>
        <v>0</v>
      </c>
      <c r="BL18" s="193">
        <f t="shared" si="5"/>
        <v>0</v>
      </c>
      <c r="BM18" s="195">
        <f t="shared" si="5"/>
        <v>49</v>
      </c>
    </row>
    <row r="19" spans="47:65" ht="15.75" customHeight="1" x14ac:dyDescent="0.25">
      <c r="AU19" s="379"/>
      <c r="AV19" s="274" t="s">
        <v>244</v>
      </c>
      <c r="AW19" s="382">
        <f>ROUNDUP(AW18/$AR$11,0)</f>
        <v>0</v>
      </c>
      <c r="AX19" s="382"/>
      <c r="AY19" s="382"/>
      <c r="AZ19" s="382"/>
      <c r="BA19" s="382"/>
      <c r="BB19" s="383"/>
      <c r="BC19" s="362"/>
      <c r="BD19" s="288" t="s">
        <v>308</v>
      </c>
      <c r="BE19" s="130">
        <f t="shared" si="5"/>
        <v>0</v>
      </c>
      <c r="BF19" s="130">
        <f t="shared" si="5"/>
        <v>0</v>
      </c>
      <c r="BG19" s="130">
        <f t="shared" si="5"/>
        <v>0</v>
      </c>
      <c r="BH19" s="130">
        <f t="shared" si="5"/>
        <v>0</v>
      </c>
      <c r="BI19" s="130">
        <f t="shared" si="5"/>
        <v>0</v>
      </c>
      <c r="BJ19" s="130">
        <f t="shared" si="5"/>
        <v>0</v>
      </c>
      <c r="BK19" s="130">
        <f t="shared" si="5"/>
        <v>0</v>
      </c>
      <c r="BL19" s="130">
        <f t="shared" si="5"/>
        <v>0</v>
      </c>
      <c r="BM19" s="196">
        <f t="shared" si="5"/>
        <v>0</v>
      </c>
    </row>
    <row r="20" spans="47:65" ht="15.75" customHeight="1" x14ac:dyDescent="0.25">
      <c r="AU20" s="221" t="s">
        <v>94</v>
      </c>
      <c r="AV20" s="197" t="s">
        <v>229</v>
      </c>
      <c r="AW20" s="364">
        <f>MAX(SUM(BE34:BM38) - G11 + SUM(AC4:AC8),0)</f>
        <v>0</v>
      </c>
      <c r="AX20" s="364"/>
      <c r="AY20" s="364"/>
      <c r="AZ20" s="364"/>
      <c r="BA20" s="364"/>
      <c r="BB20" s="365"/>
      <c r="BC20" s="363"/>
      <c r="BD20" s="12" t="s">
        <v>309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3">
        <f t="shared" si="5"/>
        <v>0</v>
      </c>
      <c r="BL20" s="13">
        <f t="shared" si="5"/>
        <v>0</v>
      </c>
      <c r="BM20" s="113">
        <f t="shared" si="5"/>
        <v>49</v>
      </c>
    </row>
    <row r="21" spans="47:65" ht="15.75" customHeight="1" x14ac:dyDescent="0.25">
      <c r="BC21" s="361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62"/>
      <c r="BD22" s="286" t="s">
        <v>305</v>
      </c>
      <c r="BE22" s="16">
        <f t="shared" ref="BE22:BM26" si="6">IF(ISBLANK(AE4),0,VLOOKUP(AE4,$I$4:$V$15,12,FALSE))</f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6">
        <f t="shared" si="6"/>
        <v>0</v>
      </c>
      <c r="BL22" s="16">
        <f t="shared" si="6"/>
        <v>0</v>
      </c>
      <c r="BM22" s="15">
        <f t="shared" si="6"/>
        <v>15</v>
      </c>
    </row>
    <row r="23" spans="47:65" ht="15.75" customHeight="1" x14ac:dyDescent="0.25">
      <c r="BC23" s="362"/>
      <c r="BD23" s="287" t="s">
        <v>306</v>
      </c>
      <c r="BE23" s="33">
        <f t="shared" si="6"/>
        <v>10</v>
      </c>
      <c r="BF23" s="33">
        <f t="shared" si="6"/>
        <v>10</v>
      </c>
      <c r="BG23" s="33">
        <f t="shared" si="6"/>
        <v>10</v>
      </c>
      <c r="BH23" s="33">
        <f t="shared" si="6"/>
        <v>10</v>
      </c>
      <c r="BI23" s="33">
        <f t="shared" si="6"/>
        <v>10</v>
      </c>
      <c r="BJ23" s="33">
        <f t="shared" si="6"/>
        <v>10</v>
      </c>
      <c r="BK23" s="33">
        <f t="shared" si="6"/>
        <v>10</v>
      </c>
      <c r="BL23" s="33">
        <f t="shared" si="6"/>
        <v>10</v>
      </c>
      <c r="BM23" s="194">
        <f t="shared" si="6"/>
        <v>15</v>
      </c>
    </row>
    <row r="24" spans="47:65" ht="15.75" customHeight="1" x14ac:dyDescent="0.25">
      <c r="BC24" s="362"/>
      <c r="BD24" s="192" t="s">
        <v>307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3">
        <f t="shared" si="6"/>
        <v>0</v>
      </c>
      <c r="BL24" s="193">
        <f t="shared" si="6"/>
        <v>0</v>
      </c>
      <c r="BM24" s="195">
        <f t="shared" si="6"/>
        <v>15</v>
      </c>
    </row>
    <row r="25" spans="47:65" ht="15.75" customHeight="1" x14ac:dyDescent="0.25">
      <c r="BC25" s="362"/>
      <c r="BD25" s="288" t="s">
        <v>308</v>
      </c>
      <c r="BE25" s="130">
        <f t="shared" si="6"/>
        <v>0</v>
      </c>
      <c r="BF25" s="130">
        <f t="shared" si="6"/>
        <v>0</v>
      </c>
      <c r="BG25" s="130">
        <f t="shared" si="6"/>
        <v>0</v>
      </c>
      <c r="BH25" s="130">
        <f t="shared" si="6"/>
        <v>0</v>
      </c>
      <c r="BI25" s="130">
        <f t="shared" si="6"/>
        <v>0</v>
      </c>
      <c r="BJ25" s="130">
        <f t="shared" si="6"/>
        <v>0</v>
      </c>
      <c r="BK25" s="130">
        <f t="shared" si="6"/>
        <v>0</v>
      </c>
      <c r="BL25" s="130">
        <f t="shared" si="6"/>
        <v>0</v>
      </c>
      <c r="BM25" s="196">
        <f t="shared" si="6"/>
        <v>0</v>
      </c>
    </row>
    <row r="26" spans="47:65" ht="15.75" customHeight="1" x14ac:dyDescent="0.25">
      <c r="BC26" s="363"/>
      <c r="BD26" s="12" t="s">
        <v>309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3">
        <f t="shared" si="6"/>
        <v>0</v>
      </c>
      <c r="BL26" s="13">
        <f t="shared" si="6"/>
        <v>0</v>
      </c>
      <c r="BM26" s="113">
        <f t="shared" si="6"/>
        <v>15</v>
      </c>
    </row>
    <row r="27" spans="47:65" ht="15.75" customHeight="1" x14ac:dyDescent="0.25">
      <c r="BC27" s="361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62"/>
      <c r="BD28" s="286" t="s">
        <v>305</v>
      </c>
      <c r="BE28" s="16">
        <f t="shared" ref="BE28:BM32" si="7">IF(ISBLANK(AE4),0,VLOOKUP(AE4,$I$4:$V$15,13,FALSE))</f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6">
        <f t="shared" si="7"/>
        <v>0</v>
      </c>
      <c r="BL28" s="16">
        <f t="shared" si="7"/>
        <v>0</v>
      </c>
      <c r="BM28" s="15">
        <f t="shared" si="7"/>
        <v>35</v>
      </c>
    </row>
    <row r="29" spans="47:65" ht="15.75" customHeight="1" x14ac:dyDescent="0.25">
      <c r="BC29" s="362"/>
      <c r="BD29" s="287" t="s">
        <v>306</v>
      </c>
      <c r="BE29" s="33">
        <f t="shared" si="7"/>
        <v>35</v>
      </c>
      <c r="BF29" s="33">
        <f t="shared" si="7"/>
        <v>35</v>
      </c>
      <c r="BG29" s="33">
        <f t="shared" si="7"/>
        <v>35</v>
      </c>
      <c r="BH29" s="33">
        <f t="shared" si="7"/>
        <v>35</v>
      </c>
      <c r="BI29" s="33">
        <f t="shared" si="7"/>
        <v>35</v>
      </c>
      <c r="BJ29" s="33">
        <f t="shared" si="7"/>
        <v>35</v>
      </c>
      <c r="BK29" s="33">
        <f t="shared" si="7"/>
        <v>35</v>
      </c>
      <c r="BL29" s="33">
        <f t="shared" si="7"/>
        <v>35</v>
      </c>
      <c r="BM29" s="194">
        <f t="shared" si="7"/>
        <v>35</v>
      </c>
    </row>
    <row r="30" spans="47:65" ht="15.75" customHeight="1" x14ac:dyDescent="0.25">
      <c r="BC30" s="362"/>
      <c r="BD30" s="192" t="s">
        <v>307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3">
        <f t="shared" si="7"/>
        <v>0</v>
      </c>
      <c r="BL30" s="193">
        <f t="shared" si="7"/>
        <v>0</v>
      </c>
      <c r="BM30" s="195">
        <f t="shared" si="7"/>
        <v>35</v>
      </c>
    </row>
    <row r="31" spans="47:65" ht="15.75" customHeight="1" x14ac:dyDescent="0.25">
      <c r="BC31" s="362"/>
      <c r="BD31" s="288" t="s">
        <v>308</v>
      </c>
      <c r="BE31" s="130">
        <f t="shared" si="7"/>
        <v>0</v>
      </c>
      <c r="BF31" s="130">
        <f t="shared" si="7"/>
        <v>0</v>
      </c>
      <c r="BG31" s="130">
        <f t="shared" si="7"/>
        <v>0</v>
      </c>
      <c r="BH31" s="130">
        <f t="shared" si="7"/>
        <v>0</v>
      </c>
      <c r="BI31" s="130">
        <f t="shared" si="7"/>
        <v>0</v>
      </c>
      <c r="BJ31" s="130">
        <f t="shared" si="7"/>
        <v>0</v>
      </c>
      <c r="BK31" s="130">
        <f t="shared" si="7"/>
        <v>0</v>
      </c>
      <c r="BL31" s="130">
        <f t="shared" si="7"/>
        <v>0</v>
      </c>
      <c r="BM31" s="196">
        <f t="shared" si="7"/>
        <v>0</v>
      </c>
    </row>
    <row r="32" spans="47:65" ht="15.75" customHeight="1" x14ac:dyDescent="0.25">
      <c r="BC32" s="363"/>
      <c r="BD32" s="12" t="s">
        <v>309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3">
        <f t="shared" si="7"/>
        <v>0</v>
      </c>
      <c r="BL32" s="13">
        <f t="shared" si="7"/>
        <v>0</v>
      </c>
      <c r="BM32" s="113">
        <f t="shared" si="7"/>
        <v>35</v>
      </c>
    </row>
    <row r="33" spans="55:65" ht="15.75" customHeight="1" x14ac:dyDescent="0.25">
      <c r="BC33" s="361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62"/>
      <c r="BD34" s="286" t="s">
        <v>305</v>
      </c>
      <c r="BE34" s="333">
        <f t="shared" ref="BE34:BM38" si="8">IF(ISBLANK(AE4),0,VLOOKUP(AE4,$I$4:$V$15,14,FALSE))</f>
        <v>0</v>
      </c>
      <c r="BF34" s="333">
        <f t="shared" si="8"/>
        <v>0</v>
      </c>
      <c r="BG34" s="333">
        <f t="shared" si="8"/>
        <v>0</v>
      </c>
      <c r="BH34" s="333">
        <f t="shared" si="8"/>
        <v>0</v>
      </c>
      <c r="BI34" s="333">
        <f t="shared" si="8"/>
        <v>0</v>
      </c>
      <c r="BJ34" s="333">
        <f t="shared" si="8"/>
        <v>0</v>
      </c>
      <c r="BK34" s="333">
        <f t="shared" si="8"/>
        <v>0</v>
      </c>
      <c r="BL34" s="333">
        <f t="shared" si="8"/>
        <v>0</v>
      </c>
      <c r="BM34" s="334">
        <f t="shared" si="8"/>
        <v>52500000</v>
      </c>
    </row>
    <row r="35" spans="55:65" ht="15.75" customHeight="1" x14ac:dyDescent="0.25">
      <c r="BC35" s="362"/>
      <c r="BD35" s="287" t="s">
        <v>306</v>
      </c>
      <c r="BE35" s="335">
        <f t="shared" si="8"/>
        <v>42500000</v>
      </c>
      <c r="BF35" s="335">
        <f t="shared" si="8"/>
        <v>42500000</v>
      </c>
      <c r="BG35" s="335">
        <f t="shared" si="8"/>
        <v>42500000</v>
      </c>
      <c r="BH35" s="335">
        <f t="shared" si="8"/>
        <v>42500000</v>
      </c>
      <c r="BI35" s="335">
        <f t="shared" si="8"/>
        <v>42500000</v>
      </c>
      <c r="BJ35" s="335">
        <f t="shared" si="8"/>
        <v>42500000</v>
      </c>
      <c r="BK35" s="335">
        <f t="shared" si="8"/>
        <v>42500000</v>
      </c>
      <c r="BL35" s="335">
        <f t="shared" si="8"/>
        <v>42500000</v>
      </c>
      <c r="BM35" s="336">
        <f t="shared" si="8"/>
        <v>52500000</v>
      </c>
    </row>
    <row r="36" spans="55:65" ht="15.75" customHeight="1" x14ac:dyDescent="0.25">
      <c r="BC36" s="362"/>
      <c r="BD36" s="192" t="s">
        <v>307</v>
      </c>
      <c r="BE36" s="337">
        <f t="shared" si="8"/>
        <v>0</v>
      </c>
      <c r="BF36" s="337">
        <f t="shared" si="8"/>
        <v>0</v>
      </c>
      <c r="BG36" s="337">
        <f t="shared" si="8"/>
        <v>0</v>
      </c>
      <c r="BH36" s="337">
        <f t="shared" si="8"/>
        <v>0</v>
      </c>
      <c r="BI36" s="337">
        <f t="shared" si="8"/>
        <v>0</v>
      </c>
      <c r="BJ36" s="337">
        <f t="shared" si="8"/>
        <v>0</v>
      </c>
      <c r="BK36" s="337">
        <f t="shared" si="8"/>
        <v>0</v>
      </c>
      <c r="BL36" s="337">
        <f t="shared" si="8"/>
        <v>0</v>
      </c>
      <c r="BM36" s="338">
        <f t="shared" si="8"/>
        <v>52500000</v>
      </c>
    </row>
    <row r="37" spans="55:65" ht="15.75" customHeight="1" x14ac:dyDescent="0.25">
      <c r="BC37" s="362"/>
      <c r="BD37" s="288" t="s">
        <v>308</v>
      </c>
      <c r="BE37" s="339">
        <f t="shared" si="8"/>
        <v>0</v>
      </c>
      <c r="BF37" s="339">
        <f t="shared" si="8"/>
        <v>0</v>
      </c>
      <c r="BG37" s="339">
        <f t="shared" si="8"/>
        <v>0</v>
      </c>
      <c r="BH37" s="339">
        <f t="shared" si="8"/>
        <v>0</v>
      </c>
      <c r="BI37" s="339">
        <f t="shared" si="8"/>
        <v>0</v>
      </c>
      <c r="BJ37" s="339">
        <f t="shared" si="8"/>
        <v>0</v>
      </c>
      <c r="BK37" s="339">
        <f t="shared" si="8"/>
        <v>0</v>
      </c>
      <c r="BL37" s="339">
        <f t="shared" si="8"/>
        <v>0</v>
      </c>
      <c r="BM37" s="340">
        <f t="shared" si="8"/>
        <v>0</v>
      </c>
    </row>
    <row r="38" spans="55:65" ht="15.75" customHeight="1" x14ac:dyDescent="0.25">
      <c r="BC38" s="363"/>
      <c r="BD38" s="12" t="s">
        <v>309</v>
      </c>
      <c r="BE38" s="341">
        <f t="shared" si="8"/>
        <v>0</v>
      </c>
      <c r="BF38" s="341">
        <f t="shared" si="8"/>
        <v>0</v>
      </c>
      <c r="BG38" s="341">
        <f t="shared" si="8"/>
        <v>0</v>
      </c>
      <c r="BH38" s="341">
        <f t="shared" si="8"/>
        <v>0</v>
      </c>
      <c r="BI38" s="341">
        <f t="shared" si="8"/>
        <v>0</v>
      </c>
      <c r="BJ38" s="341">
        <f t="shared" si="8"/>
        <v>0</v>
      </c>
      <c r="BK38" s="341">
        <f t="shared" si="8"/>
        <v>0</v>
      </c>
      <c r="BL38" s="341">
        <f t="shared" si="8"/>
        <v>0</v>
      </c>
      <c r="BM38" s="342">
        <f t="shared" si="8"/>
        <v>52500000</v>
      </c>
    </row>
  </sheetData>
  <mergeCells count="30"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</mergeCells>
  <conditionalFormatting sqref="AE7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4 AE5:AM5 AE6:AM6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10" operator="equal">
      <formula>"X"</formula>
    </cfRule>
    <cfRule type="cellIs" dxfId="5" priority="52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14" activePane="bottomLeft" state="frozen"/>
      <selection pane="bottomLeft" activeCell="O32" sqref="O32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8" t="s">
        <v>69</v>
      </c>
      <c r="D1" s="398"/>
      <c r="E1" s="398" t="s">
        <v>69</v>
      </c>
      <c r="F1" s="398"/>
      <c r="G1" s="398"/>
      <c r="H1" s="398"/>
      <c r="I1" s="398"/>
      <c r="J1" s="398" t="s">
        <v>73</v>
      </c>
      <c r="K1" s="398"/>
      <c r="L1" s="398"/>
      <c r="M1" s="398" t="s">
        <v>73</v>
      </c>
      <c r="N1" s="398"/>
      <c r="O1" s="398"/>
      <c r="Q1" s="393" t="s">
        <v>77</v>
      </c>
      <c r="R1" s="393" t="s">
        <v>141</v>
      </c>
      <c r="S1" s="393"/>
      <c r="T1" s="393" t="s">
        <v>142</v>
      </c>
      <c r="U1" s="393"/>
      <c r="V1" s="393" t="s">
        <v>115</v>
      </c>
      <c r="W1" s="393"/>
    </row>
    <row r="2" spans="1:23" s="285" customFormat="1" x14ac:dyDescent="0.25">
      <c r="A2" s="79" t="s">
        <v>223</v>
      </c>
      <c r="B2" s="79" t="s">
        <v>88</v>
      </c>
      <c r="C2" s="398" t="s">
        <v>223</v>
      </c>
      <c r="D2" s="398"/>
      <c r="E2" s="398" t="s">
        <v>223</v>
      </c>
      <c r="F2" s="398"/>
      <c r="G2" s="398" t="s">
        <v>88</v>
      </c>
      <c r="H2" s="398"/>
      <c r="I2" s="398"/>
      <c r="J2" s="398" t="s">
        <v>223</v>
      </c>
      <c r="K2" s="398"/>
      <c r="L2" s="398"/>
      <c r="M2" s="398" t="s">
        <v>88</v>
      </c>
      <c r="N2" s="398"/>
      <c r="O2" s="398"/>
      <c r="P2" s="301"/>
      <c r="Q2" s="393"/>
      <c r="R2" s="393"/>
      <c r="S2" s="393"/>
      <c r="T2" s="393"/>
      <c r="U2" s="393"/>
      <c r="V2" s="393"/>
      <c r="W2" s="393"/>
    </row>
    <row r="3" spans="1:23" s="285" customFormat="1" x14ac:dyDescent="0.25">
      <c r="A3" s="79" t="s">
        <v>221</v>
      </c>
      <c r="B3" s="79" t="s">
        <v>221</v>
      </c>
      <c r="C3" s="398" t="s">
        <v>221</v>
      </c>
      <c r="D3" s="398"/>
      <c r="E3" s="398" t="s">
        <v>221</v>
      </c>
      <c r="F3" s="398"/>
      <c r="G3" s="398" t="s">
        <v>221</v>
      </c>
      <c r="H3" s="398"/>
      <c r="I3" s="350" t="s">
        <v>222</v>
      </c>
      <c r="J3" s="398" t="s">
        <v>221</v>
      </c>
      <c r="K3" s="398"/>
      <c r="L3" s="398"/>
      <c r="M3" s="398" t="s">
        <v>221</v>
      </c>
      <c r="N3" s="398"/>
      <c r="O3" s="398"/>
      <c r="P3" s="301"/>
      <c r="Q3" s="393"/>
      <c r="R3" s="393" t="s">
        <v>20</v>
      </c>
      <c r="S3" s="393" t="s">
        <v>19</v>
      </c>
      <c r="T3" s="393" t="s">
        <v>20</v>
      </c>
      <c r="U3" s="393" t="s">
        <v>19</v>
      </c>
      <c r="V3" s="393" t="s">
        <v>20</v>
      </c>
      <c r="W3" s="393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3"/>
      <c r="R4" s="393"/>
      <c r="S4" s="393"/>
      <c r="T4" s="393"/>
      <c r="U4" s="393"/>
      <c r="V4" s="393"/>
      <c r="W4" s="393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J5" s="78">
        <v>3</v>
      </c>
      <c r="K5" s="78">
        <v>4</v>
      </c>
      <c r="L5" s="78">
        <v>1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J6" s="78">
        <v>3</v>
      </c>
      <c r="K6" s="78">
        <v>4</v>
      </c>
      <c r="L6" s="78">
        <v>1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J7" s="78">
        <v>3</v>
      </c>
      <c r="K7" s="78">
        <v>4</v>
      </c>
      <c r="L7" s="78">
        <v>2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J8" s="78">
        <v>3</v>
      </c>
      <c r="K8" s="78">
        <v>4</v>
      </c>
      <c r="L8" s="78">
        <v>1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J9" s="78">
        <v>2</v>
      </c>
      <c r="K9" s="78">
        <v>4</v>
      </c>
      <c r="L9" s="78">
        <v>1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J10" s="78">
        <v>2</v>
      </c>
      <c r="K10" s="78">
        <v>4</v>
      </c>
      <c r="L10" s="78">
        <v>1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J11" s="78">
        <v>3</v>
      </c>
      <c r="K11" s="78">
        <v>4</v>
      </c>
      <c r="L11" s="78">
        <v>1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J12" s="78">
        <v>3</v>
      </c>
      <c r="K12" s="78">
        <v>4</v>
      </c>
      <c r="L12" s="78">
        <v>2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J13" s="78">
        <v>2</v>
      </c>
      <c r="K13" s="78">
        <v>4</v>
      </c>
      <c r="L13" s="78">
        <v>1</v>
      </c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J14" s="78">
        <v>3</v>
      </c>
      <c r="K14" s="78">
        <v>4</v>
      </c>
      <c r="L14" s="78">
        <v>2</v>
      </c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J15" s="78">
        <v>3</v>
      </c>
      <c r="K15" s="78">
        <v>4</v>
      </c>
      <c r="L15" s="78">
        <v>2</v>
      </c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J16" s="78">
        <v>3</v>
      </c>
      <c r="K16" s="78">
        <v>4</v>
      </c>
      <c r="L16" s="78">
        <v>2</v>
      </c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0:24" x14ac:dyDescent="0.25">
      <c r="J17" s="78">
        <v>2</v>
      </c>
      <c r="K17" s="78">
        <v>4</v>
      </c>
      <c r="L17" s="78">
        <v>2</v>
      </c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0:24" x14ac:dyDescent="0.25">
      <c r="J18" s="78">
        <v>2</v>
      </c>
      <c r="K18" s="78">
        <v>4</v>
      </c>
      <c r="L18" s="78">
        <v>1</v>
      </c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0:24" x14ac:dyDescent="0.25">
      <c r="J19" s="78">
        <v>3</v>
      </c>
      <c r="K19" s="78">
        <v>4</v>
      </c>
      <c r="L19" s="78">
        <v>1</v>
      </c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0:24" x14ac:dyDescent="0.25">
      <c r="J20" s="78">
        <v>3</v>
      </c>
      <c r="K20" s="78">
        <v>4</v>
      </c>
      <c r="L20" s="78">
        <v>2</v>
      </c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0:24" x14ac:dyDescent="0.25">
      <c r="J21" s="78">
        <v>3</v>
      </c>
      <c r="K21" s="78">
        <v>4</v>
      </c>
      <c r="L21" s="78">
        <v>1</v>
      </c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0:24" x14ac:dyDescent="0.25">
      <c r="J22" s="78">
        <v>2</v>
      </c>
      <c r="K22" s="78">
        <v>4</v>
      </c>
      <c r="L22" s="78">
        <v>2</v>
      </c>
      <c r="M22" s="78">
        <v>4</v>
      </c>
      <c r="N22" s="78">
        <v>6</v>
      </c>
      <c r="O22" s="78">
        <v>1</v>
      </c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0:24" x14ac:dyDescent="0.25">
      <c r="M23" s="78">
        <v>4</v>
      </c>
      <c r="N23" s="78">
        <v>6</v>
      </c>
      <c r="O23" s="78">
        <v>2</v>
      </c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0:24" x14ac:dyDescent="0.25">
      <c r="M24" s="78">
        <v>4</v>
      </c>
      <c r="N24" s="78">
        <v>6</v>
      </c>
      <c r="O24" s="78">
        <v>2</v>
      </c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0:24" x14ac:dyDescent="0.25">
      <c r="M25" s="78">
        <v>4</v>
      </c>
      <c r="N25" s="78">
        <v>6</v>
      </c>
      <c r="O25" s="78">
        <v>2</v>
      </c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0:24" x14ac:dyDescent="0.25">
      <c r="M26" s="78">
        <v>4</v>
      </c>
      <c r="N26" s="78">
        <v>6</v>
      </c>
      <c r="O26" s="78">
        <v>2</v>
      </c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0:24" x14ac:dyDescent="0.25">
      <c r="M27" s="78">
        <v>4</v>
      </c>
      <c r="N27" s="78">
        <v>6</v>
      </c>
      <c r="O27" s="78">
        <v>2</v>
      </c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0:24" x14ac:dyDescent="0.25">
      <c r="M28" s="78">
        <v>4</v>
      </c>
      <c r="N28" s="78">
        <v>6</v>
      </c>
      <c r="O28" s="78">
        <v>2</v>
      </c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0:24" x14ac:dyDescent="0.25">
      <c r="M29" s="78">
        <v>4</v>
      </c>
      <c r="N29" s="78">
        <v>6</v>
      </c>
      <c r="O29" s="78">
        <v>2</v>
      </c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0:24" x14ac:dyDescent="0.25">
      <c r="M30" s="78">
        <v>4</v>
      </c>
      <c r="N30" s="78">
        <v>6</v>
      </c>
      <c r="O30" s="78">
        <v>2</v>
      </c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0:24" x14ac:dyDescent="0.25">
      <c r="M31" s="78">
        <v>4</v>
      </c>
      <c r="N31" s="78">
        <v>6</v>
      </c>
      <c r="O31" s="78">
        <v>2</v>
      </c>
      <c r="X31" s="81"/>
    </row>
    <row r="32" spans="10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9" t="s">
        <v>149</v>
      </c>
      <c r="G1" s="399"/>
      <c r="J1" t="s">
        <v>189</v>
      </c>
      <c r="K1" t="s">
        <v>190</v>
      </c>
    </row>
    <row r="2" spans="1:12" x14ac:dyDescent="0.25">
      <c r="A2" s="401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401">
        <v>1.54</v>
      </c>
      <c r="G2" s="401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401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401"/>
      <c r="G3" s="401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9" t="str">
        <f>"Predicted left to " &amp; A2</f>
        <v>Predicted left to 8</v>
      </c>
      <c r="G4" s="399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400">
        <f>IF(F2&gt;=A2,"",_xlfn.FORECAST.LINEAR(A2-F2, D:D, E:E))</f>
        <v>847.89680154979158</v>
      </c>
      <c r="G5" s="399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400"/>
      <c r="G6" s="399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9" t="str">
        <f>"Predicted total to " &amp; A2</f>
        <v>Predicted total to 8</v>
      </c>
      <c r="G7" s="399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400">
        <f>_xlfn.FORECAST.LINEAR(A2, D:D, E:E)</f>
        <v>1045.5139582186798</v>
      </c>
      <c r="G8" s="399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400"/>
      <c r="G9" s="399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opLeftCell="E1" workbookViewId="0">
      <selection activeCell="Y14" sqref="Y1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5" t="s">
        <v>228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388" t="s">
        <v>262</v>
      </c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89"/>
      <c r="AM1" s="389"/>
      <c r="AN1" s="389"/>
      <c r="AO1" s="389"/>
      <c r="AP1" s="389"/>
      <c r="AQ1" s="389"/>
      <c r="AR1" s="389"/>
      <c r="AS1" s="389"/>
      <c r="AT1" s="406"/>
    </row>
    <row r="2" spans="1:46" ht="15.75" customHeight="1" x14ac:dyDescent="0.25">
      <c r="A2" s="366" t="s">
        <v>62</v>
      </c>
      <c r="B2" s="367"/>
      <c r="C2" s="367"/>
      <c r="D2" s="368"/>
      <c r="E2" s="366" t="s">
        <v>246</v>
      </c>
      <c r="F2" s="367"/>
      <c r="G2" s="367"/>
      <c r="H2" s="367"/>
      <c r="I2" s="367"/>
      <c r="J2" s="367"/>
      <c r="K2" s="367"/>
      <c r="L2" s="368"/>
      <c r="M2" s="366" t="s">
        <v>254</v>
      </c>
      <c r="N2" s="367"/>
      <c r="O2" s="367"/>
      <c r="P2" s="367"/>
      <c r="Q2" s="367"/>
      <c r="R2" s="367"/>
      <c r="S2" s="367"/>
      <c r="T2" s="367"/>
      <c r="U2" s="367"/>
      <c r="V2" s="368"/>
      <c r="W2" s="366" t="s">
        <v>259</v>
      </c>
      <c r="X2" s="367"/>
      <c r="Y2" s="367"/>
      <c r="Z2" s="367"/>
      <c r="AA2" s="368"/>
      <c r="AB2" s="366" t="s">
        <v>232</v>
      </c>
      <c r="AC2" s="367"/>
      <c r="AD2" s="367"/>
      <c r="AE2" s="367"/>
      <c r="AF2" s="367"/>
      <c r="AG2" s="367"/>
      <c r="AH2" s="367"/>
      <c r="AI2" s="368"/>
      <c r="AJ2" s="366" t="s">
        <v>233</v>
      </c>
      <c r="AK2" s="367"/>
      <c r="AL2" s="367"/>
      <c r="AM2" s="367"/>
      <c r="AN2" s="367"/>
      <c r="AO2" s="367"/>
      <c r="AP2" s="367"/>
      <c r="AQ2" s="367"/>
      <c r="AR2" s="367"/>
      <c r="AS2" s="367"/>
      <c r="AT2" s="368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7" t="s">
        <v>258</v>
      </c>
      <c r="AC3" s="408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4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78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402"/>
      <c r="AK4" s="25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72"/>
      <c r="AC5" s="240" t="s">
        <v>13</v>
      </c>
      <c r="AD5" s="16">
        <f>ROUNDUP(AD4/$X$4,0)</f>
        <v>0</v>
      </c>
      <c r="AE5" s="33">
        <f>ROUNDUP(AE4/$X$4,0)</f>
        <v>0</v>
      </c>
      <c r="AF5" s="193">
        <f>ROUNDUP(AF4/$X$4,0)</f>
        <v>0</v>
      </c>
      <c r="AG5" s="130">
        <f>ROUNDUP(AG4/$X$4,0)</f>
        <v>0</v>
      </c>
      <c r="AH5" s="14">
        <f>ROUNDUP(AH4/$X$4,0)</f>
        <v>0</v>
      </c>
      <c r="AI5" s="263">
        <f t="shared" ref="AI5:AI12" si="1">SUM(AD5:AH5)</f>
        <v>0</v>
      </c>
      <c r="AJ5" s="402"/>
      <c r="AK5" s="25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94">
        <f t="shared" si="0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79"/>
      <c r="AC6" s="224" t="s">
        <v>257</v>
      </c>
      <c r="AD6" s="216">
        <f>ROUNDUP(AD5/4*30,0)</f>
        <v>0</v>
      </c>
      <c r="AE6" s="217">
        <f>ROUNDUP(AE5/4*30,0)</f>
        <v>0</v>
      </c>
      <c r="AF6" s="218">
        <f>ROUNDUP(AF5/4*30,0)</f>
        <v>0</v>
      </c>
      <c r="AG6" s="219">
        <f>ROUNDUP(AG5/4*30,0)</f>
        <v>0</v>
      </c>
      <c r="AH6" s="225">
        <f>ROUNDUP(AH5/4*30,0)</f>
        <v>0</v>
      </c>
      <c r="AI6" s="264">
        <f t="shared" si="1"/>
        <v>0</v>
      </c>
      <c r="AJ6" s="402"/>
      <c r="AK6" s="192" t="s">
        <v>6</v>
      </c>
      <c r="AL6" s="193">
        <f t="shared" si="0"/>
        <v>0</v>
      </c>
      <c r="AM6" s="193">
        <f t="shared" si="0"/>
        <v>0</v>
      </c>
      <c r="AN6" s="193">
        <f t="shared" si="0"/>
        <v>0</v>
      </c>
      <c r="AO6" s="193">
        <f t="shared" si="0"/>
        <v>0</v>
      </c>
      <c r="AP6" s="193">
        <f t="shared" si="0"/>
        <v>0</v>
      </c>
      <c r="AQ6" s="193">
        <f t="shared" si="0"/>
        <v>0</v>
      </c>
      <c r="AR6" s="193">
        <f t="shared" si="0"/>
        <v>0</v>
      </c>
      <c r="AS6" s="193">
        <f t="shared" si="0"/>
        <v>0</v>
      </c>
      <c r="AT6" s="195">
        <f t="shared" si="0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78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1"/>
        <v>0</v>
      </c>
      <c r="AJ7" s="402"/>
      <c r="AK7" s="252" t="s">
        <v>4</v>
      </c>
      <c r="AL7" s="130">
        <f t="shared" si="0"/>
        <v>0</v>
      </c>
      <c r="AM7" s="130">
        <f t="shared" si="0"/>
        <v>0</v>
      </c>
      <c r="AN7" s="130">
        <f t="shared" si="0"/>
        <v>0</v>
      </c>
      <c r="AO7" s="130">
        <f t="shared" si="0"/>
        <v>0</v>
      </c>
      <c r="AP7" s="130">
        <f t="shared" si="0"/>
        <v>0</v>
      </c>
      <c r="AQ7" s="130">
        <f t="shared" si="0"/>
        <v>0</v>
      </c>
      <c r="AR7" s="130">
        <f t="shared" si="0"/>
        <v>0</v>
      </c>
      <c r="AS7" s="130">
        <f t="shared" si="0"/>
        <v>0</v>
      </c>
      <c r="AT7" s="196">
        <f t="shared" si="0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72"/>
      <c r="AC8" s="240" t="s">
        <v>13</v>
      </c>
      <c r="AD8" s="16">
        <f>ROUNDUP(AD7/$Y$4,0)</f>
        <v>0</v>
      </c>
      <c r="AE8" s="33">
        <f>ROUNDUP(AE7/$Y$4,0)</f>
        <v>0</v>
      </c>
      <c r="AF8" s="193">
        <f>ROUNDUP(AF7/$Y$4,0)</f>
        <v>0</v>
      </c>
      <c r="AG8" s="130">
        <f>ROUNDUP(AG7/$Y$4,0)</f>
        <v>0</v>
      </c>
      <c r="AH8" s="14">
        <f>ROUNDUP(AH7/$Y$4,0)</f>
        <v>0</v>
      </c>
      <c r="AI8" s="263">
        <f t="shared" si="1"/>
        <v>0</v>
      </c>
      <c r="AJ8" s="403"/>
      <c r="AK8" s="260" t="s">
        <v>3</v>
      </c>
      <c r="AL8" s="261">
        <f t="shared" si="0"/>
        <v>0</v>
      </c>
      <c r="AM8" s="261">
        <f t="shared" si="0"/>
        <v>0</v>
      </c>
      <c r="AN8" s="261">
        <f t="shared" si="0"/>
        <v>0</v>
      </c>
      <c r="AO8" s="261">
        <f t="shared" si="0"/>
        <v>0</v>
      </c>
      <c r="AP8" s="261">
        <f t="shared" si="0"/>
        <v>0</v>
      </c>
      <c r="AQ8" s="261">
        <f t="shared" si="0"/>
        <v>0</v>
      </c>
      <c r="AR8" s="261">
        <f t="shared" si="0"/>
        <v>0</v>
      </c>
      <c r="AS8" s="261">
        <f t="shared" si="0"/>
        <v>0</v>
      </c>
      <c r="AT8" s="262">
        <f t="shared" si="0"/>
        <v>175</v>
      </c>
    </row>
    <row r="9" spans="1:46" ht="15.75" customHeight="1" x14ac:dyDescent="0.25">
      <c r="AB9" s="379"/>
      <c r="AC9" s="224" t="s">
        <v>257</v>
      </c>
      <c r="AD9" s="216">
        <f>ROUNDUP(AD8/4*30,0)</f>
        <v>0</v>
      </c>
      <c r="AE9" s="217">
        <f>ROUNDUP(AE8/4*30,0)</f>
        <v>0</v>
      </c>
      <c r="AF9" s="218">
        <f>ROUNDUP(AF8/4*30,0)</f>
        <v>0</v>
      </c>
      <c r="AG9" s="219">
        <f>ROUNDUP(AG8/4*30,0)</f>
        <v>0</v>
      </c>
      <c r="AH9" s="225">
        <f>ROUNDUP(AH8/4*30,0)</f>
        <v>0</v>
      </c>
      <c r="AI9" s="264">
        <f t="shared" si="1"/>
        <v>0</v>
      </c>
      <c r="AJ9" s="402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78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1"/>
        <v>2</v>
      </c>
      <c r="AJ10" s="402"/>
      <c r="AK10" s="25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372"/>
      <c r="AC11" s="240" t="s">
        <v>13</v>
      </c>
      <c r="AD11" s="16">
        <f>ROUNDUP(AD10/$Z$4,0)</f>
        <v>0</v>
      </c>
      <c r="AE11" s="33">
        <f>ROUNDUP(AE10/$Z$4,0)</f>
        <v>4</v>
      </c>
      <c r="AF11" s="193">
        <f>ROUNDUP(AF10/$Z$4,0)</f>
        <v>0</v>
      </c>
      <c r="AG11" s="130">
        <f>ROUNDUP(AG10/$Z$4,0)</f>
        <v>0</v>
      </c>
      <c r="AH11" s="14">
        <f>ROUNDUP(AH10/$Z$4,0)</f>
        <v>0</v>
      </c>
      <c r="AI11" s="263">
        <f t="shared" si="1"/>
        <v>4</v>
      </c>
      <c r="AJ11" s="402"/>
      <c r="AK11" s="25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94">
        <f t="shared" si="3"/>
        <v>50</v>
      </c>
    </row>
    <row r="12" spans="1:46" ht="15.75" customHeight="1" x14ac:dyDescent="0.25">
      <c r="AB12" s="379"/>
      <c r="AC12" s="224" t="s">
        <v>257</v>
      </c>
      <c r="AD12" s="216">
        <f>ROUNDUP(AD11/4*30,0)</f>
        <v>0</v>
      </c>
      <c r="AE12" s="217">
        <f>ROUNDUP(AE11/4*30,0)</f>
        <v>30</v>
      </c>
      <c r="AF12" s="218">
        <f>ROUNDUP(AF11/4*30,0)</f>
        <v>0</v>
      </c>
      <c r="AG12" s="219">
        <f>ROUNDUP(AG11/4*30,0)</f>
        <v>0</v>
      </c>
      <c r="AH12" s="225">
        <f>ROUNDUP(AH11/4*30,0)</f>
        <v>0</v>
      </c>
      <c r="AI12" s="264">
        <f t="shared" si="1"/>
        <v>30</v>
      </c>
      <c r="AJ12" s="402"/>
      <c r="AK12" s="192" t="s">
        <v>6</v>
      </c>
      <c r="AL12" s="193">
        <f t="shared" ref="AL12:AT12" si="4">IF(ISBLANK(N6),0,VLOOKUP(N6,$E$4:$L$8,7,FALSE))</f>
        <v>0</v>
      </c>
      <c r="AM12" s="193">
        <f t="shared" si="4"/>
        <v>0</v>
      </c>
      <c r="AN12" s="193">
        <f t="shared" si="4"/>
        <v>0</v>
      </c>
      <c r="AO12" s="193">
        <f t="shared" si="4"/>
        <v>0</v>
      </c>
      <c r="AP12" s="193">
        <f t="shared" si="4"/>
        <v>0</v>
      </c>
      <c r="AQ12" s="193">
        <f t="shared" si="4"/>
        <v>0</v>
      </c>
      <c r="AR12" s="193">
        <f t="shared" si="4"/>
        <v>0</v>
      </c>
      <c r="AS12" s="193">
        <f t="shared" si="4"/>
        <v>0</v>
      </c>
      <c r="AT12" s="195">
        <f t="shared" si="4"/>
        <v>50</v>
      </c>
    </row>
    <row r="13" spans="1:46" ht="15.75" customHeight="1" x14ac:dyDescent="0.25">
      <c r="AJ13" s="402"/>
      <c r="AK13" s="252" t="s">
        <v>4</v>
      </c>
      <c r="AL13" s="130">
        <f t="shared" ref="AL13:AT13" si="5">IF(ISBLANK(N7),0,VLOOKUP(N7,$E$4:$L$8,7,FALSE))</f>
        <v>0</v>
      </c>
      <c r="AM13" s="130">
        <f t="shared" si="5"/>
        <v>0</v>
      </c>
      <c r="AN13" s="130">
        <f t="shared" si="5"/>
        <v>0</v>
      </c>
      <c r="AO13" s="130">
        <f t="shared" si="5"/>
        <v>0</v>
      </c>
      <c r="AP13" s="130">
        <f t="shared" si="5"/>
        <v>0</v>
      </c>
      <c r="AQ13" s="130">
        <f t="shared" si="5"/>
        <v>0</v>
      </c>
      <c r="AR13" s="130">
        <f t="shared" si="5"/>
        <v>0</v>
      </c>
      <c r="AS13" s="130">
        <f t="shared" si="5"/>
        <v>0</v>
      </c>
      <c r="AT13" s="196">
        <f t="shared" si="5"/>
        <v>0</v>
      </c>
    </row>
    <row r="14" spans="1:46" ht="15.75" customHeight="1" x14ac:dyDescent="0.25">
      <c r="AJ14" s="403"/>
      <c r="AK14" s="260" t="s">
        <v>3</v>
      </c>
      <c r="AL14" s="261">
        <f t="shared" ref="AL14:AT14" si="6">IF(ISBLANK(N8),0,VLOOKUP(N8,$E$4:$L$8,7,FALSE))</f>
        <v>0</v>
      </c>
      <c r="AM14" s="261">
        <f t="shared" si="6"/>
        <v>0</v>
      </c>
      <c r="AN14" s="261">
        <f t="shared" si="6"/>
        <v>0</v>
      </c>
      <c r="AO14" s="261">
        <f t="shared" si="6"/>
        <v>0</v>
      </c>
      <c r="AP14" s="261">
        <f t="shared" si="6"/>
        <v>0</v>
      </c>
      <c r="AQ14" s="261">
        <f t="shared" si="6"/>
        <v>0</v>
      </c>
      <c r="AR14" s="261">
        <f t="shared" si="6"/>
        <v>0</v>
      </c>
      <c r="AS14" s="261">
        <f t="shared" si="6"/>
        <v>0</v>
      </c>
      <c r="AT14" s="262">
        <f t="shared" si="6"/>
        <v>50</v>
      </c>
    </row>
    <row r="15" spans="1:46" ht="15.75" customHeight="1" x14ac:dyDescent="0.25">
      <c r="AJ15" s="402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2"/>
      <c r="AK16" s="25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02"/>
      <c r="AK17" s="25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94">
        <f t="shared" si="8"/>
        <v>9</v>
      </c>
    </row>
    <row r="18" spans="36:46" ht="15.75" customHeight="1" x14ac:dyDescent="0.25">
      <c r="AJ18" s="402"/>
      <c r="AK18" s="192" t="s">
        <v>6</v>
      </c>
      <c r="AL18" s="193">
        <f t="shared" ref="AL18:AT18" si="9">IF(ISBLANK(N6),0,VLOOKUP(N6,$E$4:$L$8,8,FALSE))</f>
        <v>0</v>
      </c>
      <c r="AM18" s="193">
        <f t="shared" si="9"/>
        <v>0</v>
      </c>
      <c r="AN18" s="193">
        <f t="shared" si="9"/>
        <v>0</v>
      </c>
      <c r="AO18" s="193">
        <f t="shared" si="9"/>
        <v>0</v>
      </c>
      <c r="AP18" s="193">
        <f t="shared" si="9"/>
        <v>0</v>
      </c>
      <c r="AQ18" s="193">
        <f t="shared" si="9"/>
        <v>0</v>
      </c>
      <c r="AR18" s="193">
        <f t="shared" si="9"/>
        <v>0</v>
      </c>
      <c r="AS18" s="193">
        <f t="shared" si="9"/>
        <v>0</v>
      </c>
      <c r="AT18" s="195">
        <f t="shared" si="9"/>
        <v>9</v>
      </c>
    </row>
    <row r="19" spans="36:46" ht="15.75" customHeight="1" x14ac:dyDescent="0.25">
      <c r="AJ19" s="402"/>
      <c r="AK19" s="252" t="s">
        <v>4</v>
      </c>
      <c r="AL19" s="130">
        <f t="shared" ref="AL19:AT19" si="10">IF(ISBLANK(N7),0,VLOOKUP(N7,$E$4:$L$8,8,FALSE))</f>
        <v>0</v>
      </c>
      <c r="AM19" s="130">
        <f t="shared" si="10"/>
        <v>0</v>
      </c>
      <c r="AN19" s="130">
        <f t="shared" si="10"/>
        <v>0</v>
      </c>
      <c r="AO19" s="130">
        <f t="shared" si="10"/>
        <v>0</v>
      </c>
      <c r="AP19" s="130">
        <f t="shared" si="10"/>
        <v>0</v>
      </c>
      <c r="AQ19" s="130">
        <f t="shared" si="10"/>
        <v>0</v>
      </c>
      <c r="AR19" s="130">
        <f t="shared" si="10"/>
        <v>0</v>
      </c>
      <c r="AS19" s="130">
        <f t="shared" si="10"/>
        <v>0</v>
      </c>
      <c r="AT19" s="196">
        <f t="shared" si="10"/>
        <v>0</v>
      </c>
    </row>
    <row r="20" spans="36:46" ht="15.75" customHeight="1" x14ac:dyDescent="0.25">
      <c r="AJ20" s="403"/>
      <c r="AK20" s="260" t="s">
        <v>3</v>
      </c>
      <c r="AL20" s="261">
        <f t="shared" ref="AL20:AT20" si="11">IF(ISBLANK(N8),0,VLOOKUP(N8,$E$4:$L$8,8,FALSE))</f>
        <v>0</v>
      </c>
      <c r="AM20" s="261">
        <f t="shared" si="11"/>
        <v>0</v>
      </c>
      <c r="AN20" s="261">
        <f t="shared" si="11"/>
        <v>0</v>
      </c>
      <c r="AO20" s="261">
        <f t="shared" si="11"/>
        <v>0</v>
      </c>
      <c r="AP20" s="261">
        <f t="shared" si="11"/>
        <v>0</v>
      </c>
      <c r="AQ20" s="261">
        <f t="shared" si="11"/>
        <v>0</v>
      </c>
      <c r="AR20" s="261">
        <f t="shared" si="11"/>
        <v>0</v>
      </c>
      <c r="AS20" s="261">
        <f t="shared" si="11"/>
        <v>0</v>
      </c>
      <c r="AT20" s="26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7" t="s">
        <v>204</v>
      </c>
      <c r="B1" s="418"/>
      <c r="C1" s="418"/>
      <c r="D1" s="418"/>
      <c r="E1" s="418"/>
      <c r="F1" s="418"/>
      <c r="G1" s="418"/>
      <c r="H1" s="419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4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5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6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11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2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3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9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9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10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03"/>
  <sheetViews>
    <sheetView tabSelected="1" topLeftCell="A186" workbookViewId="0">
      <selection activeCell="F203" sqref="F203:K203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20" t="s">
        <v>109</v>
      </c>
      <c r="F1" s="420"/>
      <c r="G1" s="420"/>
      <c r="H1" s="420"/>
      <c r="I1" s="420"/>
      <c r="J1" s="420"/>
      <c r="L1" s="393" t="s">
        <v>110</v>
      </c>
      <c r="M1" s="393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18128.307954779601</v>
      </c>
      <c r="F3" s="97" cm="1">
        <f t="array" ref="F3">SUMIF($H6:$H99999,"&gt;0") / SCOUT_DAYS_FROM_EARLIEST * 30</f>
        <v>52463.446057908681</v>
      </c>
      <c r="G3" s="97"/>
      <c r="H3" s="97" cm="1">
        <f t="array" ref="H3">(SUMIF($F6:$F99999,"&gt;0") + SUMIF($H6:$H99999,"&gt;0")) / SCOUT_DAYS_FROM_EARLIEST * 30</f>
        <v>70591.754012688296</v>
      </c>
      <c r="I3" s="97" cm="1">
        <f t="array" ref="I3">(SUMIF($F6:$F99999,"&lt;0") + SUMIF($H6:$H99999,"&lt;0")) / SCOUT_DAYS_FROM_EARLIEST * 30</f>
        <v>-79077.939777819891</v>
      </c>
      <c r="J3" s="97">
        <f>H3+I3</f>
        <v>-8486.185765131595</v>
      </c>
      <c r="L3" s="10" cm="1">
        <f t="array" ref="L3">SUM(L6:L99999) / SCOUT_DAYS_FROM_EARLIEST * 30</f>
        <v>56840.247477669684</v>
      </c>
      <c r="M3" s="100" cm="1">
        <f t="array" ref="M3">SUM(M6:M99999) / SCOUT_DAYS_FROM_EARLIEST * 30</f>
        <v>1060.0672621557324</v>
      </c>
    </row>
    <row r="4" spans="1:13" s="90" customFormat="1" ht="15" customHeight="1" x14ac:dyDescent="0.25">
      <c r="A4" s="421" t="s">
        <v>80</v>
      </c>
      <c r="B4" s="408" t="s">
        <v>85</v>
      </c>
      <c r="C4" s="408" t="s">
        <v>34</v>
      </c>
      <c r="D4" s="408"/>
      <c r="E4" s="408"/>
      <c r="F4" s="408" t="s">
        <v>35</v>
      </c>
      <c r="G4" s="408"/>
      <c r="H4" s="408"/>
      <c r="I4" s="408"/>
      <c r="J4" s="408"/>
      <c r="K4" s="110" t="s">
        <v>109</v>
      </c>
      <c r="L4" s="408" t="s">
        <v>95</v>
      </c>
      <c r="M4" s="408"/>
    </row>
    <row r="5" spans="1:13" s="83" customFormat="1" ht="15" customHeight="1" x14ac:dyDescent="0.25">
      <c r="A5" s="422"/>
      <c r="B5" s="373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_xlfn.SINGLE(IFERROR(G6 - _xlfn.XLOOKUP(A6-31, $A$6:$A$14999,G$6:G$14999,"",-1,2),NA()))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_xlfn.SINGLE(IFERROR(G44 - _xlfn.XLOOKUP(A44-31, $A$6:$A$14999,G$6:G$14999,"",-1,2),NA()))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:F105" si="16">C74-C73</f>
        <v>6340</v>
      </c>
      <c r="G74" s="86">
        <f>SUMIF(F$6:F74,"&gt;0")</f>
        <v>61780</v>
      </c>
      <c r="H74" s="86">
        <f t="shared" ref="H74:H105" si="17">D74-D73</f>
        <v>590</v>
      </c>
      <c r="I74" s="86">
        <f t="shared" si="15"/>
        <v>6930</v>
      </c>
      <c r="J74" s="91">
        <f t="shared" ref="J74:J105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si="16"/>
        <v>550</v>
      </c>
      <c r="G75" s="86">
        <f>SUMIF(F$6:F75,"&gt;0")</f>
        <v>62330</v>
      </c>
      <c r="H75" s="86">
        <f t="shared" si="17"/>
        <v>-430</v>
      </c>
      <c r="I75" s="86">
        <f t="shared" si="15"/>
        <v>120</v>
      </c>
      <c r="J75" s="91">
        <f t="shared" si="18"/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si="16"/>
        <v>-12790</v>
      </c>
      <c r="G76" s="86">
        <f>SUMIF(F$6:F76,"&gt;0")</f>
        <v>62330</v>
      </c>
      <c r="H76" s="86">
        <f t="shared" si="17"/>
        <v>-105</v>
      </c>
      <c r="I76" s="86">
        <f t="shared" si="15"/>
        <v>-12895</v>
      </c>
      <c r="J76" s="91">
        <f t="shared" si="18"/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si="16"/>
        <v>625</v>
      </c>
      <c r="G77" s="86">
        <f>SUMIF(F$6:F77,"&gt;0")</f>
        <v>62955</v>
      </c>
      <c r="H77" s="86">
        <f t="shared" si="17"/>
        <v>40</v>
      </c>
      <c r="I77" s="86">
        <f t="shared" si="15"/>
        <v>665</v>
      </c>
      <c r="J77" s="91">
        <f t="shared" si="18"/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>SUM(C78:D78)</f>
        <v>8339</v>
      </c>
      <c r="F78" s="86">
        <f t="shared" si="16"/>
        <v>250</v>
      </c>
      <c r="G78" s="86">
        <f>SUMIF(F$6:F78,"&gt;0")</f>
        <v>63205</v>
      </c>
      <c r="H78" s="86">
        <f t="shared" si="17"/>
        <v>20</v>
      </c>
      <c r="I78" s="86">
        <f t="shared" si="15"/>
        <v>270</v>
      </c>
      <c r="J78" s="91">
        <f t="shared" si="18"/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>SUM(C79:D79)</f>
        <v>8484</v>
      </c>
      <c r="F79" s="86">
        <f t="shared" si="16"/>
        <v>125</v>
      </c>
      <c r="G79" s="86">
        <f>SUMIF(F$6:F79,"&gt;0")</f>
        <v>63330</v>
      </c>
      <c r="H79" s="86">
        <f t="shared" si="17"/>
        <v>20</v>
      </c>
      <c r="I79" s="86">
        <f t="shared" si="15"/>
        <v>145</v>
      </c>
      <c r="J79" s="91">
        <f t="shared" si="18"/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19">SUM(C80:D80)</f>
        <v>7579</v>
      </c>
      <c r="F80" s="86">
        <f t="shared" si="16"/>
        <v>175</v>
      </c>
      <c r="G80" s="86">
        <f>SUMIF(F$6:F80,"&gt;0")</f>
        <v>63505</v>
      </c>
      <c r="H80" s="86">
        <f t="shared" si="17"/>
        <v>-1080</v>
      </c>
      <c r="I80" s="86">
        <f t="shared" si="15"/>
        <v>-905</v>
      </c>
      <c r="J80" s="91">
        <f t="shared" si="18"/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19"/>
        <v>8479</v>
      </c>
      <c r="F81" s="86">
        <f t="shared" si="16"/>
        <v>350</v>
      </c>
      <c r="G81" s="86">
        <f>SUMIF(F$6:F81,"&gt;0")</f>
        <v>63855</v>
      </c>
      <c r="H81" s="86">
        <f t="shared" si="17"/>
        <v>550</v>
      </c>
      <c r="I81" s="86">
        <f t="shared" si="15"/>
        <v>900</v>
      </c>
      <c r="J81" s="91">
        <f t="shared" si="18"/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19"/>
        <v>8949</v>
      </c>
      <c r="F82" s="86">
        <f t="shared" si="16"/>
        <v>450</v>
      </c>
      <c r="G82" s="86">
        <f>SUMIF(F$6:F82,"&gt;0")</f>
        <v>64305</v>
      </c>
      <c r="H82" s="86">
        <f t="shared" si="17"/>
        <v>20</v>
      </c>
      <c r="I82" s="86">
        <f t="shared" si="15"/>
        <v>470</v>
      </c>
      <c r="J82" s="91">
        <f t="shared" si="18"/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19"/>
        <v>9069</v>
      </c>
      <c r="F83" s="86">
        <f t="shared" si="16"/>
        <v>250</v>
      </c>
      <c r="G83" s="86">
        <f>SUMIF(F$6:F83,"&gt;0")</f>
        <v>64555</v>
      </c>
      <c r="H83" s="86">
        <f t="shared" si="17"/>
        <v>-130</v>
      </c>
      <c r="I83" s="86">
        <f t="shared" si="15"/>
        <v>120</v>
      </c>
      <c r="J83" s="91">
        <f t="shared" si="18"/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19"/>
        <v>10219</v>
      </c>
      <c r="F84" s="86">
        <f t="shared" si="16"/>
        <v>1110</v>
      </c>
      <c r="G84" s="86">
        <f>SUMIF(F$6:F84,"&gt;0")</f>
        <v>65665</v>
      </c>
      <c r="H84" s="86">
        <f t="shared" si="17"/>
        <v>40</v>
      </c>
      <c r="I84" s="86">
        <f t="shared" si="15"/>
        <v>1150</v>
      </c>
      <c r="J84" s="91">
        <f t="shared" si="18"/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19"/>
        <v>10989</v>
      </c>
      <c r="F85" s="86">
        <f t="shared" si="16"/>
        <v>225</v>
      </c>
      <c r="G85" s="86">
        <f>SUMIF(F$6:F85,"&gt;0")</f>
        <v>65890</v>
      </c>
      <c r="H85" s="86">
        <f t="shared" si="17"/>
        <v>545</v>
      </c>
      <c r="I85" s="86">
        <f t="shared" si="15"/>
        <v>770</v>
      </c>
      <c r="J85" s="91">
        <f t="shared" si="18"/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19"/>
        <v>11099</v>
      </c>
      <c r="F86" s="86">
        <f t="shared" si="16"/>
        <v>60</v>
      </c>
      <c r="G86" s="86">
        <f>SUMIF(F$6:F86,"&gt;0")</f>
        <v>65950</v>
      </c>
      <c r="H86" s="86">
        <f t="shared" si="17"/>
        <v>50</v>
      </c>
      <c r="I86" s="86">
        <f t="shared" si="15"/>
        <v>110</v>
      </c>
      <c r="J86" s="91">
        <f t="shared" si="18"/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19"/>
        <v>11574</v>
      </c>
      <c r="F87" s="86">
        <f t="shared" si="16"/>
        <v>435</v>
      </c>
      <c r="G87" s="86">
        <f>SUMIF(F$6:F87,"&gt;0")</f>
        <v>66385</v>
      </c>
      <c r="H87" s="86">
        <f t="shared" si="17"/>
        <v>40</v>
      </c>
      <c r="I87" s="86">
        <f t="shared" si="15"/>
        <v>475</v>
      </c>
      <c r="J87" s="91">
        <f t="shared" si="18"/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19"/>
        <v>11714</v>
      </c>
      <c r="F88" s="86">
        <f t="shared" si="16"/>
        <v>120</v>
      </c>
      <c r="G88" s="86">
        <f>SUMIF(F$6:F88,"&gt;0")</f>
        <v>66505</v>
      </c>
      <c r="H88" s="86">
        <f t="shared" si="17"/>
        <v>20</v>
      </c>
      <c r="I88" s="86">
        <f t="shared" si="15"/>
        <v>140</v>
      </c>
      <c r="J88" s="91">
        <f t="shared" si="18"/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19"/>
        <v>12094</v>
      </c>
      <c r="F89" s="86">
        <f t="shared" si="16"/>
        <v>360</v>
      </c>
      <c r="G89" s="86">
        <f>SUMIF(F$6:F89,"&gt;0")</f>
        <v>66865</v>
      </c>
      <c r="H89" s="86">
        <f t="shared" si="17"/>
        <v>20</v>
      </c>
      <c r="I89" s="86">
        <f t="shared" ref="I89:I120" si="20">SUM(F89,H89)</f>
        <v>380</v>
      </c>
      <c r="J89" s="91">
        <f t="shared" si="18"/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19"/>
        <v>14134</v>
      </c>
      <c r="F90" s="86">
        <f t="shared" si="16"/>
        <v>2050</v>
      </c>
      <c r="G90" s="86">
        <f>SUMIF(F$6:F90,"&gt;0")</f>
        <v>68915</v>
      </c>
      <c r="H90" s="86">
        <f t="shared" si="17"/>
        <v>-10</v>
      </c>
      <c r="I90" s="86">
        <f t="shared" si="20"/>
        <v>2040</v>
      </c>
      <c r="J90" s="91">
        <f t="shared" si="18"/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19"/>
        <v>140959</v>
      </c>
      <c r="F91" s="86">
        <f t="shared" si="16"/>
        <v>400</v>
      </c>
      <c r="G91" s="86">
        <f>SUMIF(F$6:F91,"&gt;0")</f>
        <v>69315</v>
      </c>
      <c r="H91" s="86">
        <f t="shared" si="17"/>
        <v>126425</v>
      </c>
      <c r="I91" s="86">
        <f t="shared" si="20"/>
        <v>126825</v>
      </c>
      <c r="J91" s="91">
        <f t="shared" si="18"/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19"/>
        <v>124829</v>
      </c>
      <c r="F92" s="86">
        <f t="shared" si="16"/>
        <v>-10750</v>
      </c>
      <c r="G92" s="86">
        <f>SUMIF(F$6:F92,"&gt;0")</f>
        <v>69315</v>
      </c>
      <c r="H92" s="86">
        <f t="shared" si="17"/>
        <v>-5380</v>
      </c>
      <c r="I92" s="86">
        <f t="shared" si="20"/>
        <v>-16130</v>
      </c>
      <c r="J92" s="91">
        <f t="shared" si="18"/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19"/>
        <v>130179</v>
      </c>
      <c r="F93" s="86">
        <f t="shared" si="16"/>
        <v>4845</v>
      </c>
      <c r="G93" s="86">
        <f>SUMIF(F$6:F93,"&gt;0")</f>
        <v>74160</v>
      </c>
      <c r="H93" s="86">
        <f t="shared" si="17"/>
        <v>505</v>
      </c>
      <c r="I93" s="86">
        <f t="shared" si="20"/>
        <v>5350</v>
      </c>
      <c r="J93" s="91">
        <f t="shared" si="18"/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19"/>
        <v>130724</v>
      </c>
      <c r="F94" s="86">
        <f t="shared" si="16"/>
        <v>525</v>
      </c>
      <c r="G94" s="86">
        <f>SUMIF(F$6:F94,"&gt;0")</f>
        <v>74685</v>
      </c>
      <c r="H94" s="86">
        <f t="shared" si="17"/>
        <v>20</v>
      </c>
      <c r="I94" s="86">
        <f t="shared" si="20"/>
        <v>545</v>
      </c>
      <c r="J94" s="91">
        <f t="shared" si="18"/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101" si="21">SUM(C95:D95)</f>
        <v>131374</v>
      </c>
      <c r="F95" s="86">
        <f t="shared" si="16"/>
        <v>600</v>
      </c>
      <c r="G95" s="86">
        <f>SUMIF(F$6:F95,"&gt;0")</f>
        <v>75285</v>
      </c>
      <c r="H95" s="86">
        <f t="shared" si="17"/>
        <v>50</v>
      </c>
      <c r="I95" s="86">
        <f t="shared" si="20"/>
        <v>650</v>
      </c>
      <c r="J95" s="91">
        <f t="shared" si="18"/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21"/>
        <v>116549</v>
      </c>
      <c r="F96" s="86">
        <f t="shared" si="16"/>
        <v>125</v>
      </c>
      <c r="G96" s="86">
        <f>SUMIF(F$6:F96,"&gt;0")</f>
        <v>75410</v>
      </c>
      <c r="H96" s="86">
        <f t="shared" si="17"/>
        <v>-14950</v>
      </c>
      <c r="I96" s="86">
        <f t="shared" si="20"/>
        <v>-14825</v>
      </c>
      <c r="J96" s="91">
        <f t="shared" si="18"/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si="21"/>
        <v>118375</v>
      </c>
      <c r="F97" s="86">
        <f t="shared" si="16"/>
        <v>1650</v>
      </c>
      <c r="G97" s="86">
        <f>SUMIF(F$6:F97,"&gt;0")</f>
        <v>77060</v>
      </c>
      <c r="H97" s="86">
        <f t="shared" si="17"/>
        <v>176</v>
      </c>
      <c r="I97" s="86">
        <f t="shared" si="20"/>
        <v>1826</v>
      </c>
      <c r="J97" s="91">
        <f t="shared" si="18"/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si="21"/>
        <v>119050</v>
      </c>
      <c r="F98" s="86">
        <f t="shared" si="16"/>
        <v>725</v>
      </c>
      <c r="G98" s="86">
        <f>SUMIF(F$6:F98,"&gt;0")</f>
        <v>77785</v>
      </c>
      <c r="H98" s="86">
        <f t="shared" si="17"/>
        <v>-50</v>
      </c>
      <c r="I98" s="86">
        <f t="shared" si="20"/>
        <v>675</v>
      </c>
      <c r="J98" s="91">
        <f t="shared" si="18"/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si="21"/>
        <v>119575</v>
      </c>
      <c r="F99" s="86">
        <f t="shared" si="16"/>
        <v>475</v>
      </c>
      <c r="G99" s="86">
        <f>SUMIF(F$6:F99,"&gt;0")</f>
        <v>78260</v>
      </c>
      <c r="H99" s="86">
        <f t="shared" si="17"/>
        <v>50</v>
      </c>
      <c r="I99" s="86">
        <f t="shared" si="20"/>
        <v>525</v>
      </c>
      <c r="J99" s="91">
        <f t="shared" si="18"/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si="21"/>
        <v>118340</v>
      </c>
      <c r="F100" s="86">
        <f t="shared" si="16"/>
        <v>500</v>
      </c>
      <c r="G100" s="86">
        <f>SUMIF(F$6:F100,"&gt;0")</f>
        <v>78760</v>
      </c>
      <c r="H100" s="86">
        <f t="shared" si="17"/>
        <v>-1735</v>
      </c>
      <c r="I100" s="86">
        <f t="shared" si="20"/>
        <v>-1235</v>
      </c>
      <c r="J100" s="91">
        <f t="shared" si="18"/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21"/>
        <v>100805</v>
      </c>
      <c r="F101" s="86">
        <f t="shared" si="16"/>
        <v>-8945</v>
      </c>
      <c r="G101" s="86">
        <f>SUMIF(F$6:F101,"&gt;0")</f>
        <v>78760</v>
      </c>
      <c r="H101" s="86">
        <f t="shared" si="17"/>
        <v>-8590</v>
      </c>
      <c r="I101" s="86">
        <f t="shared" si="20"/>
        <v>-17535</v>
      </c>
      <c r="J101" s="91">
        <f t="shared" si="18"/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22">SUM(C102:D102)</f>
        <v>157125</v>
      </c>
      <c r="F102" s="86">
        <f t="shared" si="16"/>
        <v>100</v>
      </c>
      <c r="G102" s="86">
        <f>SUMIF(F$6:F102,"&gt;0")</f>
        <v>78860</v>
      </c>
      <c r="H102" s="86">
        <f t="shared" si="17"/>
        <v>56220</v>
      </c>
      <c r="I102" s="86">
        <f t="shared" si="20"/>
        <v>56320</v>
      </c>
      <c r="J102" s="91">
        <f t="shared" si="18"/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22"/>
        <v>157775</v>
      </c>
      <c r="F103" s="86">
        <f t="shared" si="16"/>
        <v>100</v>
      </c>
      <c r="G103" s="86">
        <f>SUMIF(F$6:F103,"&gt;0")</f>
        <v>78960</v>
      </c>
      <c r="H103" s="86">
        <f t="shared" si="17"/>
        <v>550</v>
      </c>
      <c r="I103" s="86">
        <f t="shared" si="20"/>
        <v>650</v>
      </c>
      <c r="J103" s="91">
        <f t="shared" si="18"/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22"/>
        <v>158020</v>
      </c>
      <c r="F104" s="86">
        <f t="shared" si="16"/>
        <v>225</v>
      </c>
      <c r="G104" s="86">
        <f>SUMIF(F$6:F104,"&gt;0")</f>
        <v>79185</v>
      </c>
      <c r="H104" s="86">
        <f t="shared" si="17"/>
        <v>20</v>
      </c>
      <c r="I104" s="86">
        <f t="shared" si="20"/>
        <v>245</v>
      </c>
      <c r="J104" s="91">
        <f t="shared" si="18"/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22"/>
        <v>157810</v>
      </c>
      <c r="F105" s="86">
        <f t="shared" si="16"/>
        <v>200</v>
      </c>
      <c r="G105" s="86">
        <f>SUMIF(F$6:F105,"&gt;0")</f>
        <v>79385</v>
      </c>
      <c r="H105" s="86">
        <f t="shared" si="17"/>
        <v>-410</v>
      </c>
      <c r="I105" s="86">
        <f t="shared" si="20"/>
        <v>-210</v>
      </c>
      <c r="J105" s="91">
        <f t="shared" si="18"/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22"/>
        <v>157985</v>
      </c>
      <c r="F106" s="86">
        <f t="shared" ref="F106:F137" si="23">C106-C105</f>
        <v>100</v>
      </c>
      <c r="G106" s="86">
        <f>SUMIF(F$6:F106,"&gt;0")</f>
        <v>79485</v>
      </c>
      <c r="H106" s="86">
        <f t="shared" ref="H106:H137" si="24">D106-D105</f>
        <v>75</v>
      </c>
      <c r="I106" s="86">
        <f t="shared" si="20"/>
        <v>175</v>
      </c>
      <c r="J106" s="91">
        <f t="shared" ref="J106:J137" si="25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22"/>
        <v>158240</v>
      </c>
      <c r="F107" s="86">
        <f t="shared" si="23"/>
        <v>325</v>
      </c>
      <c r="G107" s="86">
        <f>SUMIF(F$6:F107,"&gt;0")</f>
        <v>79810</v>
      </c>
      <c r="H107" s="86">
        <f t="shared" si="24"/>
        <v>-70</v>
      </c>
      <c r="I107" s="86">
        <f t="shared" si="20"/>
        <v>255</v>
      </c>
      <c r="J107" s="91">
        <f t="shared" si="25"/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22"/>
        <v>159320</v>
      </c>
      <c r="F108" s="86">
        <f t="shared" si="23"/>
        <v>500</v>
      </c>
      <c r="G108" s="86">
        <f>SUMIF(F$6:F108,"&gt;0")</f>
        <v>80310</v>
      </c>
      <c r="H108" s="86">
        <f t="shared" si="24"/>
        <v>580</v>
      </c>
      <c r="I108" s="86">
        <f t="shared" si="20"/>
        <v>1080</v>
      </c>
      <c r="J108" s="91">
        <f t="shared" si="25"/>
        <v>20.571428571428569</v>
      </c>
      <c r="K108" s="86">
        <f t="shared" ref="K108:K140" si="26">_xlfn.SINGLE(IFERROR(G108 - _xlfn.XLOOKUP(A108-31, $A$6:$A$14999,G$6:G$14999,"",-1,2),NA()))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22"/>
        <v>159770</v>
      </c>
      <c r="F109" s="86">
        <f t="shared" si="23"/>
        <v>400</v>
      </c>
      <c r="G109" s="86">
        <f>SUMIF(F$6:F109,"&gt;0")</f>
        <v>80710</v>
      </c>
      <c r="H109" s="86">
        <f t="shared" si="24"/>
        <v>50</v>
      </c>
      <c r="I109" s="86">
        <f t="shared" si="20"/>
        <v>450</v>
      </c>
      <c r="J109" s="91">
        <f t="shared" si="25"/>
        <v>8.5714285714285712</v>
      </c>
      <c r="K109" s="86">
        <f t="shared" si="26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22"/>
        <v>160020</v>
      </c>
      <c r="F110" s="86">
        <f t="shared" si="23"/>
        <v>200</v>
      </c>
      <c r="G110" s="86">
        <f>SUMIF(F$6:F110,"&gt;0")</f>
        <v>80910</v>
      </c>
      <c r="H110" s="86">
        <f t="shared" si="24"/>
        <v>50</v>
      </c>
      <c r="I110" s="86">
        <f t="shared" si="20"/>
        <v>250</v>
      </c>
      <c r="J110" s="91">
        <f t="shared" si="25"/>
        <v>4.7619047619047619</v>
      </c>
      <c r="K110" s="86">
        <f t="shared" si="26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22"/>
        <v>160120</v>
      </c>
      <c r="F111" s="86">
        <f t="shared" si="23"/>
        <v>100</v>
      </c>
      <c r="G111" s="86">
        <f>SUMIF(F$6:F111,"&gt;0")</f>
        <v>81010</v>
      </c>
      <c r="H111" s="86">
        <f t="shared" si="24"/>
        <v>0</v>
      </c>
      <c r="I111" s="86">
        <f t="shared" si="20"/>
        <v>100</v>
      </c>
      <c r="J111" s="91">
        <f t="shared" si="25"/>
        <v>1.9047619047619047</v>
      </c>
      <c r="K111" s="86">
        <f t="shared" si="26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22"/>
        <v>162245</v>
      </c>
      <c r="F112" s="86">
        <f t="shared" si="23"/>
        <v>1380</v>
      </c>
      <c r="G112" s="86">
        <f>SUMIF(F$6:F112,"&gt;0")</f>
        <v>82390</v>
      </c>
      <c r="H112" s="86">
        <f t="shared" si="24"/>
        <v>745</v>
      </c>
      <c r="I112" s="86">
        <f t="shared" si="20"/>
        <v>2125</v>
      </c>
      <c r="J112" s="91">
        <f t="shared" si="25"/>
        <v>40.476190476190474</v>
      </c>
      <c r="K112" s="86">
        <f t="shared" si="26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22"/>
        <v>126325</v>
      </c>
      <c r="F113" s="86">
        <f t="shared" si="23"/>
        <v>-3490</v>
      </c>
      <c r="G113" s="86">
        <f>SUMIF(F$6:F113,"&gt;0")</f>
        <v>82390</v>
      </c>
      <c r="H113" s="86">
        <f t="shared" si="24"/>
        <v>-32430</v>
      </c>
      <c r="I113" s="86">
        <f t="shared" si="20"/>
        <v>-35920</v>
      </c>
      <c r="J113" s="91">
        <f t="shared" si="25"/>
        <v>-684.19047619047615</v>
      </c>
      <c r="K113" s="86">
        <f t="shared" si="26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22"/>
        <v>127665</v>
      </c>
      <c r="F114" s="86">
        <f t="shared" si="23"/>
        <v>1190</v>
      </c>
      <c r="G114" s="86">
        <f>SUMIF(F$6:F114,"&gt;0")</f>
        <v>83580</v>
      </c>
      <c r="H114" s="86">
        <f t="shared" si="24"/>
        <v>150</v>
      </c>
      <c r="I114" s="86">
        <f t="shared" si="20"/>
        <v>1340</v>
      </c>
      <c r="J114" s="91">
        <f t="shared" si="25"/>
        <v>25.523809523809522</v>
      </c>
      <c r="K114" s="86">
        <f t="shared" si="26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22"/>
        <v>128775</v>
      </c>
      <c r="F115" s="86">
        <f t="shared" si="23"/>
        <v>1060</v>
      </c>
      <c r="G115" s="86">
        <f>SUMIF(F$6:F115,"&gt;0")</f>
        <v>84640</v>
      </c>
      <c r="H115" s="86">
        <f t="shared" si="24"/>
        <v>50</v>
      </c>
      <c r="I115" s="86">
        <f t="shared" si="20"/>
        <v>1110</v>
      </c>
      <c r="J115" s="91">
        <f t="shared" si="25"/>
        <v>21.142857142857142</v>
      </c>
      <c r="K115" s="86">
        <f t="shared" si="26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22"/>
        <v>130955</v>
      </c>
      <c r="F116" s="86">
        <f t="shared" si="23"/>
        <v>2025</v>
      </c>
      <c r="G116" s="86">
        <f>SUMIF(F$6:F116,"&gt;0")</f>
        <v>86665</v>
      </c>
      <c r="H116" s="86">
        <f t="shared" si="24"/>
        <v>155</v>
      </c>
      <c r="I116" s="86">
        <f t="shared" si="20"/>
        <v>2180</v>
      </c>
      <c r="J116" s="91">
        <f t="shared" si="25"/>
        <v>41.523809523809526</v>
      </c>
      <c r="K116" s="86">
        <f t="shared" si="26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22"/>
        <v>132945</v>
      </c>
      <c r="F117" s="86">
        <f t="shared" si="23"/>
        <v>2000</v>
      </c>
      <c r="G117" s="86">
        <f>SUMIF(F$6:F117,"&gt;0")</f>
        <v>88665</v>
      </c>
      <c r="H117" s="86">
        <f t="shared" si="24"/>
        <v>-10</v>
      </c>
      <c r="I117" s="86">
        <f t="shared" si="20"/>
        <v>1990</v>
      </c>
      <c r="J117" s="91">
        <f t="shared" si="25"/>
        <v>37.904761904761905</v>
      </c>
      <c r="K117" s="86">
        <f t="shared" si="26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22"/>
        <v>134260</v>
      </c>
      <c r="F118" s="86">
        <f t="shared" si="23"/>
        <v>1325</v>
      </c>
      <c r="G118" s="86">
        <f>SUMIF(F$6:F118,"&gt;0")</f>
        <v>89990</v>
      </c>
      <c r="H118" s="86">
        <f t="shared" si="24"/>
        <v>-10</v>
      </c>
      <c r="I118" s="86">
        <f t="shared" si="20"/>
        <v>1315</v>
      </c>
      <c r="J118" s="91">
        <f t="shared" si="25"/>
        <v>25.047619047619047</v>
      </c>
      <c r="K118" s="86">
        <f t="shared" si="26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22"/>
        <v>134960</v>
      </c>
      <c r="F119" s="86">
        <f t="shared" si="23"/>
        <v>650</v>
      </c>
      <c r="G119" s="86">
        <f>SUMIF(F$6:F119,"&gt;0")</f>
        <v>90640</v>
      </c>
      <c r="H119" s="86">
        <f t="shared" si="24"/>
        <v>50</v>
      </c>
      <c r="I119" s="86">
        <f t="shared" si="20"/>
        <v>700</v>
      </c>
      <c r="J119" s="91">
        <f t="shared" si="25"/>
        <v>13.333333333333332</v>
      </c>
      <c r="K119" s="86">
        <f t="shared" si="26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22"/>
        <v>135465</v>
      </c>
      <c r="F120" s="86">
        <f t="shared" si="23"/>
        <v>375</v>
      </c>
      <c r="G120" s="86">
        <f>SUMIF(F$6:F120,"&gt;0")</f>
        <v>91015</v>
      </c>
      <c r="H120" s="86">
        <f t="shared" si="24"/>
        <v>130</v>
      </c>
      <c r="I120" s="86">
        <f t="shared" si="20"/>
        <v>505</v>
      </c>
      <c r="J120" s="91">
        <f t="shared" si="25"/>
        <v>9.6190476190476186</v>
      </c>
      <c r="K120" s="86">
        <f t="shared" si="26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22"/>
        <v>135340</v>
      </c>
      <c r="F121" s="86">
        <f t="shared" si="23"/>
        <v>25</v>
      </c>
      <c r="G121" s="86">
        <f>SUMIF(F$6:F121,"&gt;0")</f>
        <v>91040</v>
      </c>
      <c r="H121" s="86">
        <f t="shared" si="24"/>
        <v>-150</v>
      </c>
      <c r="I121" s="86">
        <f t="shared" ref="I121:I152" si="27">SUM(F121,H121)</f>
        <v>-125</v>
      </c>
      <c r="J121" s="91">
        <f t="shared" si="25"/>
        <v>-2.3809523809523809</v>
      </c>
      <c r="K121" s="86">
        <f t="shared" si="26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22"/>
        <v>136415</v>
      </c>
      <c r="F122" s="86">
        <f t="shared" si="23"/>
        <v>650</v>
      </c>
      <c r="G122" s="86">
        <f>SUMIF(F$6:F122,"&gt;0")</f>
        <v>91690</v>
      </c>
      <c r="H122" s="86">
        <f t="shared" si="24"/>
        <v>425</v>
      </c>
      <c r="I122" s="86">
        <f t="shared" si="27"/>
        <v>1075</v>
      </c>
      <c r="J122" s="91">
        <f t="shared" si="25"/>
        <v>20.476190476190474</v>
      </c>
      <c r="K122" s="86">
        <f t="shared" si="26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22"/>
        <v>137330</v>
      </c>
      <c r="F123" s="86">
        <f t="shared" si="23"/>
        <v>1925</v>
      </c>
      <c r="G123" s="86">
        <f>SUMIF(F$6:F123,"&gt;0")</f>
        <v>93615</v>
      </c>
      <c r="H123" s="86">
        <f t="shared" si="24"/>
        <v>-1010</v>
      </c>
      <c r="I123" s="86">
        <f t="shared" si="27"/>
        <v>915</v>
      </c>
      <c r="J123" s="91">
        <f t="shared" si="25"/>
        <v>17.428571428571431</v>
      </c>
      <c r="K123" s="86">
        <f t="shared" si="26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8">SUM(C124:D124)</f>
        <v>121730</v>
      </c>
      <c r="F124" s="86">
        <f t="shared" si="23"/>
        <v>-12000</v>
      </c>
      <c r="G124" s="86">
        <f>SUMIF(F$6:F124,"&gt;0")</f>
        <v>93615</v>
      </c>
      <c r="H124" s="86">
        <f t="shared" si="24"/>
        <v>-3600</v>
      </c>
      <c r="I124" s="86">
        <f t="shared" si="27"/>
        <v>-15600</v>
      </c>
      <c r="J124" s="91">
        <f t="shared" si="25"/>
        <v>-297.14285714285717</v>
      </c>
      <c r="K124" s="86">
        <f t="shared" si="26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8"/>
        <v>123960</v>
      </c>
      <c r="F125" s="86">
        <f t="shared" si="23"/>
        <v>910</v>
      </c>
      <c r="G125" s="86">
        <f>SUMIF(F$6:F125,"&gt;0")</f>
        <v>94525</v>
      </c>
      <c r="H125" s="86">
        <f t="shared" si="24"/>
        <v>1320</v>
      </c>
      <c r="I125" s="86">
        <f t="shared" si="27"/>
        <v>2230</v>
      </c>
      <c r="J125" s="91">
        <f t="shared" si="25"/>
        <v>42.476190476190474</v>
      </c>
      <c r="K125" s="86">
        <f t="shared" si="26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8"/>
        <v>124435</v>
      </c>
      <c r="F126" s="86">
        <f t="shared" si="23"/>
        <v>425</v>
      </c>
      <c r="G126" s="86">
        <f>SUMIF(F$6:F126,"&gt;0")</f>
        <v>94950</v>
      </c>
      <c r="H126" s="86">
        <f t="shared" si="24"/>
        <v>50</v>
      </c>
      <c r="I126" s="86">
        <f t="shared" si="27"/>
        <v>475</v>
      </c>
      <c r="J126" s="91">
        <f t="shared" si="25"/>
        <v>9.0476190476190474</v>
      </c>
      <c r="K126" s="86">
        <f t="shared" si="26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8"/>
        <v>123990</v>
      </c>
      <c r="F127" s="86">
        <f t="shared" si="23"/>
        <v>525</v>
      </c>
      <c r="G127" s="86">
        <f>SUMIF(F$6:F127,"&gt;0")</f>
        <v>95475</v>
      </c>
      <c r="H127" s="86">
        <f t="shared" si="24"/>
        <v>-970</v>
      </c>
      <c r="I127" s="86">
        <f t="shared" si="27"/>
        <v>-445</v>
      </c>
      <c r="J127" s="91">
        <f t="shared" si="25"/>
        <v>-8.4761904761904763</v>
      </c>
      <c r="K127" s="86">
        <f t="shared" si="26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8"/>
        <v>124040</v>
      </c>
      <c r="F128" s="86">
        <f t="shared" si="23"/>
        <v>0</v>
      </c>
      <c r="G128" s="86">
        <f>SUMIF(F$6:F128,"&gt;0")</f>
        <v>95475</v>
      </c>
      <c r="H128" s="86">
        <f t="shared" si="24"/>
        <v>50</v>
      </c>
      <c r="I128" s="86">
        <f t="shared" si="27"/>
        <v>50</v>
      </c>
      <c r="J128" s="91">
        <f t="shared" si="25"/>
        <v>0.95238095238095233</v>
      </c>
      <c r="K128" s="86">
        <f t="shared" si="26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8"/>
        <v>125170</v>
      </c>
      <c r="F129" s="86">
        <f t="shared" si="23"/>
        <v>600</v>
      </c>
      <c r="G129" s="86">
        <f>SUMIF(F$6:F129,"&gt;0")</f>
        <v>96075</v>
      </c>
      <c r="H129" s="86">
        <f t="shared" si="24"/>
        <v>530</v>
      </c>
      <c r="I129" s="86">
        <f t="shared" si="27"/>
        <v>1130</v>
      </c>
      <c r="J129" s="91">
        <f t="shared" si="25"/>
        <v>21.523809523809522</v>
      </c>
      <c r="K129" s="86">
        <f t="shared" si="26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8"/>
        <v>126245</v>
      </c>
      <c r="F130" s="86">
        <f t="shared" si="23"/>
        <v>400</v>
      </c>
      <c r="G130" s="86">
        <f>SUMIF(F$6:F130,"&gt;0")</f>
        <v>96475</v>
      </c>
      <c r="H130" s="86">
        <f t="shared" si="24"/>
        <v>675</v>
      </c>
      <c r="I130" s="86">
        <f t="shared" si="27"/>
        <v>1075</v>
      </c>
      <c r="J130" s="91">
        <f t="shared" si="25"/>
        <v>20.476190476190474</v>
      </c>
      <c r="K130" s="86">
        <f t="shared" si="26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8"/>
        <v>126395</v>
      </c>
      <c r="F131" s="86">
        <f t="shared" si="23"/>
        <v>100</v>
      </c>
      <c r="G131" s="86">
        <f>SUMIF(F$6:F131,"&gt;0")</f>
        <v>96575</v>
      </c>
      <c r="H131" s="86">
        <f t="shared" si="24"/>
        <v>50</v>
      </c>
      <c r="I131" s="86">
        <f t="shared" si="27"/>
        <v>150</v>
      </c>
      <c r="J131" s="91">
        <f t="shared" si="25"/>
        <v>2.8571428571428568</v>
      </c>
      <c r="K131" s="86">
        <f t="shared" si="26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8"/>
        <v>126620</v>
      </c>
      <c r="F132" s="86">
        <f t="shared" si="23"/>
        <v>175</v>
      </c>
      <c r="G132" s="86">
        <f>SUMIF(F$6:F132,"&gt;0")</f>
        <v>96750</v>
      </c>
      <c r="H132" s="86">
        <f t="shared" si="24"/>
        <v>50</v>
      </c>
      <c r="I132" s="86">
        <f t="shared" si="27"/>
        <v>225</v>
      </c>
      <c r="J132" s="91">
        <f t="shared" si="25"/>
        <v>4.2857142857142856</v>
      </c>
      <c r="K132" s="86">
        <f t="shared" si="26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8"/>
        <v>128170</v>
      </c>
      <c r="F133" s="86">
        <f t="shared" si="23"/>
        <v>1370</v>
      </c>
      <c r="G133" s="86">
        <f>SUMIF(F$6:F133,"&gt;0")</f>
        <v>98120</v>
      </c>
      <c r="H133" s="86">
        <f t="shared" si="24"/>
        <v>180</v>
      </c>
      <c r="I133" s="86">
        <f t="shared" si="27"/>
        <v>1550</v>
      </c>
      <c r="J133" s="91">
        <f t="shared" si="25"/>
        <v>29.523809523809526</v>
      </c>
      <c r="K133" s="86">
        <f t="shared" si="26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8"/>
        <v>118540</v>
      </c>
      <c r="F134" s="86">
        <f t="shared" si="23"/>
        <v>-4800</v>
      </c>
      <c r="G134" s="86">
        <f>SUMIF(F$6:F134,"&gt;0")</f>
        <v>98120</v>
      </c>
      <c r="H134" s="86">
        <f t="shared" si="24"/>
        <v>-4830</v>
      </c>
      <c r="I134" s="86">
        <f t="shared" si="27"/>
        <v>-9630</v>
      </c>
      <c r="J134" s="91">
        <f t="shared" si="25"/>
        <v>-183.42857142857142</v>
      </c>
      <c r="K134" s="86">
        <f t="shared" si="26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9" si="29">SUM(C135:D135)</f>
        <v>118650</v>
      </c>
      <c r="F135" s="86">
        <f t="shared" si="23"/>
        <v>60</v>
      </c>
      <c r="G135" s="86">
        <f>SUMIF(F$6:F135,"&gt;0")</f>
        <v>98180</v>
      </c>
      <c r="H135" s="86">
        <f t="shared" si="24"/>
        <v>50</v>
      </c>
      <c r="I135" s="86">
        <f t="shared" si="27"/>
        <v>110</v>
      </c>
      <c r="J135" s="91">
        <f t="shared" si="25"/>
        <v>2.0952380952380953</v>
      </c>
      <c r="K135" s="86">
        <f t="shared" si="26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9"/>
        <v>119040</v>
      </c>
      <c r="F136" s="86">
        <f t="shared" si="23"/>
        <v>290</v>
      </c>
      <c r="G136" s="86">
        <f>SUMIF(F$6:F136,"&gt;0")</f>
        <v>98470</v>
      </c>
      <c r="H136" s="86">
        <f t="shared" si="24"/>
        <v>100</v>
      </c>
      <c r="I136" s="86">
        <f t="shared" si="27"/>
        <v>390</v>
      </c>
      <c r="J136" s="91">
        <f t="shared" si="25"/>
        <v>7.4285714285714288</v>
      </c>
      <c r="K136" s="86">
        <f t="shared" si="26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9"/>
        <v>128030</v>
      </c>
      <c r="F137" s="86">
        <f t="shared" si="23"/>
        <v>440</v>
      </c>
      <c r="G137" s="86">
        <f>SUMIF(F$6:F137,"&gt;0")</f>
        <v>98910</v>
      </c>
      <c r="H137" s="86">
        <f t="shared" si="24"/>
        <v>8550</v>
      </c>
      <c r="I137" s="86">
        <f t="shared" si="27"/>
        <v>8990</v>
      </c>
      <c r="J137" s="91">
        <f t="shared" si="25"/>
        <v>171.23809523809524</v>
      </c>
      <c r="K137" s="86">
        <f t="shared" si="26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9"/>
        <v>131530</v>
      </c>
      <c r="F138" s="86">
        <f t="shared" ref="F138:F169" si="30">C138-C137</f>
        <v>3450</v>
      </c>
      <c r="G138" s="86">
        <f>SUMIF(F$6:F138,"&gt;0")</f>
        <v>102360</v>
      </c>
      <c r="H138" s="86">
        <f t="shared" ref="H138:H169" si="31">D138-D137</f>
        <v>50</v>
      </c>
      <c r="I138" s="86">
        <f t="shared" si="27"/>
        <v>3500</v>
      </c>
      <c r="J138" s="91">
        <f t="shared" ref="J138:J169" si="32">I138/4200*80</f>
        <v>66.666666666666671</v>
      </c>
      <c r="K138" s="86">
        <f t="shared" si="26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9"/>
        <v>131235</v>
      </c>
      <c r="F139" s="86">
        <f t="shared" si="30"/>
        <v>125</v>
      </c>
      <c r="G139" s="86">
        <f>SUMIF(F$6:F139,"&gt;0")</f>
        <v>102485</v>
      </c>
      <c r="H139" s="86">
        <f t="shared" si="31"/>
        <v>-420</v>
      </c>
      <c r="I139" s="86">
        <f t="shared" si="27"/>
        <v>-295</v>
      </c>
      <c r="J139" s="91">
        <f t="shared" si="32"/>
        <v>-5.6190476190476186</v>
      </c>
      <c r="K139" s="86">
        <f t="shared" si="26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9"/>
        <v>131935</v>
      </c>
      <c r="F140" s="86">
        <f t="shared" si="30"/>
        <v>650</v>
      </c>
      <c r="G140" s="86">
        <f>SUMIF(F$6:F140,"&gt;0")</f>
        <v>103135</v>
      </c>
      <c r="H140" s="86">
        <f t="shared" si="31"/>
        <v>50</v>
      </c>
      <c r="I140" s="86">
        <f t="shared" si="27"/>
        <v>700</v>
      </c>
      <c r="J140" s="91">
        <f t="shared" si="32"/>
        <v>13.333333333333332</v>
      </c>
      <c r="K140" s="86">
        <f t="shared" si="26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9"/>
        <v>142660</v>
      </c>
      <c r="F141" s="86">
        <f t="shared" si="30"/>
        <v>225</v>
      </c>
      <c r="G141" s="86">
        <f>SUMIF(F$6:F141,"&gt;0")</f>
        <v>103360</v>
      </c>
      <c r="H141" s="86">
        <f t="shared" si="31"/>
        <v>10500</v>
      </c>
      <c r="I141" s="86">
        <f t="shared" si="27"/>
        <v>10725</v>
      </c>
      <c r="J141" s="91">
        <f t="shared" si="32"/>
        <v>204.28571428571428</v>
      </c>
      <c r="K141" s="86">
        <f t="shared" ref="K141:K172" si="33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9"/>
        <v>143910</v>
      </c>
      <c r="F142" s="86">
        <f t="shared" si="30"/>
        <v>1150</v>
      </c>
      <c r="G142" s="86">
        <f>SUMIF(F$6:F142,"&gt;0")</f>
        <v>104510</v>
      </c>
      <c r="H142" s="86">
        <f t="shared" si="31"/>
        <v>100</v>
      </c>
      <c r="I142" s="86">
        <f t="shared" si="27"/>
        <v>1250</v>
      </c>
      <c r="J142" s="91">
        <f t="shared" si="32"/>
        <v>23.80952380952381</v>
      </c>
      <c r="K142" s="86">
        <f t="shared" si="33"/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9"/>
        <v>144385</v>
      </c>
      <c r="F143" s="86">
        <f t="shared" si="30"/>
        <v>425</v>
      </c>
      <c r="G143" s="86">
        <f>SUMIF(F$6:F143,"&gt;0")</f>
        <v>104935</v>
      </c>
      <c r="H143" s="86">
        <f t="shared" si="31"/>
        <v>50</v>
      </c>
      <c r="I143" s="86">
        <f t="shared" si="27"/>
        <v>475</v>
      </c>
      <c r="J143" s="91">
        <f t="shared" si="32"/>
        <v>9.0476190476190474</v>
      </c>
      <c r="K143" s="86">
        <f t="shared" si="33"/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9"/>
        <v>144565</v>
      </c>
      <c r="F144" s="86">
        <f t="shared" si="30"/>
        <v>100</v>
      </c>
      <c r="G144" s="86">
        <f>SUMIF(F$6:F144,"&gt;0")</f>
        <v>105035</v>
      </c>
      <c r="H144" s="86">
        <f t="shared" si="31"/>
        <v>80</v>
      </c>
      <c r="I144" s="86">
        <f t="shared" si="27"/>
        <v>180</v>
      </c>
      <c r="J144" s="91">
        <f t="shared" si="32"/>
        <v>3.4285714285714288</v>
      </c>
      <c r="K144" s="86">
        <f t="shared" si="33"/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9"/>
        <v>147485</v>
      </c>
      <c r="F145" s="86">
        <f t="shared" si="30"/>
        <v>2775</v>
      </c>
      <c r="G145" s="86">
        <f>SUMIF(F$6:F145,"&gt;0")</f>
        <v>107810</v>
      </c>
      <c r="H145" s="86">
        <f t="shared" si="31"/>
        <v>145</v>
      </c>
      <c r="I145" s="86">
        <f t="shared" si="27"/>
        <v>2920</v>
      </c>
      <c r="J145" s="91">
        <f t="shared" si="32"/>
        <v>55.61904761904762</v>
      </c>
      <c r="K145" s="86">
        <f t="shared" si="33"/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9"/>
        <v>103050</v>
      </c>
      <c r="F146" s="86">
        <f t="shared" si="30"/>
        <v>-8850</v>
      </c>
      <c r="G146" s="86">
        <f>SUMIF(F$6:F146,"&gt;0")</f>
        <v>107810</v>
      </c>
      <c r="H146" s="86">
        <f t="shared" si="31"/>
        <v>-35585</v>
      </c>
      <c r="I146" s="86">
        <f t="shared" si="27"/>
        <v>-44435</v>
      </c>
      <c r="J146" s="91">
        <f t="shared" si="32"/>
        <v>-846.38095238095229</v>
      </c>
      <c r="K146" s="86">
        <f t="shared" si="33"/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9"/>
        <v>100635</v>
      </c>
      <c r="F147" s="86">
        <f t="shared" si="30"/>
        <v>325</v>
      </c>
      <c r="G147" s="86">
        <f>SUMIF(F$6:F147,"&gt;0")</f>
        <v>108135</v>
      </c>
      <c r="H147" s="86">
        <f t="shared" si="31"/>
        <v>-2740</v>
      </c>
      <c r="I147" s="86">
        <f t="shared" si="27"/>
        <v>-2415</v>
      </c>
      <c r="J147" s="91">
        <f t="shared" si="32"/>
        <v>-46</v>
      </c>
      <c r="K147" s="86">
        <f t="shared" si="33"/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9"/>
        <v>101210</v>
      </c>
      <c r="F148" s="86">
        <f t="shared" si="30"/>
        <v>655</v>
      </c>
      <c r="G148" s="86">
        <f>SUMIF(F$6:F148,"&gt;0")</f>
        <v>108790</v>
      </c>
      <c r="H148" s="86">
        <f t="shared" si="31"/>
        <v>-80</v>
      </c>
      <c r="I148" s="86">
        <f t="shared" si="27"/>
        <v>575</v>
      </c>
      <c r="J148" s="91">
        <f t="shared" si="32"/>
        <v>10.952380952380953</v>
      </c>
      <c r="K148" s="86">
        <f t="shared" si="33"/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9"/>
        <v>101360</v>
      </c>
      <c r="F149" s="86">
        <f t="shared" si="30"/>
        <v>100</v>
      </c>
      <c r="G149" s="86">
        <f>SUMIF(F$6:F149,"&gt;0")</f>
        <v>108890</v>
      </c>
      <c r="H149" s="86">
        <f t="shared" si="31"/>
        <v>50</v>
      </c>
      <c r="I149" s="86">
        <f t="shared" si="27"/>
        <v>150</v>
      </c>
      <c r="J149" s="91">
        <f t="shared" si="32"/>
        <v>2.8571428571428568</v>
      </c>
      <c r="K149" s="86">
        <f t="shared" si="33"/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9"/>
        <v>101510</v>
      </c>
      <c r="F150" s="86">
        <f t="shared" si="30"/>
        <v>100</v>
      </c>
      <c r="G150" s="86">
        <f>SUMIF(F$6:F150,"&gt;0")</f>
        <v>108990</v>
      </c>
      <c r="H150" s="86">
        <f t="shared" si="31"/>
        <v>50</v>
      </c>
      <c r="I150" s="86">
        <f t="shared" si="27"/>
        <v>150</v>
      </c>
      <c r="J150" s="91">
        <f t="shared" si="32"/>
        <v>2.8571428571428568</v>
      </c>
      <c r="K150" s="86">
        <f t="shared" si="33"/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9"/>
        <v>176065</v>
      </c>
      <c r="F151" s="86">
        <f t="shared" si="30"/>
        <v>400</v>
      </c>
      <c r="G151" s="86">
        <f>SUMIF(F$6:F151,"&gt;0")</f>
        <v>109390</v>
      </c>
      <c r="H151" s="86">
        <f t="shared" si="31"/>
        <v>74155</v>
      </c>
      <c r="I151" s="86">
        <f t="shared" si="27"/>
        <v>74555</v>
      </c>
      <c r="J151" s="91">
        <f t="shared" si="32"/>
        <v>1420.0952380952381</v>
      </c>
      <c r="K151" s="86">
        <f t="shared" si="33"/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9"/>
        <v>176940</v>
      </c>
      <c r="F152" s="86">
        <f t="shared" si="30"/>
        <v>300</v>
      </c>
      <c r="G152" s="86">
        <f>SUMIF(F$6:F152,"&gt;0")</f>
        <v>109690</v>
      </c>
      <c r="H152" s="86">
        <f t="shared" si="31"/>
        <v>575</v>
      </c>
      <c r="I152" s="86">
        <f t="shared" si="27"/>
        <v>875</v>
      </c>
      <c r="J152" s="91">
        <f t="shared" si="32"/>
        <v>16.666666666666668</v>
      </c>
      <c r="K152" s="86">
        <f t="shared" si="33"/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9"/>
        <v>177365</v>
      </c>
      <c r="F153" s="86">
        <f t="shared" si="30"/>
        <v>375</v>
      </c>
      <c r="G153" s="86">
        <f>SUMIF(F$6:F153,"&gt;0")</f>
        <v>110065</v>
      </c>
      <c r="H153" s="86">
        <f t="shared" si="31"/>
        <v>50</v>
      </c>
      <c r="I153" s="86">
        <f t="shared" ref="I153:I184" si="34">SUM(F153,H153)</f>
        <v>425</v>
      </c>
      <c r="J153" s="91">
        <f t="shared" si="32"/>
        <v>8.0952380952380949</v>
      </c>
      <c r="K153" s="86">
        <f t="shared" si="33"/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9"/>
        <v>177465</v>
      </c>
      <c r="F154" s="86">
        <f t="shared" si="30"/>
        <v>50</v>
      </c>
      <c r="G154" s="86">
        <f>SUMIF(F$6:F154,"&gt;0")</f>
        <v>110115</v>
      </c>
      <c r="H154" s="86">
        <f t="shared" si="31"/>
        <v>50</v>
      </c>
      <c r="I154" s="86">
        <f t="shared" si="34"/>
        <v>100</v>
      </c>
      <c r="J154" s="91">
        <f t="shared" si="32"/>
        <v>1.9047619047619047</v>
      </c>
      <c r="K154" s="86">
        <f t="shared" si="33"/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9"/>
        <v>177115</v>
      </c>
      <c r="F155" s="86">
        <f t="shared" si="30"/>
        <v>100</v>
      </c>
      <c r="G155" s="86">
        <f>SUMIF(F$6:F155,"&gt;0")</f>
        <v>110215</v>
      </c>
      <c r="H155" s="86">
        <f t="shared" si="31"/>
        <v>-450</v>
      </c>
      <c r="I155" s="86">
        <f t="shared" si="34"/>
        <v>-350</v>
      </c>
      <c r="J155" s="91">
        <f t="shared" si="32"/>
        <v>-6.6666666666666661</v>
      </c>
      <c r="K155" s="86">
        <f t="shared" si="33"/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9"/>
        <v>178625</v>
      </c>
      <c r="F156" s="86">
        <f t="shared" si="30"/>
        <v>880</v>
      </c>
      <c r="G156" s="86">
        <f>SUMIF(F$6:F156,"&gt;0")</f>
        <v>111095</v>
      </c>
      <c r="H156" s="86">
        <f t="shared" si="31"/>
        <v>630</v>
      </c>
      <c r="I156" s="86">
        <f t="shared" si="34"/>
        <v>1510</v>
      </c>
      <c r="J156" s="91">
        <f t="shared" si="32"/>
        <v>28.761904761904763</v>
      </c>
      <c r="K156" s="86">
        <f t="shared" si="33"/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9"/>
        <v>131795</v>
      </c>
      <c r="F157" s="86">
        <f t="shared" si="30"/>
        <v>-3600</v>
      </c>
      <c r="G157" s="86">
        <f>SUMIF(F$6:F157,"&gt;0")</f>
        <v>111095</v>
      </c>
      <c r="H157" s="86">
        <f t="shared" si="31"/>
        <v>-43230</v>
      </c>
      <c r="I157" s="86">
        <f t="shared" si="34"/>
        <v>-46830</v>
      </c>
      <c r="J157" s="91">
        <f t="shared" si="32"/>
        <v>-892</v>
      </c>
      <c r="K157" s="86">
        <f t="shared" si="33"/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9"/>
        <v>131905</v>
      </c>
      <c r="F158" s="86">
        <f t="shared" si="30"/>
        <v>60</v>
      </c>
      <c r="G158" s="86">
        <f>SUMIF(F$6:F158,"&gt;0")</f>
        <v>111155</v>
      </c>
      <c r="H158" s="86">
        <f t="shared" si="31"/>
        <v>50</v>
      </c>
      <c r="I158" s="86">
        <f t="shared" si="34"/>
        <v>110</v>
      </c>
      <c r="J158" s="91">
        <f t="shared" si="32"/>
        <v>2.0952380952380953</v>
      </c>
      <c r="K158" s="86">
        <f t="shared" si="33"/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9"/>
        <v>132585</v>
      </c>
      <c r="F159" s="86">
        <f t="shared" si="30"/>
        <v>580</v>
      </c>
      <c r="G159" s="86">
        <f>SUMIF(F$6:F159,"&gt;0")</f>
        <v>111735</v>
      </c>
      <c r="H159" s="86">
        <f t="shared" si="31"/>
        <v>100</v>
      </c>
      <c r="I159" s="86">
        <f t="shared" si="34"/>
        <v>680</v>
      </c>
      <c r="J159" s="91">
        <f t="shared" si="32"/>
        <v>12.952380952380953</v>
      </c>
      <c r="K159" s="86">
        <f t="shared" si="33"/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9"/>
        <v>132995</v>
      </c>
      <c r="F160" s="86">
        <f t="shared" si="30"/>
        <v>360</v>
      </c>
      <c r="G160" s="86">
        <f>SUMIF(F$6:F160,"&gt;0")</f>
        <v>112095</v>
      </c>
      <c r="H160" s="86">
        <f t="shared" si="31"/>
        <v>50</v>
      </c>
      <c r="I160" s="86">
        <f t="shared" si="34"/>
        <v>410</v>
      </c>
      <c r="J160" s="91">
        <f t="shared" si="32"/>
        <v>7.8095238095238093</v>
      </c>
      <c r="K160" s="86">
        <f t="shared" si="33"/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9"/>
        <v>133465</v>
      </c>
      <c r="F161" s="86">
        <f t="shared" si="30"/>
        <v>420</v>
      </c>
      <c r="G161" s="86">
        <f>SUMIF(F$6:F161,"&gt;0")</f>
        <v>112515</v>
      </c>
      <c r="H161" s="86">
        <f t="shared" si="31"/>
        <v>50</v>
      </c>
      <c r="I161" s="86">
        <f t="shared" si="34"/>
        <v>470</v>
      </c>
      <c r="J161" s="91">
        <f t="shared" si="32"/>
        <v>8.9523809523809526</v>
      </c>
      <c r="K161" s="86">
        <f t="shared" si="33"/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9"/>
        <v>133105</v>
      </c>
      <c r="F162" s="86">
        <f t="shared" si="30"/>
        <v>60</v>
      </c>
      <c r="G162" s="86">
        <f>SUMIF(F$6:F162,"&gt;0")</f>
        <v>112575</v>
      </c>
      <c r="H162" s="86">
        <f t="shared" si="31"/>
        <v>-420</v>
      </c>
      <c r="I162" s="86">
        <f t="shared" si="34"/>
        <v>-360</v>
      </c>
      <c r="J162" s="91">
        <f t="shared" si="32"/>
        <v>-6.8571428571428577</v>
      </c>
      <c r="K162" s="86">
        <f t="shared" si="33"/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9"/>
        <v>133215</v>
      </c>
      <c r="F163" s="86">
        <f t="shared" si="30"/>
        <v>60</v>
      </c>
      <c r="G163" s="86">
        <f>SUMIF(F$6:F163,"&gt;0")</f>
        <v>112635</v>
      </c>
      <c r="H163" s="86">
        <f t="shared" si="31"/>
        <v>50</v>
      </c>
      <c r="I163" s="86">
        <f t="shared" si="34"/>
        <v>110</v>
      </c>
      <c r="J163" s="91">
        <f t="shared" si="32"/>
        <v>2.0952380952380953</v>
      </c>
      <c r="K163" s="86">
        <f t="shared" si="33"/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9"/>
        <v>133325</v>
      </c>
      <c r="F164" s="86">
        <f t="shared" si="30"/>
        <v>60</v>
      </c>
      <c r="G164" s="86">
        <f>SUMIF(F$6:F164,"&gt;0")</f>
        <v>112695</v>
      </c>
      <c r="H164" s="86">
        <f t="shared" si="31"/>
        <v>50</v>
      </c>
      <c r="I164" s="86">
        <f t="shared" si="34"/>
        <v>110</v>
      </c>
      <c r="J164" s="91">
        <f t="shared" si="32"/>
        <v>2.0952380952380953</v>
      </c>
      <c r="K164" s="86">
        <f t="shared" si="33"/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9"/>
        <v>135475</v>
      </c>
      <c r="F165" s="86">
        <f t="shared" si="30"/>
        <v>1575</v>
      </c>
      <c r="G165" s="86">
        <f>SUMIF(F$6:F165,"&gt;0")</f>
        <v>114270</v>
      </c>
      <c r="H165" s="86">
        <f t="shared" si="31"/>
        <v>575</v>
      </c>
      <c r="I165" s="86">
        <f t="shared" si="34"/>
        <v>2150</v>
      </c>
      <c r="J165" s="91">
        <f t="shared" si="32"/>
        <v>40.952380952380949</v>
      </c>
      <c r="K165" s="86">
        <f t="shared" si="33"/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9"/>
        <v>136075</v>
      </c>
      <c r="F166" s="86">
        <f t="shared" si="30"/>
        <v>550</v>
      </c>
      <c r="G166" s="86">
        <f>SUMIF(F$6:F166,"&gt;0")</f>
        <v>114820</v>
      </c>
      <c r="H166" s="86">
        <f t="shared" si="31"/>
        <v>50</v>
      </c>
      <c r="I166" s="86">
        <f t="shared" si="34"/>
        <v>600</v>
      </c>
      <c r="J166" s="91">
        <f t="shared" si="32"/>
        <v>11.428571428571427</v>
      </c>
      <c r="K166" s="86">
        <f t="shared" si="33"/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9"/>
        <v>136375</v>
      </c>
      <c r="F167" s="86">
        <f t="shared" si="30"/>
        <v>250</v>
      </c>
      <c r="G167" s="86">
        <f>SUMIF(F$6:F167,"&gt;0")</f>
        <v>115070</v>
      </c>
      <c r="H167" s="86">
        <f t="shared" si="31"/>
        <v>50</v>
      </c>
      <c r="I167" s="86">
        <f t="shared" si="34"/>
        <v>300</v>
      </c>
      <c r="J167" s="91">
        <f t="shared" si="32"/>
        <v>5.7142857142857135</v>
      </c>
      <c r="K167" s="86">
        <f t="shared" si="33"/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9"/>
        <v>136530</v>
      </c>
      <c r="F168" s="86">
        <f t="shared" si="30"/>
        <v>175</v>
      </c>
      <c r="G168" s="86">
        <f>SUMIF(F$6:F168,"&gt;0")</f>
        <v>115245</v>
      </c>
      <c r="H168" s="86">
        <f t="shared" si="31"/>
        <v>-20</v>
      </c>
      <c r="I168" s="86">
        <f t="shared" si="34"/>
        <v>155</v>
      </c>
      <c r="J168" s="91">
        <f t="shared" si="32"/>
        <v>2.9523809523809526</v>
      </c>
      <c r="K168" s="86">
        <f t="shared" si="33"/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9"/>
        <v>144015</v>
      </c>
      <c r="F169" s="86">
        <f t="shared" si="30"/>
        <v>1365</v>
      </c>
      <c r="G169" s="86">
        <f>SUMIF(F$6:F169,"&gt;0")</f>
        <v>116610</v>
      </c>
      <c r="H169" s="86">
        <f t="shared" si="31"/>
        <v>6120</v>
      </c>
      <c r="I169" s="86">
        <f t="shared" si="34"/>
        <v>7485</v>
      </c>
      <c r="J169" s="91">
        <f t="shared" si="32"/>
        <v>142.57142857142858</v>
      </c>
      <c r="K169" s="86">
        <f t="shared" si="33"/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9"/>
        <v>140100</v>
      </c>
      <c r="F170" s="86">
        <f t="shared" ref="F170:F189" si="35">C170-C169</f>
        <v>385</v>
      </c>
      <c r="G170" s="86">
        <f>SUMIF(F$6:F170,"&gt;0")</f>
        <v>116995</v>
      </c>
      <c r="H170" s="86">
        <f t="shared" ref="H170:H189" si="36">D170-D169</f>
        <v>-4300</v>
      </c>
      <c r="I170" s="86">
        <f t="shared" si="34"/>
        <v>-3915</v>
      </c>
      <c r="J170" s="91">
        <f t="shared" ref="J170:J190" si="37">I170/4200*80</f>
        <v>-74.571428571428569</v>
      </c>
      <c r="K170" s="86">
        <f t="shared" si="33"/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9"/>
        <v>137350</v>
      </c>
      <c r="F171" s="86">
        <f t="shared" si="35"/>
        <v>-2750</v>
      </c>
      <c r="G171" s="86">
        <f>SUMIF(F$6:F171,"&gt;0")</f>
        <v>116995</v>
      </c>
      <c r="H171" s="86">
        <f t="shared" si="36"/>
        <v>0</v>
      </c>
      <c r="I171" s="86">
        <f t="shared" si="34"/>
        <v>-2750</v>
      </c>
      <c r="J171" s="91">
        <f t="shared" si="37"/>
        <v>-52.38095238095238</v>
      </c>
      <c r="K171" s="86">
        <f t="shared" si="33"/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9"/>
        <v>144950</v>
      </c>
      <c r="F172" s="86">
        <f t="shared" si="35"/>
        <v>650</v>
      </c>
      <c r="G172" s="86">
        <f>SUMIF(F$6:F172,"&gt;0")</f>
        <v>117645</v>
      </c>
      <c r="H172" s="86">
        <f t="shared" si="36"/>
        <v>6950</v>
      </c>
      <c r="I172" s="86">
        <f t="shared" si="34"/>
        <v>7600</v>
      </c>
      <c r="J172" s="91">
        <f t="shared" si="37"/>
        <v>144.76190476190476</v>
      </c>
      <c r="K172" s="86">
        <f t="shared" si="33"/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9"/>
        <v>140270</v>
      </c>
      <c r="F173" s="86">
        <f t="shared" si="35"/>
        <v>-4310</v>
      </c>
      <c r="G173" s="86">
        <f>SUMIF(F$6:F173,"&gt;0")</f>
        <v>117645</v>
      </c>
      <c r="H173" s="86">
        <f t="shared" si="36"/>
        <v>-370</v>
      </c>
      <c r="I173" s="86">
        <f t="shared" si="34"/>
        <v>-4680</v>
      </c>
      <c r="J173" s="91">
        <f t="shared" si="37"/>
        <v>-89.142857142857139</v>
      </c>
      <c r="K173" s="86">
        <f t="shared" ref="K173:K189" si="38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9"/>
        <v>137410</v>
      </c>
      <c r="F174" s="86">
        <f t="shared" si="35"/>
        <v>-90</v>
      </c>
      <c r="G174" s="86">
        <f>SUMIF(F$6:F174,"&gt;0")</f>
        <v>117645</v>
      </c>
      <c r="H174" s="86">
        <f t="shared" si="36"/>
        <v>-2770</v>
      </c>
      <c r="I174" s="86">
        <f t="shared" si="34"/>
        <v>-2860</v>
      </c>
      <c r="J174" s="91">
        <f t="shared" si="37"/>
        <v>-54.476190476190482</v>
      </c>
      <c r="K174" s="86">
        <f t="shared" si="38"/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9"/>
        <v>145640</v>
      </c>
      <c r="F175" s="86">
        <f t="shared" si="35"/>
        <v>200</v>
      </c>
      <c r="G175" s="86">
        <f>SUMIF(F$6:F175,"&gt;0")</f>
        <v>117845</v>
      </c>
      <c r="H175" s="86">
        <f t="shared" si="36"/>
        <v>8030</v>
      </c>
      <c r="I175" s="86">
        <f t="shared" si="34"/>
        <v>8230</v>
      </c>
      <c r="J175" s="91">
        <f t="shared" si="37"/>
        <v>156.76190476190476</v>
      </c>
      <c r="K175" s="86">
        <f t="shared" si="38"/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9"/>
        <v>117930</v>
      </c>
      <c r="F176" s="86">
        <f t="shared" si="35"/>
        <v>710</v>
      </c>
      <c r="G176" s="86">
        <f>SUMIF(F$6:F176,"&gt;0")</f>
        <v>118555</v>
      </c>
      <c r="H176" s="86">
        <f t="shared" si="36"/>
        <v>-28420</v>
      </c>
      <c r="I176" s="86">
        <f t="shared" si="34"/>
        <v>-27710</v>
      </c>
      <c r="J176" s="91">
        <f t="shared" si="37"/>
        <v>-527.80952380952374</v>
      </c>
      <c r="K176" s="86">
        <f t="shared" si="38"/>
        <v>10745</v>
      </c>
    </row>
    <row r="177" spans="1:13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9"/>
        <v>117840</v>
      </c>
      <c r="F177" s="86">
        <f t="shared" si="35"/>
        <v>-90</v>
      </c>
      <c r="G177" s="86">
        <f>SUMIF(F$6:F177,"&gt;0")</f>
        <v>118555</v>
      </c>
      <c r="H177" s="86">
        <f t="shared" si="36"/>
        <v>0</v>
      </c>
      <c r="I177" s="86">
        <f t="shared" si="34"/>
        <v>-90</v>
      </c>
      <c r="J177" s="91">
        <f t="shared" si="37"/>
        <v>-1.7142857142857144</v>
      </c>
      <c r="K177" s="86">
        <f t="shared" si="38"/>
        <v>10745</v>
      </c>
    </row>
    <row r="178" spans="1:13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9"/>
        <v>118840</v>
      </c>
      <c r="F178" s="86">
        <f t="shared" si="35"/>
        <v>1000</v>
      </c>
      <c r="G178" s="86">
        <f>SUMIF(F$6:F178,"&gt;0")</f>
        <v>119555</v>
      </c>
      <c r="H178" s="86">
        <f t="shared" si="36"/>
        <v>0</v>
      </c>
      <c r="I178" s="86">
        <f t="shared" si="34"/>
        <v>1000</v>
      </c>
      <c r="J178" s="91">
        <f t="shared" si="37"/>
        <v>19.047619047619047</v>
      </c>
      <c r="K178" s="86">
        <f t="shared" si="38"/>
        <v>11745</v>
      </c>
    </row>
    <row r="179" spans="1:13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9"/>
        <v>116380</v>
      </c>
      <c r="F179" s="86">
        <f t="shared" si="35"/>
        <v>-680</v>
      </c>
      <c r="G179" s="86">
        <f>SUMIF(F$6:F179,"&gt;0")</f>
        <v>119555</v>
      </c>
      <c r="H179" s="86">
        <f t="shared" si="36"/>
        <v>-1780</v>
      </c>
      <c r="I179" s="86">
        <f t="shared" si="34"/>
        <v>-2460</v>
      </c>
      <c r="J179" s="91">
        <f t="shared" si="37"/>
        <v>-46.857142857142861</v>
      </c>
      <c r="K179" s="86">
        <f t="shared" si="38"/>
        <v>11745</v>
      </c>
    </row>
    <row r="180" spans="1:13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9"/>
        <v>118940</v>
      </c>
      <c r="F180" s="86">
        <f t="shared" si="35"/>
        <v>2540</v>
      </c>
      <c r="G180" s="86">
        <f>SUMIF(F$6:F180,"&gt;0")</f>
        <v>122095</v>
      </c>
      <c r="H180" s="86">
        <f t="shared" si="36"/>
        <v>20</v>
      </c>
      <c r="I180" s="86">
        <f t="shared" si="34"/>
        <v>2560</v>
      </c>
      <c r="J180" s="91">
        <f t="shared" si="37"/>
        <v>48.761904761904766</v>
      </c>
      <c r="K180" s="86">
        <f t="shared" si="38"/>
        <v>13960</v>
      </c>
    </row>
    <row r="181" spans="1:13" x14ac:dyDescent="0.25">
      <c r="A181" s="87">
        <v>44107.056944444441</v>
      </c>
      <c r="C181" s="84">
        <v>3815</v>
      </c>
      <c r="D181" s="84">
        <v>115270</v>
      </c>
      <c r="E181" s="84">
        <f t="shared" si="29"/>
        <v>119085</v>
      </c>
      <c r="F181" s="86">
        <f t="shared" si="35"/>
        <v>125</v>
      </c>
      <c r="G181" s="86">
        <f>SUMIF(F$6:F181,"&gt;0")</f>
        <v>122220</v>
      </c>
      <c r="H181" s="86">
        <f t="shared" si="36"/>
        <v>20</v>
      </c>
      <c r="I181" s="86">
        <f t="shared" si="34"/>
        <v>145</v>
      </c>
      <c r="J181" s="91">
        <f t="shared" si="37"/>
        <v>2.7619047619047619</v>
      </c>
      <c r="K181" s="86">
        <f t="shared" si="38"/>
        <v>14085</v>
      </c>
    </row>
    <row r="182" spans="1:13" x14ac:dyDescent="0.25">
      <c r="A182" s="87">
        <v>44108.432638888888</v>
      </c>
      <c r="C182" s="84">
        <v>3915</v>
      </c>
      <c r="D182" s="84">
        <v>115290</v>
      </c>
      <c r="E182" s="84">
        <f t="shared" si="29"/>
        <v>119205</v>
      </c>
      <c r="F182" s="86">
        <f t="shared" si="35"/>
        <v>100</v>
      </c>
      <c r="G182" s="86">
        <f>SUMIF(F$6:F182,"&gt;0")</f>
        <v>122320</v>
      </c>
      <c r="H182" s="86">
        <f t="shared" si="36"/>
        <v>20</v>
      </c>
      <c r="I182" s="86">
        <f t="shared" si="34"/>
        <v>120</v>
      </c>
      <c r="J182" s="91">
        <f t="shared" si="37"/>
        <v>2.2857142857142856</v>
      </c>
      <c r="K182" s="86">
        <f t="shared" si="38"/>
        <v>13430</v>
      </c>
    </row>
    <row r="183" spans="1:13" x14ac:dyDescent="0.25">
      <c r="A183" s="87">
        <v>44109.045138888891</v>
      </c>
      <c r="C183" s="84">
        <v>4915</v>
      </c>
      <c r="D183" s="84">
        <v>115290</v>
      </c>
      <c r="E183" s="84">
        <f t="shared" si="29"/>
        <v>120205</v>
      </c>
      <c r="F183" s="86">
        <f t="shared" si="35"/>
        <v>1000</v>
      </c>
      <c r="G183" s="86">
        <f>SUMIF(F$6:F183,"&gt;0")</f>
        <v>123320</v>
      </c>
      <c r="H183" s="86">
        <f t="shared" si="36"/>
        <v>0</v>
      </c>
      <c r="I183" s="86">
        <f t="shared" si="34"/>
        <v>1000</v>
      </c>
      <c r="J183" s="91">
        <f t="shared" si="37"/>
        <v>19.047619047619047</v>
      </c>
      <c r="K183" s="86">
        <f t="shared" si="38"/>
        <v>14430</v>
      </c>
    </row>
    <row r="184" spans="1:13" x14ac:dyDescent="0.25">
      <c r="A184" s="87">
        <v>44110.046527777777</v>
      </c>
      <c r="B184" s="117" t="s">
        <v>289</v>
      </c>
      <c r="C184" s="84">
        <v>3715</v>
      </c>
      <c r="D184" s="84">
        <v>90060</v>
      </c>
      <c r="E184" s="84">
        <f t="shared" si="29"/>
        <v>93775</v>
      </c>
      <c r="F184" s="86">
        <f t="shared" si="35"/>
        <v>-1200</v>
      </c>
      <c r="G184" s="86">
        <f>SUMIF(F$6:F184,"&gt;0")</f>
        <v>123320</v>
      </c>
      <c r="H184" s="86">
        <f t="shared" si="36"/>
        <v>-25230</v>
      </c>
      <c r="I184" s="86">
        <f t="shared" si="34"/>
        <v>-26430</v>
      </c>
      <c r="J184" s="91">
        <f t="shared" si="37"/>
        <v>-503.42857142857144</v>
      </c>
      <c r="K184" s="86">
        <f t="shared" si="38"/>
        <v>14330</v>
      </c>
      <c r="L184" s="84">
        <v>480</v>
      </c>
      <c r="M184" s="84">
        <v>10</v>
      </c>
    </row>
    <row r="185" spans="1:13" x14ac:dyDescent="0.25">
      <c r="A185" s="87">
        <v>44110.083333333336</v>
      </c>
      <c r="C185" s="84">
        <v>6175</v>
      </c>
      <c r="D185" s="84">
        <v>90660</v>
      </c>
      <c r="E185" s="84">
        <f t="shared" si="29"/>
        <v>96835</v>
      </c>
      <c r="F185" s="86">
        <f t="shared" si="35"/>
        <v>2460</v>
      </c>
      <c r="G185" s="86">
        <f>SUMIF(F$6:F185,"&gt;0")</f>
        <v>125780</v>
      </c>
      <c r="H185" s="86">
        <f t="shared" si="36"/>
        <v>600</v>
      </c>
      <c r="I185" s="86">
        <f t="shared" ref="I185:I189" si="39">SUM(F185,H185)</f>
        <v>3060</v>
      </c>
      <c r="J185" s="91">
        <f t="shared" si="37"/>
        <v>58.285714285714285</v>
      </c>
      <c r="K185" s="86">
        <f t="shared" si="38"/>
        <v>16790</v>
      </c>
    </row>
    <row r="186" spans="1:13" x14ac:dyDescent="0.25">
      <c r="A186" s="87">
        <v>44111.042361111111</v>
      </c>
      <c r="B186" s="117" t="s">
        <v>291</v>
      </c>
      <c r="C186" s="84">
        <v>2875</v>
      </c>
      <c r="D186" s="84">
        <v>90660</v>
      </c>
      <c r="E186" s="84">
        <f t="shared" si="29"/>
        <v>93535</v>
      </c>
      <c r="F186" s="86">
        <f t="shared" si="35"/>
        <v>-3300</v>
      </c>
      <c r="G186" s="86">
        <f>SUMIF(F$6:F186,"&gt;0")</f>
        <v>125780</v>
      </c>
      <c r="H186" s="86">
        <f t="shared" si="36"/>
        <v>0</v>
      </c>
      <c r="I186" s="86">
        <f t="shared" si="39"/>
        <v>-3300</v>
      </c>
      <c r="J186" s="91">
        <f t="shared" si="37"/>
        <v>-62.857142857142854</v>
      </c>
      <c r="K186" s="86">
        <f t="shared" si="38"/>
        <v>16790</v>
      </c>
    </row>
    <row r="187" spans="1:13" x14ac:dyDescent="0.25">
      <c r="A187" s="87">
        <v>44111.111111111109</v>
      </c>
      <c r="C187" s="84">
        <v>3450</v>
      </c>
      <c r="D187" s="84">
        <v>90680</v>
      </c>
      <c r="E187" s="84">
        <f t="shared" si="29"/>
        <v>94130</v>
      </c>
      <c r="F187" s="86">
        <f t="shared" si="35"/>
        <v>575</v>
      </c>
      <c r="G187" s="86">
        <f>SUMIF(F$6:F187,"&gt;0")</f>
        <v>126355</v>
      </c>
      <c r="H187" s="86">
        <f t="shared" si="36"/>
        <v>20</v>
      </c>
      <c r="I187" s="86">
        <f t="shared" si="39"/>
        <v>595</v>
      </c>
      <c r="J187" s="91">
        <f t="shared" si="37"/>
        <v>11.333333333333332</v>
      </c>
      <c r="K187" s="86">
        <f t="shared" si="38"/>
        <v>17365</v>
      </c>
    </row>
    <row r="188" spans="1:13" x14ac:dyDescent="0.25">
      <c r="A188" s="87">
        <v>44112.045138888891</v>
      </c>
      <c r="B188" s="117" t="s">
        <v>292</v>
      </c>
      <c r="C188" s="84">
        <v>25</v>
      </c>
      <c r="D188" s="84">
        <v>89450</v>
      </c>
      <c r="E188" s="84">
        <f t="shared" si="29"/>
        <v>89475</v>
      </c>
      <c r="F188" s="86">
        <f t="shared" si="35"/>
        <v>-3425</v>
      </c>
      <c r="G188" s="86">
        <f>SUMIF(F$6:F188,"&gt;0")</f>
        <v>126355</v>
      </c>
      <c r="H188" s="86">
        <f t="shared" si="36"/>
        <v>-1230</v>
      </c>
      <c r="I188" s="86">
        <f t="shared" si="39"/>
        <v>-4655</v>
      </c>
      <c r="J188" s="91">
        <f t="shared" si="37"/>
        <v>-88.666666666666671</v>
      </c>
      <c r="K188" s="86">
        <f t="shared" si="38"/>
        <v>16965</v>
      </c>
    </row>
    <row r="189" spans="1:13" x14ac:dyDescent="0.25">
      <c r="A189" s="87">
        <v>44112.142361111109</v>
      </c>
      <c r="B189" s="117" t="s">
        <v>293</v>
      </c>
      <c r="C189" s="84">
        <v>25</v>
      </c>
      <c r="D189" s="84">
        <v>88730</v>
      </c>
      <c r="E189" s="84">
        <f t="shared" si="29"/>
        <v>88755</v>
      </c>
      <c r="F189" s="86">
        <f t="shared" si="35"/>
        <v>0</v>
      </c>
      <c r="G189" s="86">
        <f>SUMIF(F$6:F189,"&gt;0")</f>
        <v>126355</v>
      </c>
      <c r="H189" s="86">
        <f t="shared" si="36"/>
        <v>-720</v>
      </c>
      <c r="I189" s="86">
        <f t="shared" si="39"/>
        <v>-720</v>
      </c>
      <c r="J189" s="91">
        <f t="shared" si="37"/>
        <v>-13.714285714285715</v>
      </c>
      <c r="K189" s="86">
        <f t="shared" si="38"/>
        <v>16965</v>
      </c>
    </row>
    <row r="190" spans="1:13" x14ac:dyDescent="0.25">
      <c r="A190" s="87">
        <v>44112.257638888892</v>
      </c>
      <c r="B190" s="117" t="s">
        <v>294</v>
      </c>
      <c r="C190" s="84">
        <v>125</v>
      </c>
      <c r="D190" s="84">
        <v>88730</v>
      </c>
      <c r="E190" s="84">
        <f t="shared" ref="E190:E203" si="40">SUM(C190:D190)</f>
        <v>88855</v>
      </c>
      <c r="F190" s="86">
        <f t="shared" ref="F190" si="41">C190-C189</f>
        <v>100</v>
      </c>
      <c r="G190" s="86">
        <f>SUMIF(F$6:F190,"&gt;0")</f>
        <v>126455</v>
      </c>
      <c r="H190" s="86">
        <f t="shared" ref="H190" si="42">D190-D189</f>
        <v>0</v>
      </c>
      <c r="I190" s="86">
        <f t="shared" ref="I190" si="43">SUM(F190,H190)</f>
        <v>100</v>
      </c>
      <c r="J190" s="91">
        <f t="shared" si="37"/>
        <v>1.9047619047619047</v>
      </c>
      <c r="K190" s="86">
        <f t="shared" ref="K190" si="44">IFERROR(G190 - _xlfn.XLOOKUP(A190-31, $A$6:$A$14999,G$6:G$14999,"",-1,2),NA())</f>
        <v>17065</v>
      </c>
    </row>
    <row r="191" spans="1:13" x14ac:dyDescent="0.25">
      <c r="A191" s="87">
        <v>44113.240972222222</v>
      </c>
      <c r="B191" s="117" t="s">
        <v>293</v>
      </c>
      <c r="C191" s="84">
        <v>185</v>
      </c>
      <c r="D191" s="84">
        <v>84270</v>
      </c>
      <c r="E191" s="84">
        <f t="shared" si="40"/>
        <v>84455</v>
      </c>
      <c r="F191" s="86">
        <f t="shared" ref="F191" si="45">C191-C190</f>
        <v>60</v>
      </c>
      <c r="G191" s="86">
        <f>SUMIF(F$6:F191,"&gt;0")</f>
        <v>126515</v>
      </c>
      <c r="H191" s="86">
        <f t="shared" ref="H191" si="46">D191-D190</f>
        <v>-4460</v>
      </c>
      <c r="I191" s="86">
        <f t="shared" ref="I191" si="47">SUM(F191,H191)</f>
        <v>-4400</v>
      </c>
      <c r="J191" s="91">
        <f t="shared" ref="J191" si="48">I191/4200*80</f>
        <v>-83.80952380952381</v>
      </c>
      <c r="K191" s="86">
        <f t="shared" ref="K191" si="49">IFERROR(G191 - _xlfn.XLOOKUP(A191-31, $A$6:$A$14999,G$6:G$14999,"",-1,2),NA())</f>
        <v>16450</v>
      </c>
    </row>
    <row r="192" spans="1:13" x14ac:dyDescent="0.25">
      <c r="A192" s="87">
        <v>44114.05972222222</v>
      </c>
      <c r="B192" s="117" t="s">
        <v>295</v>
      </c>
      <c r="C192" s="84">
        <v>5</v>
      </c>
      <c r="D192" s="84">
        <v>83130</v>
      </c>
      <c r="E192" s="84">
        <f t="shared" si="40"/>
        <v>83135</v>
      </c>
      <c r="F192" s="86">
        <f t="shared" ref="F192" si="50">C192-C191</f>
        <v>-180</v>
      </c>
      <c r="G192" s="86">
        <f>SUMIF(F$6:F192,"&gt;0")</f>
        <v>126515</v>
      </c>
      <c r="H192" s="86">
        <f t="shared" ref="H192" si="51">D192-D191</f>
        <v>-1140</v>
      </c>
      <c r="I192" s="86">
        <f t="shared" ref="I192" si="52">SUM(F192,H192)</f>
        <v>-1320</v>
      </c>
      <c r="J192" s="91">
        <f t="shared" ref="J192" si="53">I192/4200*80</f>
        <v>-25.142857142857142</v>
      </c>
      <c r="K192" s="86">
        <f t="shared" ref="K192" si="54">IFERROR(G192 - _xlfn.XLOOKUP(A192-31, $A$6:$A$14999,G$6:G$14999,"",-1,2),NA())</f>
        <v>16450</v>
      </c>
    </row>
    <row r="193" spans="1:13" x14ac:dyDescent="0.25">
      <c r="A193" s="87">
        <v>44114.138194444444</v>
      </c>
      <c r="B193" s="117" t="s">
        <v>296</v>
      </c>
      <c r="C193" s="84">
        <v>105</v>
      </c>
      <c r="D193" s="84">
        <v>82650</v>
      </c>
      <c r="E193" s="84">
        <f t="shared" si="40"/>
        <v>82755</v>
      </c>
      <c r="F193" s="86">
        <f t="shared" ref="F193" si="55">C193-C192</f>
        <v>100</v>
      </c>
      <c r="G193" s="86">
        <f>SUMIF(F$6:F193,"&gt;0")</f>
        <v>126615</v>
      </c>
      <c r="H193" s="86">
        <f t="shared" ref="H193" si="56">D193-D192</f>
        <v>-480</v>
      </c>
      <c r="I193" s="86">
        <f t="shared" ref="I193" si="57">SUM(F193,H193)</f>
        <v>-380</v>
      </c>
      <c r="J193" s="91">
        <f t="shared" ref="J193" si="58">I193/4200*80</f>
        <v>-7.2380952380952381</v>
      </c>
      <c r="K193" s="86">
        <f t="shared" ref="K193" si="59">IFERROR(G193 - _xlfn.XLOOKUP(A193-31, $A$6:$A$14999,G$6:G$14999,"",-1,2),NA())</f>
        <v>16500</v>
      </c>
    </row>
    <row r="194" spans="1:13" x14ac:dyDescent="0.25">
      <c r="A194" s="87">
        <v>44115.041666666664</v>
      </c>
      <c r="C194" s="84">
        <v>130</v>
      </c>
      <c r="D194" s="84">
        <v>78030</v>
      </c>
      <c r="E194" s="84">
        <f t="shared" si="40"/>
        <v>78160</v>
      </c>
      <c r="F194" s="86">
        <f t="shared" ref="F194" si="60">C194-C193</f>
        <v>25</v>
      </c>
      <c r="G194" s="86">
        <f>SUMIF(F$6:F194,"&gt;0")</f>
        <v>126640</v>
      </c>
      <c r="H194" s="86">
        <f t="shared" ref="H194" si="61">D194-D193</f>
        <v>-4620</v>
      </c>
      <c r="I194" s="86">
        <f t="shared" ref="I194" si="62">SUM(F194,H194)</f>
        <v>-4595</v>
      </c>
      <c r="J194" s="91">
        <f t="shared" ref="J194" si="63">I194/4200*80</f>
        <v>-87.523809523809533</v>
      </c>
      <c r="K194" s="86">
        <f t="shared" ref="K194" si="64">IFERROR(G194 - _xlfn.XLOOKUP(A194-31, $A$6:$A$14999,G$6:G$14999,"",-1,2),NA())</f>
        <v>16525</v>
      </c>
    </row>
    <row r="195" spans="1:13" x14ac:dyDescent="0.25">
      <c r="A195" s="87">
        <v>44115.106249999997</v>
      </c>
      <c r="C195" s="84">
        <v>230</v>
      </c>
      <c r="D195" s="84">
        <v>78050</v>
      </c>
      <c r="E195" s="84">
        <f t="shared" si="40"/>
        <v>78280</v>
      </c>
      <c r="F195" s="86">
        <f t="shared" ref="F195" si="65">C195-C194</f>
        <v>100</v>
      </c>
      <c r="G195" s="86">
        <f>SUMIF(F$6:F195,"&gt;0")</f>
        <v>126740</v>
      </c>
      <c r="H195" s="86">
        <f t="shared" ref="H195" si="66">D195-D194</f>
        <v>20</v>
      </c>
      <c r="I195" s="86">
        <f t="shared" ref="I195" si="67">SUM(F195,H195)</f>
        <v>120</v>
      </c>
      <c r="J195" s="91">
        <f t="shared" ref="J195" si="68">I195/4200*80</f>
        <v>2.2857142857142856</v>
      </c>
      <c r="K195" s="86">
        <f t="shared" ref="K195" si="69">IFERROR(G195 - _xlfn.XLOOKUP(A195-31, $A$6:$A$14999,G$6:G$14999,"",-1,2),NA())</f>
        <v>16525</v>
      </c>
    </row>
    <row r="196" spans="1:13" x14ac:dyDescent="0.25">
      <c r="A196" s="87">
        <v>44116.059027777781</v>
      </c>
      <c r="B196" s="117" t="s">
        <v>297</v>
      </c>
      <c r="C196" s="84">
        <v>330</v>
      </c>
      <c r="D196" s="84">
        <v>73700</v>
      </c>
      <c r="E196" s="84">
        <f t="shared" si="40"/>
        <v>74030</v>
      </c>
      <c r="F196" s="86">
        <f t="shared" ref="F196" si="70">C196-C195</f>
        <v>100</v>
      </c>
      <c r="G196" s="86">
        <f>SUMIF(F$6:F196,"&gt;0")</f>
        <v>126840</v>
      </c>
      <c r="H196" s="86">
        <f t="shared" ref="H196" si="71">D196-D195</f>
        <v>-4350</v>
      </c>
      <c r="I196" s="86">
        <f t="shared" ref="I196" si="72">SUM(F196,H196)</f>
        <v>-4250</v>
      </c>
      <c r="J196" s="91">
        <f t="shared" ref="J196" si="73">I196/4200*80</f>
        <v>-80.952380952380949</v>
      </c>
      <c r="K196" s="86">
        <f t="shared" ref="K196" si="74">IFERROR(G196 - _xlfn.XLOOKUP(A196-31, $A$6:$A$14999,G$6:G$14999,"",-1,2),NA())</f>
        <v>16625</v>
      </c>
      <c r="L196" s="84">
        <v>480</v>
      </c>
      <c r="M196" s="84">
        <v>10</v>
      </c>
    </row>
    <row r="197" spans="1:13" x14ac:dyDescent="0.25">
      <c r="A197" s="87">
        <v>44116.081250000003</v>
      </c>
      <c r="B197" s="117" t="s">
        <v>298</v>
      </c>
      <c r="C197" s="84">
        <v>1035</v>
      </c>
      <c r="D197" s="84">
        <v>74280</v>
      </c>
      <c r="E197" s="84">
        <f t="shared" si="40"/>
        <v>75315</v>
      </c>
      <c r="F197" s="86">
        <f t="shared" ref="F197" si="75">C197-C196</f>
        <v>705</v>
      </c>
      <c r="G197" s="86">
        <f>SUMIF(F$6:F197,"&gt;0")</f>
        <v>127545</v>
      </c>
      <c r="H197" s="86">
        <f t="shared" ref="H197" si="76">D197-D196</f>
        <v>580</v>
      </c>
      <c r="I197" s="86">
        <f t="shared" ref="I197" si="77">SUM(F197,H197)</f>
        <v>1285</v>
      </c>
      <c r="J197" s="91">
        <f t="shared" ref="J197" si="78">I197/4200*80</f>
        <v>24.476190476190478</v>
      </c>
      <c r="K197" s="86">
        <f t="shared" ref="K197" si="79">IFERROR(G197 - _xlfn.XLOOKUP(A197-31, $A$6:$A$14999,G$6:G$14999,"",-1,2),NA())</f>
        <v>17330</v>
      </c>
    </row>
    <row r="198" spans="1:13" x14ac:dyDescent="0.25">
      <c r="A198" s="87">
        <v>44116.84652777778</v>
      </c>
      <c r="B198" s="117" t="s">
        <v>299</v>
      </c>
      <c r="C198" s="84">
        <v>1060</v>
      </c>
      <c r="D198" s="84">
        <v>70650</v>
      </c>
      <c r="E198" s="84">
        <f t="shared" si="40"/>
        <v>71710</v>
      </c>
      <c r="F198" s="86">
        <f t="shared" ref="F198" si="80">C198-C197</f>
        <v>25</v>
      </c>
      <c r="G198" s="86">
        <f>SUMIF(F$6:F198,"&gt;0")</f>
        <v>127570</v>
      </c>
      <c r="H198" s="86">
        <f t="shared" ref="H198" si="81">D198-D197</f>
        <v>-3630</v>
      </c>
      <c r="I198" s="86">
        <f t="shared" ref="I198" si="82">SUM(F198,H198)</f>
        <v>-3605</v>
      </c>
      <c r="J198" s="91">
        <f t="shared" ref="J198" si="83">I198/4200*80</f>
        <v>-68.666666666666657</v>
      </c>
      <c r="K198" s="86">
        <f t="shared" ref="K198" si="84">IFERROR(G198 - _xlfn.XLOOKUP(A198-31, $A$6:$A$14999,G$6:G$14999,"",-1,2),NA())</f>
        <v>16475</v>
      </c>
    </row>
    <row r="199" spans="1:13" x14ac:dyDescent="0.25">
      <c r="A199" s="87">
        <v>44117.600694444445</v>
      </c>
      <c r="B199" s="117" t="s">
        <v>299</v>
      </c>
      <c r="C199" s="84">
        <v>10</v>
      </c>
      <c r="D199" s="84">
        <v>70620</v>
      </c>
      <c r="E199" s="84">
        <f t="shared" si="40"/>
        <v>70630</v>
      </c>
      <c r="F199" s="86">
        <f t="shared" ref="F199" si="85">C199-C198</f>
        <v>-1050</v>
      </c>
      <c r="G199" s="86">
        <f>SUMIF(F$6:F199,"&gt;0")</f>
        <v>127570</v>
      </c>
      <c r="H199" s="86">
        <f t="shared" ref="H199" si="86">D199-D198</f>
        <v>-30</v>
      </c>
      <c r="I199" s="86">
        <f t="shared" ref="I199" si="87">SUM(F199,H199)</f>
        <v>-1080</v>
      </c>
      <c r="J199" s="91">
        <f t="shared" ref="J199" si="88">I199/4200*80</f>
        <v>-20.571428571428569</v>
      </c>
      <c r="K199" s="86">
        <f t="shared" ref="K199" si="89">IFERROR(G199 - _xlfn.XLOOKUP(A199-31, $A$6:$A$14999,G$6:G$14999,"",-1,2),NA())</f>
        <v>16475</v>
      </c>
    </row>
    <row r="200" spans="1:13" x14ac:dyDescent="0.25">
      <c r="A200" s="87">
        <v>44117.60833333333</v>
      </c>
      <c r="C200" s="84">
        <v>280</v>
      </c>
      <c r="D200" s="84">
        <v>70670</v>
      </c>
      <c r="E200" s="84">
        <f t="shared" si="40"/>
        <v>70950</v>
      </c>
      <c r="F200" s="86">
        <f t="shared" ref="F200" si="90">C200-C199</f>
        <v>270</v>
      </c>
      <c r="G200" s="86">
        <f>SUMIF(F$6:F200,"&gt;0")</f>
        <v>127840</v>
      </c>
      <c r="H200" s="86">
        <f t="shared" ref="H200" si="91">D200-D199</f>
        <v>50</v>
      </c>
      <c r="I200" s="86">
        <f t="shared" ref="I200" si="92">SUM(F200,H200)</f>
        <v>320</v>
      </c>
      <c r="J200" s="91">
        <f t="shared" ref="J200" si="93">I200/4200*80</f>
        <v>6.0952380952380958</v>
      </c>
      <c r="K200" s="86">
        <f t="shared" ref="K200" si="94">IFERROR(G200 - _xlfn.XLOOKUP(A200-31, $A$6:$A$14999,G$6:G$14999,"",-1,2),NA())</f>
        <v>16745</v>
      </c>
    </row>
    <row r="201" spans="1:13" x14ac:dyDescent="0.25">
      <c r="A201" s="87">
        <v>44118.054861111108</v>
      </c>
      <c r="C201" s="84">
        <v>425</v>
      </c>
      <c r="D201" s="84">
        <v>70690</v>
      </c>
      <c r="E201" s="84">
        <f t="shared" si="40"/>
        <v>71115</v>
      </c>
      <c r="F201" s="86">
        <f t="shared" ref="F201" si="95">C201-C200</f>
        <v>145</v>
      </c>
      <c r="G201" s="86">
        <f>SUMIF(F$6:F201,"&gt;0")</f>
        <v>127985</v>
      </c>
      <c r="H201" s="86">
        <f t="shared" ref="H201" si="96">D201-D200</f>
        <v>20</v>
      </c>
      <c r="I201" s="86">
        <f t="shared" ref="I201" si="97">SUM(F201,H201)</f>
        <v>165</v>
      </c>
      <c r="J201" s="91">
        <f t="shared" ref="J201" si="98">I201/4200*80</f>
        <v>3.1428571428571428</v>
      </c>
      <c r="K201" s="86">
        <f t="shared" ref="K201" si="99">IFERROR(G201 - _xlfn.XLOOKUP(A201-31, $A$6:$A$14999,G$6:G$14999,"",-1,2),NA())</f>
        <v>16890</v>
      </c>
    </row>
    <row r="202" spans="1:13" x14ac:dyDescent="0.25">
      <c r="A202" s="87">
        <v>44119.049305555556</v>
      </c>
      <c r="B202" s="117" t="s">
        <v>310</v>
      </c>
      <c r="C202" s="84">
        <v>5</v>
      </c>
      <c r="D202" s="84">
        <v>65710</v>
      </c>
      <c r="E202" s="84">
        <f t="shared" si="40"/>
        <v>65715</v>
      </c>
      <c r="F202" s="86">
        <f t="shared" ref="F202" si="100">C202-C201</f>
        <v>-420</v>
      </c>
      <c r="G202" s="86">
        <f>SUMIF(F$6:F202,"&gt;0")</f>
        <v>127985</v>
      </c>
      <c r="H202" s="86">
        <f t="shared" ref="H202" si="101">D202-D201</f>
        <v>-4980</v>
      </c>
      <c r="I202" s="86">
        <f t="shared" ref="I202" si="102">SUM(F202,H202)</f>
        <v>-5400</v>
      </c>
      <c r="J202" s="91">
        <f t="shared" ref="J202" si="103">I202/4200*80</f>
        <v>-102.85714285714286</v>
      </c>
      <c r="K202" s="86">
        <f t="shared" ref="K202" si="104">IFERROR(G202 - _xlfn.XLOOKUP(A202-31, $A$6:$A$14999,G$6:G$14999,"",-1,2),NA())</f>
        <v>16830</v>
      </c>
    </row>
    <row r="203" spans="1:13" x14ac:dyDescent="0.25">
      <c r="A203" s="87">
        <v>44119.147222222222</v>
      </c>
      <c r="C203" s="84">
        <v>415</v>
      </c>
      <c r="D203" s="84">
        <v>65730</v>
      </c>
      <c r="E203" s="84">
        <f t="shared" si="40"/>
        <v>66145</v>
      </c>
      <c r="F203" s="86">
        <f t="shared" ref="F203" si="105">C203-C202</f>
        <v>410</v>
      </c>
      <c r="G203" s="86">
        <f>SUMIF(F$6:F203,"&gt;0")</f>
        <v>128395</v>
      </c>
      <c r="H203" s="86">
        <f t="shared" ref="H203" si="106">D203-D202</f>
        <v>20</v>
      </c>
      <c r="I203" s="86">
        <f t="shared" ref="I203" si="107">SUM(F203,H203)</f>
        <v>430</v>
      </c>
      <c r="J203" s="91">
        <f t="shared" ref="J203" si="108">I203/4200*80</f>
        <v>8.1904761904761898</v>
      </c>
      <c r="K203" s="86">
        <f t="shared" ref="K203" si="109">IFERROR(G203 - _xlfn.XLOOKUP(A203-31, $A$6:$A$14999,G$6:G$14999,"",-1,2),NA())</f>
        <v>17240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27"/>
  <sheetViews>
    <sheetView topLeftCell="A5" workbookViewId="0">
      <selection activeCell="J27" sqref="J27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20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:F22" si="4">C5-C4</f>
        <v>1</v>
      </c>
      <c r="G5" s="86">
        <f t="shared" ref="G5:G22" si="5">D5-D4</f>
        <v>0</v>
      </c>
      <c r="H5" s="86">
        <f t="shared" ref="H5:H22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si="4"/>
        <v>12</v>
      </c>
      <c r="G6" s="86">
        <f t="shared" si="5"/>
        <v>1</v>
      </c>
      <c r="H6" s="86">
        <f t="shared" si="6"/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si="4"/>
        <v>6</v>
      </c>
      <c r="G7" s="86">
        <f t="shared" si="5"/>
        <v>0</v>
      </c>
      <c r="H7" s="86">
        <f t="shared" si="6"/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si="4"/>
        <v>3</v>
      </c>
      <c r="G8" s="86">
        <f t="shared" si="5"/>
        <v>0</v>
      </c>
      <c r="H8" s="86">
        <f t="shared" si="6"/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si="4"/>
        <v>3</v>
      </c>
      <c r="G9" s="86">
        <f t="shared" si="5"/>
        <v>0</v>
      </c>
      <c r="H9" s="86">
        <f t="shared" si="6"/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si="4"/>
        <v>4</v>
      </c>
      <c r="G10" s="86">
        <f t="shared" si="5"/>
        <v>1</v>
      </c>
      <c r="H10" s="86">
        <f t="shared" si="6"/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si="4"/>
        <v>5</v>
      </c>
      <c r="G11" s="86">
        <f t="shared" si="5"/>
        <v>1</v>
      </c>
      <c r="H11" s="86">
        <f t="shared" si="6"/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si="4"/>
        <v>1</v>
      </c>
      <c r="G12" s="86">
        <f t="shared" si="5"/>
        <v>0</v>
      </c>
      <c r="H12" s="86">
        <f t="shared" si="6"/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si="4"/>
        <v>4</v>
      </c>
      <c r="G13" s="86">
        <f t="shared" si="5"/>
        <v>0</v>
      </c>
      <c r="H13" s="86">
        <f t="shared" si="6"/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si="4"/>
        <v>1</v>
      </c>
      <c r="G14" s="86">
        <f t="shared" si="5"/>
        <v>0</v>
      </c>
      <c r="H14" s="86">
        <f t="shared" si="6"/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si="4"/>
        <v>-49</v>
      </c>
      <c r="G15" s="86">
        <f t="shared" si="5"/>
        <v>-3</v>
      </c>
      <c r="H15" s="86">
        <f t="shared" si="6"/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 t="shared" ref="E16:E23" si="7">C16+D16*10</f>
        <v>19</v>
      </c>
      <c r="F16" s="86">
        <f t="shared" si="4"/>
        <v>9</v>
      </c>
      <c r="G16" s="86">
        <f t="shared" si="5"/>
        <v>1</v>
      </c>
      <c r="H16" s="86">
        <f t="shared" si="6"/>
        <v>19</v>
      </c>
      <c r="I16" s="84">
        <f t="shared" ref="I16:I23" si="8"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 t="shared" si="7"/>
        <v>39</v>
      </c>
      <c r="F17" s="86">
        <f t="shared" si="4"/>
        <v>20</v>
      </c>
      <c r="G17" s="86">
        <f t="shared" si="5"/>
        <v>0</v>
      </c>
      <c r="H17" s="86">
        <f t="shared" si="6"/>
        <v>20</v>
      </c>
      <c r="I17" s="84">
        <f t="shared" si="8"/>
        <v>4680</v>
      </c>
      <c r="J17" s="86">
        <f t="shared" si="3"/>
        <v>2400</v>
      </c>
    </row>
    <row r="18" spans="1:10" x14ac:dyDescent="0.25">
      <c r="A18" s="87">
        <v>44107.056944444441</v>
      </c>
      <c r="C18" s="84">
        <v>34</v>
      </c>
      <c r="D18" s="84">
        <v>1</v>
      </c>
      <c r="E18" s="171">
        <f t="shared" si="7"/>
        <v>44</v>
      </c>
      <c r="F18" s="86">
        <f t="shared" si="4"/>
        <v>5</v>
      </c>
      <c r="G18" s="86">
        <f t="shared" si="5"/>
        <v>0</v>
      </c>
      <c r="H18" s="86">
        <f t="shared" si="6"/>
        <v>5</v>
      </c>
      <c r="I18" s="84">
        <f t="shared" si="8"/>
        <v>5280</v>
      </c>
      <c r="J18" s="86">
        <f t="shared" si="3"/>
        <v>600</v>
      </c>
    </row>
    <row r="19" spans="1:10" x14ac:dyDescent="0.25">
      <c r="A19" s="87">
        <v>44108.432638888888</v>
      </c>
      <c r="C19" s="84">
        <v>37</v>
      </c>
      <c r="D19" s="84">
        <v>1</v>
      </c>
      <c r="E19" s="171">
        <f t="shared" si="7"/>
        <v>47</v>
      </c>
      <c r="F19" s="86">
        <f t="shared" si="4"/>
        <v>3</v>
      </c>
      <c r="G19" s="86">
        <f t="shared" si="5"/>
        <v>0</v>
      </c>
      <c r="H19" s="86">
        <f t="shared" si="6"/>
        <v>3</v>
      </c>
      <c r="I19" s="84">
        <f t="shared" si="8"/>
        <v>5640</v>
      </c>
      <c r="J19" s="86">
        <f t="shared" si="3"/>
        <v>360</v>
      </c>
    </row>
    <row r="20" spans="1:10" x14ac:dyDescent="0.25">
      <c r="A20" s="87">
        <v>44109.045138888891</v>
      </c>
      <c r="B20" s="21" t="s">
        <v>289</v>
      </c>
      <c r="C20" s="84">
        <v>1</v>
      </c>
      <c r="D20" s="84">
        <v>0</v>
      </c>
      <c r="E20" s="171">
        <f t="shared" si="7"/>
        <v>1</v>
      </c>
      <c r="F20" s="86">
        <f t="shared" si="4"/>
        <v>-36</v>
      </c>
      <c r="G20" s="86">
        <f t="shared" si="5"/>
        <v>-1</v>
      </c>
      <c r="H20" s="86">
        <f t="shared" si="6"/>
        <v>-46</v>
      </c>
      <c r="I20" s="84">
        <f t="shared" si="8"/>
        <v>120</v>
      </c>
      <c r="J20" s="86">
        <f t="shared" si="3"/>
        <v>-5520</v>
      </c>
    </row>
    <row r="21" spans="1:10" x14ac:dyDescent="0.25">
      <c r="A21" s="87">
        <v>44110.083333333336</v>
      </c>
      <c r="C21" s="84">
        <v>2</v>
      </c>
      <c r="D21" s="84">
        <v>0</v>
      </c>
      <c r="E21" s="171">
        <f t="shared" si="7"/>
        <v>2</v>
      </c>
      <c r="F21" s="86">
        <f t="shared" si="4"/>
        <v>1</v>
      </c>
      <c r="G21" s="86">
        <f t="shared" si="5"/>
        <v>0</v>
      </c>
      <c r="H21" s="86">
        <f t="shared" si="6"/>
        <v>1</v>
      </c>
      <c r="I21" s="84">
        <f t="shared" si="8"/>
        <v>240</v>
      </c>
      <c r="J21" s="86">
        <f t="shared" ref="J21:J27" si="9">I21-I20</f>
        <v>120</v>
      </c>
    </row>
    <row r="22" spans="1:10" x14ac:dyDescent="0.25">
      <c r="A22" s="87">
        <v>44111.107638888891</v>
      </c>
      <c r="C22" s="84">
        <v>3</v>
      </c>
      <c r="D22" s="84">
        <v>0</v>
      </c>
      <c r="E22" s="171">
        <f t="shared" si="7"/>
        <v>3</v>
      </c>
      <c r="F22" s="86">
        <f t="shared" si="4"/>
        <v>1</v>
      </c>
      <c r="G22" s="86">
        <f t="shared" si="5"/>
        <v>0</v>
      </c>
      <c r="H22" s="86">
        <f t="shared" si="6"/>
        <v>1</v>
      </c>
      <c r="I22" s="84">
        <f t="shared" si="8"/>
        <v>360</v>
      </c>
      <c r="J22" s="86">
        <f t="shared" si="9"/>
        <v>120</v>
      </c>
    </row>
    <row r="23" spans="1:10" x14ac:dyDescent="0.25">
      <c r="A23" s="87">
        <v>44112.307638888888</v>
      </c>
      <c r="C23" s="84">
        <v>4</v>
      </c>
      <c r="D23" s="84">
        <v>0</v>
      </c>
      <c r="E23" s="171">
        <f t="shared" si="7"/>
        <v>4</v>
      </c>
      <c r="F23" s="86">
        <f t="shared" ref="F23" si="10">C23-C22</f>
        <v>1</v>
      </c>
      <c r="G23" s="86">
        <f t="shared" ref="G23" si="11">D23-D22</f>
        <v>0</v>
      </c>
      <c r="H23" s="86">
        <f t="shared" ref="H23" si="12">E23-E22</f>
        <v>1</v>
      </c>
      <c r="I23" s="84">
        <f t="shared" si="8"/>
        <v>480</v>
      </c>
      <c r="J23" s="86">
        <f t="shared" si="9"/>
        <v>120</v>
      </c>
    </row>
    <row r="24" spans="1:10" x14ac:dyDescent="0.25">
      <c r="A24" s="87">
        <v>44113.241666666669</v>
      </c>
      <c r="C24" s="84">
        <v>5</v>
      </c>
      <c r="D24" s="84">
        <v>0</v>
      </c>
      <c r="E24" s="171">
        <f t="shared" ref="E24:E27" si="13">C24+D24*10</f>
        <v>5</v>
      </c>
      <c r="F24" s="86">
        <f t="shared" ref="F24" si="14">C24-C23</f>
        <v>1</v>
      </c>
      <c r="G24" s="86">
        <f t="shared" ref="G24" si="15">D24-D23</f>
        <v>0</v>
      </c>
      <c r="H24" s="86">
        <f t="shared" ref="H24" si="16">E24-E23</f>
        <v>1</v>
      </c>
      <c r="I24" s="84">
        <f t="shared" ref="I24:I27" si="17">E24*120</f>
        <v>600</v>
      </c>
      <c r="J24" s="86">
        <f t="shared" si="9"/>
        <v>120</v>
      </c>
    </row>
    <row r="25" spans="1:10" x14ac:dyDescent="0.25">
      <c r="A25" s="87">
        <v>44114.061805555553</v>
      </c>
      <c r="C25" s="84">
        <v>6</v>
      </c>
      <c r="D25" s="84">
        <v>0</v>
      </c>
      <c r="E25" s="171">
        <f t="shared" si="13"/>
        <v>6</v>
      </c>
      <c r="F25" s="86">
        <f t="shared" ref="F25" si="18">C25-C24</f>
        <v>1</v>
      </c>
      <c r="G25" s="86">
        <f t="shared" ref="G25" si="19">D25-D24</f>
        <v>0</v>
      </c>
      <c r="H25" s="86">
        <f t="shared" ref="H25" si="20">E25-E24</f>
        <v>1</v>
      </c>
      <c r="I25" s="84">
        <f t="shared" si="17"/>
        <v>720</v>
      </c>
      <c r="J25" s="86">
        <f t="shared" si="9"/>
        <v>120</v>
      </c>
    </row>
    <row r="26" spans="1:10" x14ac:dyDescent="0.25">
      <c r="A26" s="87">
        <v>44116.091666666667</v>
      </c>
      <c r="C26" s="84">
        <v>8</v>
      </c>
      <c r="D26" s="84">
        <v>0</v>
      </c>
      <c r="E26" s="171">
        <f t="shared" si="13"/>
        <v>8</v>
      </c>
      <c r="F26" s="86">
        <f t="shared" ref="F26" si="21">C26-C25</f>
        <v>2</v>
      </c>
      <c r="G26" s="86">
        <f t="shared" ref="G26" si="22">D26-D25</f>
        <v>0</v>
      </c>
      <c r="H26" s="86">
        <f t="shared" ref="H26" si="23">E26-E25</f>
        <v>2</v>
      </c>
      <c r="I26" s="84">
        <f t="shared" si="17"/>
        <v>960</v>
      </c>
      <c r="J26" s="86">
        <f t="shared" si="9"/>
        <v>240</v>
      </c>
    </row>
    <row r="27" spans="1:10" x14ac:dyDescent="0.25">
      <c r="A27" s="87">
        <v>44119.147222222222</v>
      </c>
      <c r="C27" s="84">
        <v>12</v>
      </c>
      <c r="D27" s="84">
        <v>0</v>
      </c>
      <c r="E27" s="171">
        <f t="shared" si="13"/>
        <v>12</v>
      </c>
      <c r="F27" s="86">
        <f t="shared" ref="F27" si="24">C27-C26</f>
        <v>4</v>
      </c>
      <c r="G27" s="86">
        <f t="shared" ref="G27" si="25">D27-D26</f>
        <v>0</v>
      </c>
      <c r="H27" s="86">
        <f t="shared" ref="H27" si="26">E27-E26</f>
        <v>4</v>
      </c>
      <c r="I27" s="84">
        <f t="shared" si="17"/>
        <v>1440</v>
      </c>
      <c r="J27" s="86">
        <f t="shared" si="9"/>
        <v>480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7"/>
  <sheetViews>
    <sheetView topLeftCell="A16" workbookViewId="0">
      <selection activeCell="G21" sqref="G21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3" t="s">
        <v>129</v>
      </c>
      <c r="F1" s="351" t="s">
        <v>128</v>
      </c>
      <c r="G1" s="351"/>
      <c r="H1" s="351" t="s">
        <v>128</v>
      </c>
      <c r="I1" s="353"/>
      <c r="K1" s="399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4"/>
      <c r="B2" s="354"/>
      <c r="C2" s="354"/>
      <c r="D2" s="354"/>
      <c r="E2" s="355">
        <f>SUM(E4:E1048576)</f>
        <v>7355</v>
      </c>
      <c r="F2" s="356">
        <f ca="1">E2/(NOW()-$A$4)</f>
        <v>27.635007850620777</v>
      </c>
      <c r="G2" s="356"/>
      <c r="H2" s="356">
        <f>AVERAGE(H4:H1048576)</f>
        <v>27.3531881617408</v>
      </c>
      <c r="I2" s="357"/>
      <c r="K2" s="399"/>
      <c r="L2" s="128">
        <v>37</v>
      </c>
      <c r="M2" s="128">
        <v>1</v>
      </c>
      <c r="N2" s="128">
        <v>4915</v>
      </c>
      <c r="O2" s="128">
        <v>115260</v>
      </c>
      <c r="P2" s="106">
        <v>11</v>
      </c>
    </row>
    <row r="3" spans="1:16" s="104" customFormat="1" ht="17.100000000000001" customHeight="1" x14ac:dyDescent="0.25">
      <c r="A3" s="352" t="s">
        <v>118</v>
      </c>
      <c r="B3" s="352" t="s">
        <v>120</v>
      </c>
      <c r="C3" s="349" t="s">
        <v>117</v>
      </c>
      <c r="D3" s="349" t="s">
        <v>158</v>
      </c>
      <c r="E3" s="353" t="s">
        <v>119</v>
      </c>
      <c r="F3" s="351" t="s">
        <v>128</v>
      </c>
      <c r="G3" s="349" t="s">
        <v>159</v>
      </c>
      <c r="H3" s="351" t="s">
        <v>128</v>
      </c>
      <c r="I3" s="353" t="s">
        <v>283</v>
      </c>
      <c r="K3" s="423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3"/>
      <c r="L4" s="103">
        <v>0</v>
      </c>
      <c r="M4" s="103">
        <v>0</v>
      </c>
      <c r="N4" s="103">
        <v>3715</v>
      </c>
      <c r="O4" s="103">
        <v>90060</v>
      </c>
      <c r="P4" s="123">
        <v>12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256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4.6875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7" si="3">E22/(B22-A22)</f>
        <v>43.4</v>
      </c>
      <c r="G22" s="80">
        <f t="shared" ref="G22:G27" si="4">E22/D22</f>
        <v>54.25</v>
      </c>
      <c r="H22" s="80">
        <f t="shared" ref="H22:H27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4" t="str">
        <f>B1&amp; "日"</f>
        <v>1日</v>
      </c>
      <c r="G1" s="425"/>
      <c r="H1" s="425"/>
      <c r="I1" s="424" t="str">
        <f>C1 &amp; "日"</f>
        <v>7日</v>
      </c>
      <c r="J1" s="425"/>
      <c r="K1" s="425"/>
      <c r="L1" s="424" t="s">
        <v>60</v>
      </c>
      <c r="M1" s="425"/>
      <c r="N1" s="425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-369 D 23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-372 D 14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-381 D 08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-386 D 20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-373 D 10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-167 D 19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-265 D 19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-318 D 12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-334 D 19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-354 D 08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-366 D 08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-390 D 22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-370 D 00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-375 D 16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-380 D 01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-386 D 21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-388 D 19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-383 D 13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-357 D 19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-346 D 19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-363 D 00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-362 D 02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-372 D 23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-364 D 15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-368 D 15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-369 D 00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-364 D 10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-365 D 17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-377 D 08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-365 D 00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-366 D 07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-376 D 16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-367 D 05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-366 D 11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-376 D 06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-367 D 08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-366 D 18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-356 D 17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-367 D 14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-367 D 08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-355 D 13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-368 D 09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-364 D 15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-362 D 10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-368 D 17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-367 D 04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-369 D 14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-369 D 00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-368 D 00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-376 D 04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-369 D 07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-368 D 09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-381 D 03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-369 D 19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-369 D 10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-372 D 00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-368 D 17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-366 D 12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-372 D 16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-367 D 14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-367 D 05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-358 D 11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-367 D 09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-368 D 12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-357 D 13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-366 D 15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-365 D 18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-354 D 15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-365 D 15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-365 D 23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-343 D 02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-365 D 13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-366 D 05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-346 D 11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-365 D 03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-366 D 10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-352 D 09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-365 D 07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-366 D 23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-358 D 13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-365 D 10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-367 D 12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-350 D 22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-366 D 19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-365 D 16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-367 D 10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-366 D 20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-366 D 13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-367 D 12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-366 D 22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-366 D 22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-352 D 04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-366 D 08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-365 D 14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-360 D 15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-366 D 20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-366 D 19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-378 D 02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-368 D 01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-368 D 22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-377 D 12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-368 D 05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-368 D 01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-381 D 14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-369 D 00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-368 D 21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-386 D 15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-369 D 17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-370 D 09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-389 D 07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-371 D 02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-371 D 07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-390 D 14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-372 D 01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-371 D 12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-397 D 19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-373 D 13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-372 D 01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-397 D 22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-374 D 13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-372 D 13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-398 D 04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-375 D 13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-372 D 19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-398 D 23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-376 D 09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-373 D 09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-399 D 09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-377 D 09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-373 D 16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-397 D 23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-377 D 22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-373 D 17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-398 D 02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-378 D 21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-374 D 01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-398 D 07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-379 D 09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-374 D 06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-393 D 06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-379 D 11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-373 D 13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-390 D 21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-379 D 19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-373 D 19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-390 D 04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-380 D 02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-374 D 02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-384 D 15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-381 D 00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-374 D 16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-387 D 11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-381 D 10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-375 D 05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-389 D 12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-382 D 02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-375 D 19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-392 D 12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-382 D 22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-376 D 06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-398 D 15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-384 D 14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-376 D 19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-402 D 03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-386 D 06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-378 D 02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-401 D 19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-387 D 08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-378 D 12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-400 D 11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-387 D 20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-378 D 18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-400 D 07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-388 D 08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-379 D 01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-400 D 05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-389 D 08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-379 D 03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-400 D 05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-389 D 16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-379 D 07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-396 D 22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-389 D 21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-379 D 10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-390 D 13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-391 D 22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-379 D 20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-390 D 08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-392 D 15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-380 D 01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-389 D 21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-392 D 18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-380 D 02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-390 D 07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-393 D 13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-380 D 06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-388 D 02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-395 D 00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-380 D 06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-388 D 05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-394 D 23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-380 D 21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-389 D 17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-394 D 20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-381 D 04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-390 D 20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-395 D 05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-381 D 13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-395 D 13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-395 D 07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-382 D 04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-395 D 17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-395 D 05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-382 D 07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-386 D 01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-394 D 17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-381 D 10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-384 D 00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-394 D 11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-381 D 15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-382 D 09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-394 D 10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-382 D 07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-394 D 08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-394 D 08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-383 D 09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-396 D 19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-394 D 08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-383 D 12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-400 D 04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-394 D 05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-384 D 02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-399 D 13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-394 D 06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-384 D 06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-399 D 08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-394 D 08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-384 D 09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-399 D 12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-394 D 10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-384 D 15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-399 D 15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-394 D 12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-384 D 17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-386 D 05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-393 D 14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-383 D 14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-362 D 22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-392 D 20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-383 D 16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-366 D 11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-392 D 15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-383 D 23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-371 D 09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-392 D 13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-384 D 02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-380 D 11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-392 D 07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-384 D 06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-394 D 12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-392 D 04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-384 D 12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-395 D 01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-392 D 04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-384 D 15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-395 D 10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-392 D 03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-384 D 17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-396 D 20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-392 D 06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-385 D 01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-397 D 09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-392 D 11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-385 D 06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-393 D 10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-392 D 03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-384 D 17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-386 D 23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-392 D 01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-384 D 19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-383 D 17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-391 D 22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-384 D 18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-383 D 19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-391 D 20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-384 D 19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-347 D 04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-390 D 13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-383 D 11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-368 D 17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-390 D 09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-384 D 08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-400 D 19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-390 D 09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-385 D 23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-332 D 16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-385 D 15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-383 D 23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-341 D 10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-383 D 18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-383 D 12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-346 D 21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-383 D 01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-383 D 13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-379 D 15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-382 D 14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-383 D 14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-389 D 10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-382 D 00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-384 D 03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-384 D 21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-380 D 22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-383 D 18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-383 D 01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-381 D 16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-384 D 03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-385 D 13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-382 D 08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-384 D 06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-388 D 04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-382 D 18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-384 D 01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-387 D 17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-383 D 21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-384 D 11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-388 D 04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-383 D 07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-384 D 07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-389 D 00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-383 D 23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-384 D 14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-385 D 03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-384 D 06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-384 D 11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-387 D 21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-384 D 19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-384 D 16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-389 D 00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-387 D 19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-385 D 05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-388 D 14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-387 D 20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-385 D 05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-387 D 17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-387 D 17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-385 D 03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-386 D 07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-387 D 10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-385 D 07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-385 D 12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-386 D 19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-385 D 04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-385 D 15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-386 D 18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-385 D 06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-386 D 09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-386 D 16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-385 D 09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-387 D 03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-386 D 16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-385 D 10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-380 D 14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-386 D 04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-385 D 01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-380 D 11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-385 D 17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-385 D 02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-380 D 14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-385 D 11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-385 D 01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-382 D 01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-385 D 10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-385 D 02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-385 D 18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-385 D 10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-385 D 04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-386 D 06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-385 D 12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-385 D 06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-386 D 23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-385 D 13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-385 D 07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-384 D 14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-385 D 05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-384 D 23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-389 D 14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-385 D 06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-385 D 09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-389 D 01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-385 D 08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-385 D 08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-387 D 02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-385 D 06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-385 D 05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-386 D 20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-385 D 08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-385 D 07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-385 D 10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-385 D 15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-385 D 12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-388 D 15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-385 D 22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-385 D 16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-389 D 09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-386 D 01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-385 D 16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-388 D 07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-386 D 00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-385 D 13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-388 D 23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-386 D 02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-385 D 14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-387 D 17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-386 D 04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-385 D 15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-386 D 19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-386 D 07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-385 D 18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-387 D 08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-386 D 14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-385 D 21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-389 D 02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-386 D 18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-385 D 21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-386 D 02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-386 D 18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-385 D 19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-386 D 06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-386 D 20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-385 D 20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-387 D 00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-387 D 04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-386 D 01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-387 D 07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-387 D 06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-386 D 00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-388 D 11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-387 D 08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-386 D 02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-387 D 21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-387 D 13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-386 D 02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-387 D 04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-387 D 15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-386 D 04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-385 D 19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-387 D 16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-386 D 03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-386 D 05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-387 D 16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-386 D 04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-386 D 10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-387 D 19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-386 D 05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-386 D 11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-387 D 17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-386 D 05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-386 D 19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-387 D 19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-386 D 07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-386 D 23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-387 D 19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-386 D 07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-387 D 00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-387 D 18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-386 D 07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-385 D 20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-387 D 13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-386 D 05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-387 D 01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-387 D 16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-386 D 10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-388 D 15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-387 D 20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-386 D 14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-388 D 09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-387 D 18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-386 D 12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-388 D 11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-387 D 19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-386 D 14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-389 D 11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-387 D 20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-386 D 17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-389 D 16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-387 D 21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-386 D 18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-389 D 17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-388 D 01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-386 D 22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-390 D 05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-388 D 04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-387 D 00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-387 D 03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-387 D 20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-386 D 15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-383 D 22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-387 D 19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-386 D 16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-383 D 19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-387 D 20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-386 D 18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-384 D 13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-387 D 21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-386 D 19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-385 D 04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-387 D 21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-386 D 19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-384 D 09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-387 D 15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-386 D 13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-385 D 19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-387 D 14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-386 D 15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-383 D 04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-387 D 10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-386 D 12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-383 D 22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-387 D 10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-386 D 13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-384 D 16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-387 D 09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-386 D 15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-385 D 08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-387 D 09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-386 D 16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-385 D 18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-387 D 09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-386 D 16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-386 D 12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-387 D 11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-386 D 18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-388 D 08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-387 D 11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-386 D 19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-387 D 01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-387 D 04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-386 D 12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-386 D 18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-387 D 05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-386 D 14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-387 D 14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-387 D 11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-386 D 22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-388 D 01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-387 D 09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-386 D 21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-388 D 06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-387 D 11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-386 D 23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-389 D 03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-387 D 13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-387 D 00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-389 D 04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-387 D 15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-387 D 02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-389 D 07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-387 D 16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-387 D 04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-389 D 14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-387 D 20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-387 D 07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-389 D 18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-387 D 23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-387 D 10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-390 D 06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-388 D 04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-387 D 14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-390 D 08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-388 D 06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-387 D 16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-390 D 09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-388 D 08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-387 D 17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-390 D 19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-388 D 15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-388 D 00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-390 D 17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-388 D 17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-388 D 01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-391 D 09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-389 D 11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-388 D 21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-391 D 13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-389 D 16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-389 D 01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-391 D 14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-389 D 20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-389 D 04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-391 D 14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-390 D 00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-389 D 07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-391 D 14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-390 D 05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-389 D 13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-391 D 14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-390 D 07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-389 D 14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-391 D 03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-390 D 12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-389 D 22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30">
        <v>43677.583333333336</v>
      </c>
      <c r="C1" s="430"/>
      <c r="D1" s="28" t="s">
        <v>40</v>
      </c>
      <c r="E1" s="26" t="s">
        <v>32</v>
      </c>
      <c r="F1" s="26" t="s">
        <v>24</v>
      </c>
      <c r="G1" s="393" t="s">
        <v>25</v>
      </c>
      <c r="H1" s="393"/>
      <c r="I1" s="393"/>
      <c r="J1" s="393"/>
      <c r="K1" s="6"/>
      <c r="L1" s="25" t="s">
        <v>27</v>
      </c>
      <c r="M1" s="25"/>
      <c r="N1" s="399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30">
        <v>43688.583333333336</v>
      </c>
      <c r="C2" s="430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9" t="str">
        <f ca="1">IF(NOW() &gt; $B$2,"",(NOW()-$B$1)/($B$2-$B$1))</f>
        <v/>
      </c>
      <c r="H2" s="429"/>
      <c r="I2" s="429"/>
      <c r="J2" s="429"/>
      <c r="K2" s="6" t="s">
        <v>29</v>
      </c>
      <c r="L2" s="11">
        <v>100000</v>
      </c>
      <c r="N2" s="399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9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9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6" t="s">
        <v>26</v>
      </c>
      <c r="C5" s="426"/>
      <c r="D5" s="427" t="s">
        <v>44</v>
      </c>
      <c r="E5" s="427"/>
      <c r="F5" s="427" t="s">
        <v>28</v>
      </c>
      <c r="G5" s="427"/>
      <c r="H5" s="427" t="s">
        <v>31</v>
      </c>
      <c r="I5" s="427"/>
      <c r="J5" s="393" t="s">
        <v>42</v>
      </c>
      <c r="K5" s="393"/>
      <c r="L5" s="428" t="s">
        <v>43</v>
      </c>
      <c r="M5" s="428"/>
      <c r="N5" s="393" t="s">
        <v>41</v>
      </c>
      <c r="O5" s="393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3" t="s">
        <v>63</v>
      </c>
      <c r="D1" s="432">
        <f>INDEX(DATA_EVTBLD,B1,3)-B3</f>
        <v>105</v>
      </c>
      <c r="E1" s="431" t="s">
        <v>12</v>
      </c>
      <c r="F1" s="434">
        <f>1-(INDEX(DATA_EVTBLD,B1,3)-B3)/DATA_EVTBLD_MAX</f>
        <v>0.98656601842374614</v>
      </c>
      <c r="G1" s="434"/>
      <c r="H1" s="434"/>
      <c r="I1" s="434"/>
      <c r="J1" s="434"/>
      <c r="K1" s="434"/>
      <c r="L1" s="434"/>
    </row>
    <row r="2" spans="1:12" ht="14.65" customHeight="1" x14ac:dyDescent="0.25">
      <c r="A2" s="59" t="s">
        <v>79</v>
      </c>
      <c r="B2" s="65">
        <v>30</v>
      </c>
      <c r="C2" s="433"/>
      <c r="D2" s="432"/>
      <c r="E2" s="431"/>
      <c r="F2" s="434"/>
      <c r="G2" s="434"/>
      <c r="H2" s="434"/>
      <c r="I2" s="434"/>
      <c r="J2" s="434"/>
      <c r="K2" s="434"/>
      <c r="L2" s="434"/>
    </row>
    <row r="3" spans="1:12" ht="14.65" customHeight="1" x14ac:dyDescent="0.25">
      <c r="A3" s="59" t="s">
        <v>62</v>
      </c>
      <c r="B3" s="65">
        <v>895</v>
      </c>
      <c r="C3" s="433"/>
      <c r="D3" s="432"/>
      <c r="E3" s="431"/>
      <c r="F3" s="434"/>
      <c r="G3" s="434"/>
      <c r="H3" s="434"/>
      <c r="I3" s="434"/>
      <c r="J3" s="434"/>
      <c r="K3" s="434"/>
      <c r="L3" s="434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2020-10-15T08:33:01Z</dcterms:modified>
</cp:coreProperties>
</file>