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887481CF-5A1E-4E88-9E4B-2C6D2078E55A}" xr6:coauthVersionLast="45" xr6:coauthVersionMax="45" xr10:uidLastSave="{00000000-0000-0000-0000-000000000000}"/>
  <bookViews>
    <workbookView xWindow="4785" yWindow="2865" windowWidth="21600" windowHeight="11385" activeTab="3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40" l="1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149" i="25"/>
  <c r="F127" i="25"/>
  <c r="H7" i="28"/>
  <c r="F107" i="25"/>
  <c r="F209" i="25"/>
  <c r="I87" i="25"/>
  <c r="F110" i="25"/>
  <c r="I53" i="25"/>
  <c r="I83" i="25"/>
  <c r="I96" i="25"/>
  <c r="I153" i="25"/>
  <c r="I178" i="25"/>
  <c r="I136" i="25"/>
  <c r="F103" i="25"/>
  <c r="F76" i="25"/>
  <c r="F184" i="25"/>
  <c r="F159" i="25"/>
  <c r="I33" i="25"/>
  <c r="I43" i="25"/>
  <c r="F156" i="25"/>
  <c r="F13" i="25"/>
  <c r="I154" i="25"/>
  <c r="I63" i="25"/>
  <c r="E7" i="28"/>
  <c r="F136" i="25"/>
  <c r="I57" i="25"/>
  <c r="F128" i="25"/>
  <c r="F162" i="25"/>
  <c r="F51" i="25"/>
  <c r="F16" i="25"/>
  <c r="D9" i="28"/>
  <c r="I185" i="25"/>
  <c r="I219" i="25"/>
  <c r="F139" i="25"/>
  <c r="F194" i="25"/>
  <c r="F82" i="25"/>
  <c r="I41" i="25"/>
  <c r="F61" i="25"/>
  <c r="I134" i="25"/>
  <c r="I162" i="25"/>
  <c r="F200" i="25"/>
  <c r="I163" i="25"/>
  <c r="F169" i="25"/>
  <c r="I97" i="25"/>
  <c r="I180" i="25"/>
  <c r="I109" i="25"/>
  <c r="F193" i="25"/>
  <c r="I77" i="25"/>
  <c r="F131" i="25"/>
  <c r="F174" i="25"/>
  <c r="I23" i="25"/>
  <c r="I62" i="25"/>
  <c r="I38" i="25"/>
  <c r="F197" i="25"/>
  <c r="F116" i="25"/>
  <c r="I11" i="25"/>
  <c r="F191" i="25"/>
  <c r="I152" i="25"/>
  <c r="F86" i="25"/>
  <c r="F158" i="25"/>
  <c r="I18" i="25"/>
  <c r="I32" i="25"/>
  <c r="I82" i="25"/>
  <c r="F8" i="25"/>
  <c r="I174" i="25"/>
  <c r="I108" i="25"/>
  <c r="F77" i="25"/>
  <c r="I168" i="25"/>
  <c r="I28" i="25"/>
  <c r="I120" i="25"/>
  <c r="F63" i="25"/>
  <c r="F204" i="25"/>
  <c r="F64" i="25"/>
  <c r="F151" i="25"/>
  <c r="I192" i="25"/>
  <c r="I117" i="25"/>
  <c r="I130" i="25"/>
  <c r="F205" i="25"/>
  <c r="I164" i="25"/>
  <c r="F113" i="25"/>
  <c r="I139" i="25"/>
  <c r="F28" i="25"/>
  <c r="F142" i="25"/>
  <c r="I42" i="25"/>
  <c r="F31" i="25"/>
  <c r="I81" i="25"/>
  <c r="I186" i="25"/>
  <c r="I88" i="25"/>
  <c r="H9" i="28"/>
  <c r="I173" i="25"/>
  <c r="I144" i="25"/>
  <c r="F26" i="25"/>
  <c r="F176" i="25"/>
  <c r="F14" i="25"/>
  <c r="I54" i="25"/>
  <c r="I91" i="25"/>
  <c r="F129" i="25"/>
  <c r="F35" i="25"/>
  <c r="I213" i="25"/>
  <c r="F30" i="25"/>
  <c r="F58" i="25"/>
  <c r="I72" i="25"/>
  <c r="F134" i="25"/>
  <c r="I46" i="25"/>
  <c r="I78" i="25"/>
  <c r="F168" i="25"/>
  <c r="F201" i="25"/>
  <c r="I169" i="25"/>
  <c r="I56" i="25"/>
  <c r="I181" i="25"/>
  <c r="F186" i="25"/>
  <c r="F37" i="25"/>
  <c r="I113" i="25"/>
  <c r="F18" i="25"/>
  <c r="F202" i="25"/>
  <c r="F23" i="25"/>
  <c r="I170" i="25"/>
  <c r="F102" i="25"/>
  <c r="F98" i="25"/>
  <c r="I47" i="25"/>
  <c r="F161" i="25"/>
  <c r="I20" i="25"/>
  <c r="F208" i="25"/>
  <c r="F138" i="25"/>
  <c r="I121" i="25"/>
  <c r="F65" i="25"/>
  <c r="I73" i="25"/>
  <c r="I22" i="25"/>
  <c r="I15" i="25"/>
  <c r="F222" i="25"/>
  <c r="I158" i="25"/>
  <c r="I93" i="25"/>
  <c r="F212" i="25"/>
  <c r="F145" i="25"/>
  <c r="F123" i="25"/>
  <c r="F154" i="25"/>
  <c r="I90" i="25"/>
  <c r="F126" i="25"/>
  <c r="F164" i="25"/>
  <c r="D7" i="28"/>
  <c r="F122" i="25"/>
  <c r="I182" i="25"/>
  <c r="I29" i="25"/>
  <c r="F140" i="25"/>
  <c r="I106" i="25"/>
  <c r="I156" i="25"/>
  <c r="I36" i="25"/>
  <c r="I191" i="25"/>
  <c r="I44" i="25"/>
  <c r="I17" i="25"/>
  <c r="I65" i="25"/>
  <c r="F117" i="25"/>
  <c r="I80" i="25"/>
  <c r="F187" i="25"/>
  <c r="F41" i="25"/>
  <c r="F157" i="25"/>
  <c r="F185" i="25"/>
  <c r="F163" i="25"/>
  <c r="F71" i="25"/>
  <c r="I21" i="25"/>
  <c r="I150" i="25"/>
  <c r="I157" i="25"/>
  <c r="I98" i="25"/>
  <c r="I133" i="25"/>
  <c r="F85" i="25"/>
  <c r="I110" i="25"/>
  <c r="F89" i="25"/>
  <c r="I86" i="25"/>
  <c r="F11" i="25"/>
  <c r="I177" i="25"/>
  <c r="F181" i="25"/>
  <c r="F132" i="25"/>
  <c r="F6" i="25"/>
  <c r="I94" i="25"/>
  <c r="F12" i="25"/>
  <c r="F22" i="25"/>
  <c r="F52" i="25"/>
  <c r="I118" i="25"/>
  <c r="I5" i="25"/>
  <c r="F24" i="25"/>
  <c r="F25" i="25"/>
  <c r="F105" i="25"/>
  <c r="I69" i="25"/>
  <c r="I214" i="25"/>
  <c r="I199" i="25"/>
  <c r="I7" i="28"/>
  <c r="F178" i="25"/>
  <c r="I116" i="25"/>
  <c r="F96" i="25"/>
  <c r="I19" i="25"/>
  <c r="I132" i="25"/>
  <c r="F160" i="25"/>
  <c r="F19" i="25"/>
  <c r="F34" i="25"/>
  <c r="I160" i="25"/>
  <c r="F146" i="25"/>
  <c r="F74" i="25"/>
  <c r="F211" i="25"/>
  <c r="I201" i="25"/>
  <c r="F109" i="25"/>
  <c r="F175" i="25"/>
  <c r="I9" i="28"/>
  <c r="F62" i="25"/>
  <c r="I66" i="25"/>
  <c r="I212" i="25"/>
  <c r="I125" i="25"/>
  <c r="F40" i="25"/>
  <c r="I138" i="25"/>
  <c r="F38" i="25"/>
  <c r="I30" i="25"/>
  <c r="F170" i="25"/>
  <c r="I100" i="25"/>
  <c r="F210" i="25"/>
  <c r="I131" i="25"/>
  <c r="F69" i="25"/>
  <c r="I148" i="25"/>
  <c r="I197" i="25"/>
  <c r="F220" i="25"/>
  <c r="F180" i="25"/>
  <c r="F47" i="25"/>
  <c r="I207" i="25"/>
  <c r="F57" i="25"/>
  <c r="F4" i="25"/>
  <c r="F54" i="25"/>
  <c r="I183" i="25"/>
  <c r="F92" i="25"/>
  <c r="I89" i="25"/>
  <c r="I187" i="25"/>
  <c r="I172" i="25"/>
  <c r="I7" i="25"/>
  <c r="I176" i="25"/>
  <c r="I49" i="25"/>
  <c r="F53" i="25"/>
  <c r="I16" i="25"/>
  <c r="I128" i="25"/>
  <c r="I92" i="25"/>
  <c r="I198" i="25"/>
  <c r="F115" i="25"/>
  <c r="I171" i="25"/>
  <c r="I59" i="25"/>
  <c r="I188" i="25"/>
  <c r="I101" i="25"/>
  <c r="F188" i="25"/>
  <c r="F101" i="25"/>
  <c r="F216" i="25"/>
  <c r="F39" i="25"/>
  <c r="I216" i="25"/>
  <c r="I107" i="25"/>
  <c r="F171" i="25"/>
  <c r="I124" i="25"/>
  <c r="I196" i="25"/>
  <c r="F190" i="25"/>
  <c r="I64" i="25"/>
  <c r="I75" i="25"/>
  <c r="I165" i="25"/>
  <c r="F199" i="25"/>
  <c r="I31" i="25"/>
  <c r="I200" i="25"/>
  <c r="I9" i="25"/>
  <c r="F67" i="25"/>
  <c r="F114" i="25"/>
  <c r="I105" i="25"/>
  <c r="I24" i="25"/>
  <c r="I211" i="25"/>
  <c r="I209" i="25"/>
  <c r="I79" i="25"/>
  <c r="F87" i="25"/>
  <c r="F44" i="25"/>
  <c r="F182" i="25"/>
  <c r="F27" i="25"/>
  <c r="I195" i="25"/>
  <c r="F70" i="25"/>
  <c r="I119" i="25"/>
  <c r="F10" i="25"/>
  <c r="F97" i="25"/>
  <c r="F55" i="25"/>
  <c r="F207" i="25"/>
  <c r="I123" i="25"/>
  <c r="F80" i="25"/>
  <c r="I51" i="25"/>
  <c r="I210" i="25"/>
  <c r="I135" i="25"/>
  <c r="F21" i="25"/>
  <c r="F213" i="25"/>
  <c r="F17" i="25"/>
  <c r="F42" i="25"/>
  <c r="I161" i="25"/>
  <c r="F192" i="25"/>
  <c r="F112" i="25"/>
  <c r="I184" i="25"/>
  <c r="F135" i="25"/>
  <c r="I142" i="25"/>
  <c r="I3" i="25"/>
  <c r="I112" i="25"/>
  <c r="I143" i="25"/>
  <c r="I141" i="25"/>
  <c r="F45" i="25"/>
  <c r="F183" i="25"/>
  <c r="F111" i="25"/>
  <c r="I71" i="25"/>
  <c r="I194" i="25"/>
  <c r="I14" i="25"/>
  <c r="F120" i="25"/>
  <c r="I37" i="25"/>
  <c r="F68" i="25"/>
  <c r="I127" i="25"/>
  <c r="I221" i="25"/>
  <c r="F99" i="25"/>
  <c r="F125" i="25"/>
  <c r="I126" i="25"/>
  <c r="F36" i="25"/>
  <c r="I122" i="25"/>
  <c r="F84" i="25"/>
  <c r="F215" i="25"/>
  <c r="F56" i="25"/>
  <c r="F137" i="25"/>
  <c r="F104" i="25"/>
  <c r="E8" i="28"/>
  <c r="I60" i="25"/>
  <c r="F150" i="25"/>
  <c r="I39" i="25"/>
  <c r="I129" i="25"/>
  <c r="I179" i="25"/>
  <c r="I25" i="25"/>
  <c r="F20" i="25"/>
  <c r="I147" i="25"/>
  <c r="I140" i="25"/>
  <c r="F124" i="25"/>
  <c r="I68" i="25"/>
  <c r="F79" i="25"/>
  <c r="F66" i="25"/>
  <c r="F7" i="25"/>
  <c r="I34" i="25"/>
  <c r="I61" i="25"/>
  <c r="F72" i="25"/>
  <c r="I167" i="25"/>
  <c r="F214" i="25"/>
  <c r="I27" i="25"/>
  <c r="F49" i="25"/>
  <c r="F81" i="25"/>
  <c r="I95" i="25"/>
  <c r="I208" i="25"/>
  <c r="I205" i="25"/>
  <c r="F95" i="25"/>
  <c r="F9" i="25"/>
  <c r="F165" i="25"/>
  <c r="I52" i="25"/>
  <c r="I26" i="25"/>
  <c r="E9" i="28"/>
  <c r="F29" i="25"/>
  <c r="F206" i="25"/>
  <c r="F90" i="25"/>
  <c r="F15" i="25"/>
  <c r="F179" i="25"/>
  <c r="I203" i="25"/>
  <c r="I220" i="25"/>
  <c r="F5" i="25"/>
  <c r="H8" i="28"/>
  <c r="I45" i="25"/>
  <c r="F177" i="25"/>
  <c r="F189" i="25"/>
  <c r="F3" i="25"/>
  <c r="I190" i="25"/>
  <c r="I50" i="25"/>
  <c r="F78" i="25"/>
  <c r="I74" i="25"/>
  <c r="F75" i="25"/>
  <c r="F221" i="25"/>
  <c r="I137" i="25"/>
  <c r="F46" i="25"/>
  <c r="I12" i="25"/>
  <c r="I115" i="25"/>
  <c r="I84" i="25"/>
  <c r="D8" i="28"/>
  <c r="I202" i="25"/>
  <c r="F217" i="25"/>
  <c r="F91" i="25"/>
  <c r="F144" i="25"/>
  <c r="I6" i="25"/>
  <c r="F118" i="25"/>
  <c r="I8" i="25"/>
  <c r="I76" i="25"/>
  <c r="F198" i="25"/>
  <c r="F167" i="25"/>
  <c r="F153" i="25"/>
  <c r="I166" i="25"/>
  <c r="F166" i="25"/>
  <c r="I204" i="25"/>
  <c r="I155" i="25"/>
  <c r="F108" i="25"/>
  <c r="I4" i="25"/>
  <c r="F219" i="25"/>
  <c r="F148" i="25"/>
  <c r="F100" i="25"/>
  <c r="I40" i="25"/>
  <c r="F147" i="25"/>
  <c r="I13" i="25"/>
  <c r="I193" i="25"/>
  <c r="F172" i="25"/>
  <c r="F155" i="25"/>
  <c r="F48" i="25"/>
  <c r="I215" i="25"/>
  <c r="F173" i="25"/>
  <c r="F50" i="25"/>
  <c r="I67" i="25"/>
  <c r="I8" i="28"/>
  <c r="F141" i="25"/>
  <c r="I85" i="25"/>
  <c r="F119" i="25"/>
  <c r="I10" i="25"/>
  <c r="I58" i="25"/>
  <c r="I222" i="25"/>
  <c r="F152" i="25"/>
  <c r="I111" i="25"/>
  <c r="F133" i="25"/>
  <c r="I217" i="25"/>
  <c r="F106" i="25"/>
  <c r="F33" i="25"/>
  <c r="I55" i="25"/>
  <c r="I70" i="25"/>
  <c r="I151" i="25"/>
  <c r="F195" i="25"/>
  <c r="F93" i="25"/>
  <c r="F203" i="25"/>
  <c r="I206" i="25"/>
  <c r="I48" i="25"/>
  <c r="F218" i="25"/>
  <c r="I114" i="25"/>
  <c r="F94" i="25"/>
  <c r="I104" i="25"/>
  <c r="I189" i="25"/>
  <c r="I103" i="25"/>
  <c r="F60" i="25"/>
  <c r="F143" i="25"/>
  <c r="F196" i="25"/>
  <c r="F130" i="25"/>
  <c r="F121" i="25"/>
  <c r="I35" i="25"/>
  <c r="I159" i="25"/>
  <c r="F43" i="25"/>
  <c r="F73" i="25"/>
  <c r="F32" i="25"/>
  <c r="I218" i="25"/>
  <c r="I149" i="25"/>
  <c r="I175" i="25"/>
  <c r="F83" i="25"/>
  <c r="F59" i="25"/>
  <c r="I102" i="25"/>
  <c r="I146" i="25"/>
  <c r="I145" i="25"/>
  <c r="F88" i="25"/>
  <c r="I99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<sst xmlns="http://schemas.openxmlformats.org/spreadsheetml/2006/main" count="1024" uniqueCount="295">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</sst>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E20" sqref="E20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73" t="s">
        <v>240</v>
      </c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5"/>
    </row>
    <row r="2" spans="1:63" s="198" customFormat="1" ht="15.75" customHeight="1" x14ac:dyDescent="0.25">
      <c r="A2" s="371" t="s">
        <v>234</v>
      </c>
      <c r="B2" s="371"/>
      <c r="C2" s="372"/>
      <c r="D2" s="370" t="s">
        <v>62</v>
      </c>
      <c r="E2" s="371"/>
      <c r="F2" s="371"/>
      <c r="G2" s="371"/>
      <c r="H2" s="372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9"/>
      <c r="U2" s="377" t="s">
        <v>269</v>
      </c>
      <c r="V2" s="378"/>
      <c r="W2" s="378"/>
      <c r="X2" s="378"/>
      <c r="Y2" s="378"/>
      <c r="Z2" s="378"/>
      <c r="AA2" s="379"/>
      <c r="AB2" s="377" t="s">
        <v>254</v>
      </c>
      <c r="AC2" s="378"/>
      <c r="AD2" s="378"/>
      <c r="AE2" s="378"/>
      <c r="AF2" s="378"/>
      <c r="AG2" s="378"/>
      <c r="AH2" s="378"/>
      <c r="AI2" s="378"/>
      <c r="AJ2" s="378"/>
      <c r="AK2" s="379"/>
      <c r="AL2" s="370" t="s">
        <v>239</v>
      </c>
      <c r="AM2" s="371"/>
      <c r="AN2" s="371"/>
      <c r="AO2" s="371"/>
      <c r="AP2" s="371"/>
      <c r="AQ2" s="371"/>
      <c r="AR2" s="372"/>
      <c r="AS2" s="370" t="s">
        <v>232</v>
      </c>
      <c r="AT2" s="371"/>
      <c r="AU2" s="371"/>
      <c r="AV2" s="371"/>
      <c r="AW2" s="371"/>
      <c r="AX2" s="371"/>
      <c r="AY2" s="371"/>
      <c r="AZ2" s="372"/>
      <c r="BA2" s="371" t="s">
        <v>233</v>
      </c>
      <c r="BB2" s="371"/>
      <c r="BC2" s="371"/>
      <c r="BD2" s="371"/>
      <c r="BE2" s="371"/>
      <c r="BF2" s="371"/>
      <c r="BG2" s="371"/>
      <c r="BH2" s="371"/>
      <c r="BI2" s="371"/>
      <c r="BJ2" s="371"/>
      <c r="BK2" s="372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8" t="s">
        <v>238</v>
      </c>
      <c r="AT3" s="376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0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1926</v>
      </c>
      <c r="F4" s="74">
        <v>237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67" t="s">
        <v>68</v>
      </c>
      <c r="AT4" s="222" t="s">
        <v>229</v>
      </c>
      <c r="AU4" s="208">
        <f>MAX(SUM(BC4:BK4) - E4 + V4,0)</f>
        <v>1174</v>
      </c>
      <c r="AV4" s="209">
        <f>MAX(SUM(BC5:BK5) - E5 + V5,0)</f>
        <v>0</v>
      </c>
      <c r="AW4" s="210">
        <f>MAX(SUM(BC6:BK6) - E6 + V6,0)</f>
        <v>767</v>
      </c>
      <c r="AX4" s="211">
        <f>MAX(SUM(BC7:BK7) - E7 + V7,0)</f>
        <v>0</v>
      </c>
      <c r="AY4" s="223">
        <f>MAX(SUM(BC8:BK8) - E8 + V8,0)</f>
        <v>1026</v>
      </c>
      <c r="AZ4" s="228">
        <f>SUM(AU4:AY4)</f>
        <v>2967</v>
      </c>
      <c r="BA4" s="381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3267</v>
      </c>
      <c r="F5" s="71">
        <v>176</v>
      </c>
      <c r="G5" s="71">
        <v>1116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7">
        <f t="shared" si="2"/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68"/>
      <c r="AT5" s="185" t="s">
        <v>76</v>
      </c>
      <c r="AU5" s="74">
        <f>ROUNDUP(AU4/$AP$4,0)</f>
        <v>107</v>
      </c>
      <c r="AV5" s="71">
        <f>ROUNDUP(AV4/$AP$4,0)</f>
        <v>0</v>
      </c>
      <c r="AW5" s="72">
        <f>ROUNDUP(AW4/$AP$4,0)</f>
        <v>70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271</v>
      </c>
      <c r="BA5" s="381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2333</v>
      </c>
      <c r="F6" s="72">
        <v>254</v>
      </c>
      <c r="G6" s="72">
        <v>963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7">
        <f t="shared" si="2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68"/>
      <c r="AT6" s="185" t="s">
        <v>236</v>
      </c>
      <c r="AU6" s="204">
        <f>ROUNDUP(AU5/(RECOVER_AP / $B$5)*RECOVER_DIAMS,0)</f>
        <v>803</v>
      </c>
      <c r="AV6" s="207">
        <f>ROUNDUP(AV5/(RECOVER_AP / $B$5)*RECOVER_DIAMS,0)</f>
        <v>0</v>
      </c>
      <c r="AW6" s="205">
        <f>ROUNDUP(AW5/(RECOVER_AP / $B$5)*RECOVER_DIAMS,0)</f>
        <v>525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2033</v>
      </c>
      <c r="BA6" s="381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3558</v>
      </c>
      <c r="F7" s="131">
        <v>986</v>
      </c>
      <c r="G7" s="131">
        <v>1657</v>
      </c>
      <c r="H7" s="326">
        <v>3978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7">
        <f t="shared" si="2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8"/>
      <c r="AT7" s="185" t="s">
        <v>116</v>
      </c>
      <c r="AU7" s="74">
        <f>ROUNDUP(AU4/$AP$8,0)</f>
        <v>98</v>
      </c>
      <c r="AV7" s="71">
        <f>ROUNDUP(AV4/$AP$8,0)</f>
        <v>0</v>
      </c>
      <c r="AW7" s="72">
        <f>ROUNDUP(AW4/$AP$8,0)</f>
        <v>64</v>
      </c>
      <c r="AX7" s="131">
        <f>ROUNDUP(AX4/$AP$8,0)</f>
        <v>0</v>
      </c>
      <c r="AY7" s="73">
        <f>ROUNDUP(AY4/$AP$8,0)</f>
        <v>86</v>
      </c>
      <c r="AZ7" s="229">
        <f t="shared" si="3"/>
        <v>248</v>
      </c>
      <c r="BA7" s="381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2074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2"/>
        <v>1840</v>
      </c>
      <c r="X8" s="322">
        <f t="shared" si="2"/>
        <v>480</v>
      </c>
      <c r="Y8" s="322">
        <f t="shared" si="2"/>
        <v>360</v>
      </c>
      <c r="Z8" s="322">
        <f t="shared" si="2"/>
        <v>304</v>
      </c>
      <c r="AA8" s="348">
        <f t="shared" si="2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12.03125</v>
      </c>
      <c r="AQ8" s="257">
        <f>COUNT(D真龍!Q:Q)</f>
        <v>704</v>
      </c>
      <c r="AR8" s="114">
        <f>$C$5/AP8</f>
        <v>3.3246753246753249</v>
      </c>
      <c r="AS8" s="369"/>
      <c r="AT8" s="224" t="s">
        <v>237</v>
      </c>
      <c r="AU8" s="216">
        <f>ROUNDUP(AU7/(RECOVER_AP / $C$5)*RECOVER_DIAMS,0)</f>
        <v>980</v>
      </c>
      <c r="AV8" s="217">
        <f>ROUNDUP(AV7/(RECOVER_AP / $C$5)*RECOVER_DIAMS,0)</f>
        <v>0</v>
      </c>
      <c r="AW8" s="218">
        <f>ROUNDUP(AW7/(RECOVER_AP / $C$5)*RECOVER_DIAMS,0)</f>
        <v>640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2480</v>
      </c>
      <c r="BA8" s="38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8" t="s">
        <v>235</v>
      </c>
      <c r="E9" s="376"/>
      <c r="F9" s="376"/>
      <c r="G9" s="385">
        <v>614</v>
      </c>
      <c r="H9" s="386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>$C$4/AM9</f>
        <v>8</v>
      </c>
      <c r="AP9" s="115">
        <f>AVERAGE(D真龍!S:S)+AVERAGE(D真龍!U:U)</f>
        <v>6.936079545454545</v>
      </c>
      <c r="AQ9" s="257">
        <f>COUNT(D真龍!S:S)</f>
        <v>704</v>
      </c>
      <c r="AR9" s="114">
        <f>$C$5/AP9</f>
        <v>5.7669465492525092</v>
      </c>
      <c r="AS9" s="367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2024</v>
      </c>
      <c r="AW9" s="210">
        <f>MAX(SUM(BC12:BK12) - F6 + W6,0)</f>
        <v>1946</v>
      </c>
      <c r="AX9" s="211">
        <f>MAX(SUM(BC13:BK13) - F7 + W7,0)</f>
        <v>854</v>
      </c>
      <c r="AY9" s="223">
        <f>MAX(SUM(BC14:BK14) - F8 + W8,0)</f>
        <v>1772</v>
      </c>
      <c r="AZ9" s="228">
        <f t="shared" si="3"/>
        <v>8559</v>
      </c>
      <c r="BA9" s="380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1" t="s">
        <v>245</v>
      </c>
      <c r="E10" s="362"/>
      <c r="F10" s="363">
        <v>140138020</v>
      </c>
      <c r="G10" s="363"/>
      <c r="H10" s="364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>$C$4/AM10</f>
        <v>8</v>
      </c>
      <c r="AP10" s="115">
        <f>AVERAGE(D真龍!T:T)+AVERAGE(D真龍!V:V)</f>
        <v>6.9261363636363642</v>
      </c>
      <c r="AQ10" s="257">
        <f>COUNT(D真龍!T:T)</f>
        <v>704</v>
      </c>
      <c r="AR10" s="114">
        <f>$C$5/AP10</f>
        <v>5.7752255947497941</v>
      </c>
      <c r="AS10" s="368"/>
      <c r="AT10" s="185" t="s">
        <v>76</v>
      </c>
      <c r="AU10" s="74">
        <f>ROUNDUP(AU9/$AP$5,0)</f>
        <v>311</v>
      </c>
      <c r="AV10" s="71">
        <f>ROUNDUP(AV9/$AP$5,0)</f>
        <v>321</v>
      </c>
      <c r="AW10" s="72">
        <f>ROUNDUP(AW9/$AP$5,0)</f>
        <v>308</v>
      </c>
      <c r="AX10" s="131">
        <f>ROUNDUP(AX9/$AP$5,0)</f>
        <v>136</v>
      </c>
      <c r="AY10" s="73">
        <f>ROUNDUP(AY9/$AP$5,0)</f>
        <v>281</v>
      </c>
      <c r="AZ10" s="229">
        <f t="shared" si="3"/>
        <v>1357</v>
      </c>
      <c r="BA10" s="381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>$C$4/AM11</f>
        <v>40</v>
      </c>
      <c r="AP11" s="298">
        <f>AVERAGE(D真龍!R:R)</f>
        <v>1.1488095238095237</v>
      </c>
      <c r="AQ11" s="269">
        <f>COUNT(D真龍!R:R)</f>
        <v>672</v>
      </c>
      <c r="AR11" s="299">
        <f>$C$5/AP11</f>
        <v>34.818652849740936</v>
      </c>
      <c r="AS11" s="368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2408</v>
      </c>
      <c r="AW11" s="205">
        <f>ROUNDUP(AW10/(RECOVER_AP / $B$5)*RECOVER_DIAMS,0)</f>
        <v>2310</v>
      </c>
      <c r="AX11" s="206">
        <f>ROUNDUP(AX10/(RECOVER_AP / $B$5)*RECOVER_DIAMS,0)</f>
        <v>1020</v>
      </c>
      <c r="AY11" s="220">
        <f>ROUNDUP(AY10/(RECOVER_AP / $B$5)*RECOVER_DIAMS,0)</f>
        <v>2108</v>
      </c>
      <c r="AZ11" s="230">
        <f t="shared" si="3"/>
        <v>10179</v>
      </c>
      <c r="BA11" s="381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68"/>
      <c r="AT12" s="185" t="s">
        <v>116</v>
      </c>
      <c r="AU12" s="74">
        <f>ROUNDUP(AU9/$AP$9,0)</f>
        <v>284</v>
      </c>
      <c r="AV12" s="71">
        <f>ROUNDUP(AV9/$AP$9,0)</f>
        <v>292</v>
      </c>
      <c r="AW12" s="72">
        <f>ROUNDUP(AW9/$AP$9,0)</f>
        <v>281</v>
      </c>
      <c r="AX12" s="131">
        <f>ROUNDUP(AX9/$AP$9,0)</f>
        <v>124</v>
      </c>
      <c r="AY12" s="73">
        <f>ROUNDUP(AY9/$AP$9,0)</f>
        <v>256</v>
      </c>
      <c r="AZ12" s="229">
        <f t="shared" si="3"/>
        <v>1237</v>
      </c>
      <c r="BA12" s="381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69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3210</v>
      </c>
      <c r="AW13" s="218">
        <f>ROUNDUP(AW10/(RECOVER_AP / $C$5)*RECOVER_DIAMS,0)</f>
        <v>3080</v>
      </c>
      <c r="AX13" s="219">
        <f>ROUNDUP(AX10/(RECOVER_AP / $C$5)*RECOVER_DIAMS,0)</f>
        <v>1360</v>
      </c>
      <c r="AY13" s="225">
        <f>ROUNDUP(AY10/(RECOVER_AP / $C$5)*RECOVER_DIAMS,0)</f>
        <v>2810</v>
      </c>
      <c r="AZ13" s="231">
        <f t="shared" si="3"/>
        <v>13570</v>
      </c>
      <c r="BA13" s="381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67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82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68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80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9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81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81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67" t="s">
        <v>70</v>
      </c>
      <c r="AT18" s="222" t="s">
        <v>229</v>
      </c>
      <c r="AU18" s="389">
        <f>MAX(SUM(BC28:BK32) - G9 + SUM(Z4:Z8),0)</f>
        <v>1090</v>
      </c>
      <c r="AV18" s="389"/>
      <c r="AW18" s="389"/>
      <c r="AX18" s="389"/>
      <c r="AY18" s="389"/>
      <c r="AZ18" s="390"/>
      <c r="BA18" s="381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68"/>
      <c r="AT19" s="185" t="s">
        <v>243</v>
      </c>
      <c r="AU19" s="359">
        <f>ROUNDUP(AU18/AP6,0)</f>
        <v>2737</v>
      </c>
      <c r="AV19" s="359"/>
      <c r="AW19" s="359"/>
      <c r="AX19" s="359"/>
      <c r="AY19" s="359"/>
      <c r="AZ19" s="360"/>
      <c r="BA19" s="381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68"/>
      <c r="AT20" s="224" t="s">
        <v>244</v>
      </c>
      <c r="AU20" s="387">
        <f>ROUNDUP(AU18/AP11,0)</f>
        <v>949</v>
      </c>
      <c r="AV20" s="387"/>
      <c r="AW20" s="387"/>
      <c r="AX20" s="387"/>
      <c r="AY20" s="387"/>
      <c r="AZ20" s="388"/>
      <c r="BA20" s="382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83">
        <f>MAX(SUM(BC34:BK38) - F10 + SUM(AA4:AA8),0)</f>
        <v>659861980</v>
      </c>
      <c r="AV21" s="383"/>
      <c r="AW21" s="383"/>
      <c r="AX21" s="383"/>
      <c r="AY21" s="383"/>
      <c r="AZ21" s="384"/>
      <c r="BA21" s="380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1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81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81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81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82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80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1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81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81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81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82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80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1"/>
      <c r="BB34" s="286" t="s">
        <v>9</v>
      </c>
      <c r="BC34" s="333">
        <f t="shared" ref="BC34:BK38" si="8">IF(ISBLANK(AC4),0,VLOOKUP(AC4,$I$4:$T$10,12,FALSE))</f>
        <v>0</v>
      </c>
      <c r="BD34" s="333">
        <f t="shared" si="8"/>
        <v>0</v>
      </c>
      <c r="BE34" s="333">
        <f t="shared" si="8"/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4">
        <f t="shared" si="8"/>
        <v>25000000</v>
      </c>
    </row>
    <row r="35" spans="53:63" ht="15.75" customHeight="1" x14ac:dyDescent="0.25">
      <c r="BA35" s="381"/>
      <c r="BB35" s="287" t="s">
        <v>7</v>
      </c>
      <c r="BC35" s="335">
        <f t="shared" si="8"/>
        <v>0</v>
      </c>
      <c r="BD35" s="335">
        <f t="shared" si="8"/>
        <v>0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6">
        <f t="shared" si="8"/>
        <v>25000000</v>
      </c>
    </row>
    <row r="36" spans="53:63" ht="15.75" customHeight="1" x14ac:dyDescent="0.25">
      <c r="BA36" s="381"/>
      <c r="BB36" s="192" t="s">
        <v>6</v>
      </c>
      <c r="BC36" s="337">
        <f t="shared" si="8"/>
        <v>0</v>
      </c>
      <c r="BD36" s="337">
        <f t="shared" si="8"/>
        <v>0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8">
        <f t="shared" si="8"/>
        <v>25000000</v>
      </c>
    </row>
    <row r="37" spans="53:63" ht="15.75" customHeight="1" x14ac:dyDescent="0.25">
      <c r="BA37" s="381"/>
      <c r="BB37" s="288" t="s">
        <v>4</v>
      </c>
      <c r="BC37" s="339">
        <f t="shared" si="8"/>
        <v>0</v>
      </c>
      <c r="BD37" s="339">
        <f t="shared" si="8"/>
        <v>0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40">
        <f t="shared" si="8"/>
        <v>0</v>
      </c>
    </row>
    <row r="38" spans="53:63" ht="15.75" customHeight="1" x14ac:dyDescent="0.25">
      <c r="BA38" s="382"/>
      <c r="BB38" s="12" t="s">
        <v>3</v>
      </c>
      <c r="BC38" s="341">
        <f t="shared" si="8"/>
        <v>0</v>
      </c>
      <c r="BD38" s="341">
        <f t="shared" si="8"/>
        <v>0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2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08"/>
  <sheetViews>
    <sheetView workbookViewId="0">
      <pane ySplit="4" topLeftCell="A680" activePane="bottomLeft" state="frozen"/>
      <selection pane="bottomLeft" activeCell="L720" sqref="L720:L721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F1" workbookViewId="0">
      <selection activeCell="I2" sqref="I2:V15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73" t="s">
        <v>240</v>
      </c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5"/>
    </row>
    <row r="2" spans="1:65" s="198" customFormat="1" ht="15.75" customHeight="1" x14ac:dyDescent="0.25">
      <c r="A2" s="377" t="s">
        <v>234</v>
      </c>
      <c r="B2" s="378"/>
      <c r="C2" s="378"/>
      <c r="D2" s="379"/>
      <c r="E2" s="377" t="s">
        <v>62</v>
      </c>
      <c r="F2" s="378"/>
      <c r="G2" s="378"/>
      <c r="H2" s="379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9"/>
      <c r="W2" s="377" t="s">
        <v>269</v>
      </c>
      <c r="X2" s="378"/>
      <c r="Y2" s="378"/>
      <c r="Z2" s="378"/>
      <c r="AA2" s="378"/>
      <c r="AB2" s="378"/>
      <c r="AC2" s="379"/>
      <c r="AD2" s="377" t="s">
        <v>254</v>
      </c>
      <c r="AE2" s="378"/>
      <c r="AF2" s="378"/>
      <c r="AG2" s="378"/>
      <c r="AH2" s="378"/>
      <c r="AI2" s="378"/>
      <c r="AJ2" s="378"/>
      <c r="AK2" s="378"/>
      <c r="AL2" s="378"/>
      <c r="AM2" s="379"/>
      <c r="AN2" s="370" t="s">
        <v>239</v>
      </c>
      <c r="AO2" s="371"/>
      <c r="AP2" s="371"/>
      <c r="AQ2" s="371"/>
      <c r="AR2" s="371"/>
      <c r="AS2" s="371"/>
      <c r="AT2" s="372"/>
      <c r="AU2" s="370" t="s">
        <v>232</v>
      </c>
      <c r="AV2" s="371"/>
      <c r="AW2" s="371"/>
      <c r="AX2" s="371"/>
      <c r="AY2" s="371"/>
      <c r="AZ2" s="371"/>
      <c r="BA2" s="371"/>
      <c r="BB2" s="372"/>
      <c r="BC2" s="371" t="s">
        <v>233</v>
      </c>
      <c r="BD2" s="371"/>
      <c r="BE2" s="371"/>
      <c r="BF2" s="371"/>
      <c r="BG2" s="371"/>
      <c r="BH2" s="371"/>
      <c r="BI2" s="371"/>
      <c r="BJ2" s="371"/>
      <c r="BK2" s="371"/>
      <c r="BL2" s="371"/>
      <c r="BM2" s="372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8" t="s">
        <v>238</v>
      </c>
      <c r="AV3" s="376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80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7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 t="shared" ref="BB4:BB9" si="0">SUM(AW4:BA4)</f>
        <v>0</v>
      </c>
      <c r="BC4" s="381"/>
      <c r="BD4" s="286" t="s">
        <v>9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2749</v>
      </c>
      <c r="G5" s="71">
        <v>2907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8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81"/>
      <c r="BD5" s="287" t="s">
        <v>7</v>
      </c>
      <c r="BE5" s="33">
        <f t="shared" si="1"/>
        <v>180</v>
      </c>
      <c r="BF5" s="33">
        <f t="shared" si="1"/>
        <v>180</v>
      </c>
      <c r="BG5" s="33">
        <f t="shared" si="1"/>
        <v>180</v>
      </c>
      <c r="BH5" s="33">
        <f t="shared" si="1"/>
        <v>180</v>
      </c>
      <c r="BI5" s="33">
        <f t="shared" si="1"/>
        <v>180</v>
      </c>
      <c r="BJ5" s="33">
        <f t="shared" si="1"/>
        <v>180</v>
      </c>
      <c r="BK5" s="33">
        <f t="shared" si="1"/>
        <v>180</v>
      </c>
      <c r="BL5" s="33">
        <f t="shared" si="1"/>
        <v>180</v>
      </c>
      <c r="BM5" s="194">
        <f t="shared" si="1"/>
        <v>380</v>
      </c>
    </row>
    <row r="6" spans="1:65" ht="15.75" customHeight="1" x14ac:dyDescent="0.25">
      <c r="E6" s="281" t="s">
        <v>6</v>
      </c>
      <c r="F6" s="72">
        <v>3768</v>
      </c>
      <c r="G6" s="72">
        <v>3196</v>
      </c>
      <c r="H6" s="72">
        <v>631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68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81"/>
      <c r="BD6" s="192" t="s">
        <v>6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68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0</v>
      </c>
      <c r="BB7" s="229">
        <f t="shared" si="0"/>
        <v>0</v>
      </c>
      <c r="BC7" s="381"/>
      <c r="BD7" s="288" t="s">
        <v>4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30">
        <f t="shared" si="1"/>
        <v>0</v>
      </c>
      <c r="BL7" s="130">
        <f t="shared" si="1"/>
        <v>0</v>
      </c>
      <c r="BM7" s="196">
        <f t="shared" si="1"/>
        <v>0</v>
      </c>
    </row>
    <row r="8" spans="1:65" ht="15.75" customHeight="1" x14ac:dyDescent="0.25">
      <c r="E8" s="279" t="s">
        <v>3</v>
      </c>
      <c r="F8" s="73">
        <v>974</v>
      </c>
      <c r="G8" s="73">
        <v>893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0"/>
        <v>0</v>
      </c>
      <c r="BC8" s="382"/>
      <c r="BD8" s="12" t="s">
        <v>3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68" t="s">
        <v>235</v>
      </c>
      <c r="F9" s="376"/>
      <c r="G9" s="376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3.1764705882352939</v>
      </c>
      <c r="AS9" s="257">
        <f>COUNT(D咢牙!M:M)</f>
        <v>17</v>
      </c>
      <c r="AT9" s="114">
        <f>$D$5/AR9</f>
        <v>12.592592592592593</v>
      </c>
      <c r="AU9" s="367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 t="shared" si="0"/>
        <v>0</v>
      </c>
      <c r="BC9" s="380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8" t="s">
        <v>279</v>
      </c>
      <c r="F10" s="376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5.117647058823529</v>
      </c>
      <c r="AS10" s="257">
        <f>COUNT(D咢牙!N:N)</f>
        <v>17</v>
      </c>
      <c r="AT10" s="114">
        <f>$D$5/AR10</f>
        <v>7.8160919540229887</v>
      </c>
      <c r="AU10" s="368"/>
      <c r="AV10" s="274" t="s">
        <v>76</v>
      </c>
      <c r="AW10" s="74">
        <f>ROUNDUP(AW9/$AR$7,0)</f>
        <v>0</v>
      </c>
      <c r="AX10" s="71">
        <f>ROUNDUP(AX9/$AR$6,0)</f>
        <v>0</v>
      </c>
      <c r="AY10" s="72">
        <f>ROUNDUP(AY9/$AR$6,0)</f>
        <v>0</v>
      </c>
      <c r="AZ10" s="131">
        <f>ROUNDUP(AZ9/$AR$6,0)</f>
        <v>0</v>
      </c>
      <c r="BA10" s="73">
        <f>ROUNDUP(BA9/$AR$6,0)</f>
        <v>0</v>
      </c>
      <c r="BB10" s="229">
        <f t="shared" ref="BB10:BB16" si="2">SUM(AW10:BA10)</f>
        <v>0</v>
      </c>
      <c r="BC10" s="381"/>
      <c r="BD10" s="286" t="s">
        <v>9</v>
      </c>
      <c r="BE10" s="16">
        <f t="shared" ref="BE10:BM14" si="3">IF(ISBLANK(AE4),0,VLOOKUP(AE4,$I$4:$V$15,10,FALSE))</f>
        <v>0</v>
      </c>
      <c r="BF10" s="16">
        <f t="shared" si="3"/>
        <v>0</v>
      </c>
      <c r="BG10" s="16">
        <f t="shared" si="3"/>
        <v>0</v>
      </c>
      <c r="BH10" s="16">
        <f t="shared" si="3"/>
        <v>0</v>
      </c>
      <c r="BI10" s="16">
        <f t="shared" si="3"/>
        <v>0</v>
      </c>
      <c r="BJ10" s="16">
        <f t="shared" si="3"/>
        <v>0</v>
      </c>
      <c r="BK10" s="16">
        <f t="shared" si="3"/>
        <v>0</v>
      </c>
      <c r="BL10" s="16">
        <f t="shared" si="3"/>
        <v>0</v>
      </c>
      <c r="BM10" s="15">
        <f t="shared" si="3"/>
        <v>300</v>
      </c>
    </row>
    <row r="11" spans="1:65" ht="15.75" customHeight="1" x14ac:dyDescent="0.25">
      <c r="E11" s="361" t="s">
        <v>245</v>
      </c>
      <c r="F11" s="362"/>
      <c r="G11" s="363">
        <v>131058819</v>
      </c>
      <c r="H11" s="363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1.9411764705882353</v>
      </c>
      <c r="AS11" s="269">
        <f>COUNT(D咢牙!O:O)</f>
        <v>17</v>
      </c>
      <c r="AT11" s="299">
        <f>$D$5/AR11</f>
        <v>20.606060606060606</v>
      </c>
      <c r="AU11" s="368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2"/>
        <v>0</v>
      </c>
      <c r="BC11" s="381"/>
      <c r="BD11" s="287" t="s">
        <v>7</v>
      </c>
      <c r="BE11" s="33">
        <f t="shared" si="3"/>
        <v>150</v>
      </c>
      <c r="BF11" s="33">
        <f t="shared" si="3"/>
        <v>150</v>
      </c>
      <c r="BG11" s="33">
        <f t="shared" si="3"/>
        <v>150</v>
      </c>
      <c r="BH11" s="33">
        <f t="shared" si="3"/>
        <v>150</v>
      </c>
      <c r="BI11" s="33">
        <f t="shared" si="3"/>
        <v>150</v>
      </c>
      <c r="BJ11" s="33">
        <f t="shared" si="3"/>
        <v>150</v>
      </c>
      <c r="BK11" s="33">
        <f t="shared" si="3"/>
        <v>150</v>
      </c>
      <c r="BL11" s="33">
        <f t="shared" si="3"/>
        <v>150</v>
      </c>
      <c r="BM11" s="194">
        <f t="shared" si="3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68"/>
      <c r="AV12" s="274" t="s">
        <v>116</v>
      </c>
      <c r="AW12" s="74">
        <f>ROUNDUP(AW9/$AR$9,0)</f>
        <v>0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0</v>
      </c>
      <c r="BB12" s="229">
        <f t="shared" si="2"/>
        <v>0</v>
      </c>
      <c r="BC12" s="381"/>
      <c r="BD12" s="192" t="s">
        <v>6</v>
      </c>
      <c r="BE12" s="193">
        <f t="shared" si="3"/>
        <v>0</v>
      </c>
      <c r="BF12" s="193">
        <f t="shared" si="3"/>
        <v>0</v>
      </c>
      <c r="BG12" s="193">
        <f t="shared" si="3"/>
        <v>0</v>
      </c>
      <c r="BH12" s="193">
        <f t="shared" si="3"/>
        <v>0</v>
      </c>
      <c r="BI12" s="193">
        <f t="shared" si="3"/>
        <v>0</v>
      </c>
      <c r="BJ12" s="193">
        <f t="shared" si="3"/>
        <v>0</v>
      </c>
      <c r="BK12" s="193">
        <f t="shared" si="3"/>
        <v>0</v>
      </c>
      <c r="BL12" s="193">
        <f t="shared" si="3"/>
        <v>0</v>
      </c>
      <c r="BM12" s="195">
        <f t="shared" si="3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69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2"/>
        <v>0</v>
      </c>
      <c r="BC13" s="381"/>
      <c r="BD13" s="288" t="s">
        <v>4</v>
      </c>
      <c r="BE13" s="130">
        <f t="shared" si="3"/>
        <v>0</v>
      </c>
      <c r="BF13" s="130">
        <f t="shared" si="3"/>
        <v>0</v>
      </c>
      <c r="BG13" s="130">
        <f t="shared" si="3"/>
        <v>0</v>
      </c>
      <c r="BH13" s="130">
        <f t="shared" si="3"/>
        <v>0</v>
      </c>
      <c r="BI13" s="130">
        <f t="shared" si="3"/>
        <v>0</v>
      </c>
      <c r="BJ13" s="130">
        <f t="shared" si="3"/>
        <v>0</v>
      </c>
      <c r="BK13" s="130">
        <f t="shared" si="3"/>
        <v>0</v>
      </c>
      <c r="BL13" s="130">
        <f t="shared" si="3"/>
        <v>0</v>
      </c>
      <c r="BM13" s="196">
        <f t="shared" si="3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67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441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2"/>
        <v>539</v>
      </c>
      <c r="BC14" s="382"/>
      <c r="BD14" s="12" t="s">
        <v>3</v>
      </c>
      <c r="BE14" s="13">
        <f t="shared" si="3"/>
        <v>0</v>
      </c>
      <c r="BF14" s="13">
        <f t="shared" si="3"/>
        <v>0</v>
      </c>
      <c r="BG14" s="13">
        <f t="shared" si="3"/>
        <v>0</v>
      </c>
      <c r="BH14" s="13">
        <f t="shared" si="3"/>
        <v>0</v>
      </c>
      <c r="BI14" s="13">
        <f t="shared" si="3"/>
        <v>0</v>
      </c>
      <c r="BJ14" s="13">
        <f t="shared" si="3"/>
        <v>0</v>
      </c>
      <c r="BK14" s="13">
        <f t="shared" si="3"/>
        <v>0</v>
      </c>
      <c r="BL14" s="13">
        <f t="shared" si="3"/>
        <v>0</v>
      </c>
      <c r="BM14" s="113">
        <f t="shared" si="3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68"/>
      <c r="AV15" s="274" t="s">
        <v>116</v>
      </c>
      <c r="AW15" s="74">
        <f>ROUNDUP(AW14/$AR$10,0)</f>
        <v>10</v>
      </c>
      <c r="AX15" s="71">
        <f>ROUNDUP(AX14/$AR$10,0)</f>
        <v>87</v>
      </c>
      <c r="AY15" s="72">
        <f>ROUNDUP(AY14/$AR$10,0)</f>
        <v>0</v>
      </c>
      <c r="AZ15" s="131">
        <f>ROUNDUP(AZ14/$AR$10,0)</f>
        <v>0</v>
      </c>
      <c r="BA15" s="73">
        <f>ROUNDUP(BA14/$AR$10,0)</f>
        <v>10</v>
      </c>
      <c r="BB15" s="229">
        <f t="shared" si="2"/>
        <v>107</v>
      </c>
      <c r="BC15" s="380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9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870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2"/>
        <v>1070</v>
      </c>
      <c r="BC16" s="381"/>
      <c r="BD16" s="286" t="s">
        <v>9</v>
      </c>
      <c r="BE16" s="16">
        <f t="shared" ref="BE16:BM20" si="4">IF(ISBLANK(AE4),0,VLOOKUP(AE4,$I$4:$V$15,11,FALSE))</f>
        <v>0</v>
      </c>
      <c r="BF16" s="16">
        <f t="shared" si="4"/>
        <v>0</v>
      </c>
      <c r="BG16" s="16">
        <f t="shared" si="4"/>
        <v>0</v>
      </c>
      <c r="BH16" s="16">
        <f t="shared" si="4"/>
        <v>0</v>
      </c>
      <c r="BI16" s="16">
        <f t="shared" si="4"/>
        <v>0</v>
      </c>
      <c r="BJ16" s="16">
        <f t="shared" si="4"/>
        <v>0</v>
      </c>
      <c r="BK16" s="16">
        <f t="shared" si="4"/>
        <v>0</v>
      </c>
      <c r="BL16" s="16">
        <f t="shared" si="4"/>
        <v>0</v>
      </c>
      <c r="BM16" s="15">
        <f t="shared" si="4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1</v>
      </c>
      <c r="AX17" s="392"/>
      <c r="AY17" s="392"/>
      <c r="AZ17" s="392"/>
      <c r="BA17" s="392"/>
      <c r="BB17" s="393"/>
      <c r="BC17" s="381"/>
      <c r="BD17" s="287" t="s">
        <v>7</v>
      </c>
      <c r="BE17" s="33">
        <f t="shared" si="4"/>
        <v>49</v>
      </c>
      <c r="BF17" s="33">
        <f t="shared" si="4"/>
        <v>49</v>
      </c>
      <c r="BG17" s="33">
        <f t="shared" si="4"/>
        <v>49</v>
      </c>
      <c r="BH17" s="33">
        <f t="shared" si="4"/>
        <v>49</v>
      </c>
      <c r="BI17" s="33">
        <f t="shared" si="4"/>
        <v>49</v>
      </c>
      <c r="BJ17" s="33">
        <f t="shared" si="4"/>
        <v>49</v>
      </c>
      <c r="BK17" s="33">
        <f t="shared" si="4"/>
        <v>49</v>
      </c>
      <c r="BL17" s="33">
        <f t="shared" si="4"/>
        <v>49</v>
      </c>
      <c r="BM17" s="194">
        <f t="shared" si="4"/>
        <v>49</v>
      </c>
    </row>
    <row r="18" spans="47:65" ht="15.75" customHeight="1" x14ac:dyDescent="0.25">
      <c r="AU18" s="367" t="s">
        <v>70</v>
      </c>
      <c r="AV18" s="222" t="s">
        <v>229</v>
      </c>
      <c r="AW18" s="389">
        <f>MAX(SUM(BE28:BM32) - H9 + SUM(AB4:AB8),0)</f>
        <v>0</v>
      </c>
      <c r="AX18" s="389"/>
      <c r="AY18" s="389"/>
      <c r="AZ18" s="389"/>
      <c r="BA18" s="389"/>
      <c r="BB18" s="390"/>
      <c r="BC18" s="381"/>
      <c r="BD18" s="192" t="s">
        <v>6</v>
      </c>
      <c r="BE18" s="193">
        <f t="shared" si="4"/>
        <v>0</v>
      </c>
      <c r="BF18" s="193">
        <f t="shared" si="4"/>
        <v>0</v>
      </c>
      <c r="BG18" s="193">
        <f t="shared" si="4"/>
        <v>0</v>
      </c>
      <c r="BH18" s="193">
        <f t="shared" si="4"/>
        <v>0</v>
      </c>
      <c r="BI18" s="193">
        <f t="shared" si="4"/>
        <v>0</v>
      </c>
      <c r="BJ18" s="193">
        <f t="shared" si="4"/>
        <v>0</v>
      </c>
      <c r="BK18" s="193">
        <f t="shared" si="4"/>
        <v>0</v>
      </c>
      <c r="BL18" s="193">
        <f t="shared" si="4"/>
        <v>0</v>
      </c>
      <c r="BM18" s="195">
        <f t="shared" si="4"/>
        <v>49</v>
      </c>
    </row>
    <row r="19" spans="47:65" ht="15.75" customHeight="1" x14ac:dyDescent="0.25">
      <c r="AU19" s="369"/>
      <c r="AV19" s="274" t="s">
        <v>244</v>
      </c>
      <c r="AW19" s="359">
        <f>ROUNDUP(AW18/$AR$11,0)</f>
        <v>0</v>
      </c>
      <c r="AX19" s="359"/>
      <c r="AY19" s="359"/>
      <c r="AZ19" s="359"/>
      <c r="BA19" s="359"/>
      <c r="BB19" s="360"/>
      <c r="BC19" s="381"/>
      <c r="BD19" s="288" t="s">
        <v>4</v>
      </c>
      <c r="BE19" s="130">
        <f t="shared" si="4"/>
        <v>0</v>
      </c>
      <c r="BF19" s="130">
        <f t="shared" si="4"/>
        <v>0</v>
      </c>
      <c r="BG19" s="130">
        <f t="shared" si="4"/>
        <v>0</v>
      </c>
      <c r="BH19" s="130">
        <f t="shared" si="4"/>
        <v>0</v>
      </c>
      <c r="BI19" s="130">
        <f t="shared" si="4"/>
        <v>0</v>
      </c>
      <c r="BJ19" s="130">
        <f t="shared" si="4"/>
        <v>0</v>
      </c>
      <c r="BK19" s="130">
        <f t="shared" si="4"/>
        <v>0</v>
      </c>
      <c r="BL19" s="130">
        <f t="shared" si="4"/>
        <v>0</v>
      </c>
      <c r="BM19" s="196">
        <f t="shared" si="4"/>
        <v>0</v>
      </c>
    </row>
    <row r="20" spans="47:65" ht="15.75" customHeight="1" x14ac:dyDescent="0.25">
      <c r="AU20" s="221" t="s">
        <v>94</v>
      </c>
      <c r="AV20" s="197" t="s">
        <v>229</v>
      </c>
      <c r="AW20" s="383">
        <f>MAX(SUM(BE34:BM38) - G11 + SUM(AC4:AC8),0)</f>
        <v>418941181</v>
      </c>
      <c r="AX20" s="383"/>
      <c r="AY20" s="383"/>
      <c r="AZ20" s="383"/>
      <c r="BA20" s="383"/>
      <c r="BB20" s="384"/>
      <c r="BC20" s="382"/>
      <c r="BD20" s="12" t="s">
        <v>3</v>
      </c>
      <c r="BE20" s="13">
        <f t="shared" si="4"/>
        <v>0</v>
      </c>
      <c r="BF20" s="13">
        <f t="shared" si="4"/>
        <v>0</v>
      </c>
      <c r="BG20" s="13">
        <f t="shared" si="4"/>
        <v>0</v>
      </c>
      <c r="BH20" s="13">
        <f t="shared" si="4"/>
        <v>0</v>
      </c>
      <c r="BI20" s="13">
        <f t="shared" si="4"/>
        <v>0</v>
      </c>
      <c r="BJ20" s="13">
        <f t="shared" si="4"/>
        <v>0</v>
      </c>
      <c r="BK20" s="13">
        <f t="shared" si="4"/>
        <v>0</v>
      </c>
      <c r="BL20" s="13">
        <f t="shared" si="4"/>
        <v>0</v>
      </c>
      <c r="BM20" s="113">
        <f t="shared" si="4"/>
        <v>49</v>
      </c>
    </row>
    <row r="21" spans="47:65" ht="15.75" customHeight="1" x14ac:dyDescent="0.25">
      <c r="BC21" s="380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1"/>
      <c r="BD22" s="286" t="s">
        <v>9</v>
      </c>
      <c r="BE22" s="16">
        <f t="shared" ref="BE22:BM26" si="5">IF(ISBLANK(AE4),0,VLOOKUP(AE4,$I$4:$V$15,12,FALSE))</f>
        <v>0</v>
      </c>
      <c r="BF22" s="16">
        <f t="shared" si="5"/>
        <v>0</v>
      </c>
      <c r="BG22" s="16">
        <f t="shared" si="5"/>
        <v>0</v>
      </c>
      <c r="BH22" s="16">
        <f t="shared" si="5"/>
        <v>0</v>
      </c>
      <c r="BI22" s="16">
        <f t="shared" si="5"/>
        <v>0</v>
      </c>
      <c r="BJ22" s="16">
        <f t="shared" si="5"/>
        <v>0</v>
      </c>
      <c r="BK22" s="16">
        <f t="shared" si="5"/>
        <v>0</v>
      </c>
      <c r="BL22" s="16">
        <f t="shared" si="5"/>
        <v>0</v>
      </c>
      <c r="BM22" s="15">
        <f t="shared" si="5"/>
        <v>15</v>
      </c>
    </row>
    <row r="23" spans="47:65" ht="15.75" customHeight="1" x14ac:dyDescent="0.25">
      <c r="BC23" s="381"/>
      <c r="BD23" s="287" t="s">
        <v>7</v>
      </c>
      <c r="BE23" s="33">
        <f t="shared" si="5"/>
        <v>10</v>
      </c>
      <c r="BF23" s="33">
        <f t="shared" si="5"/>
        <v>10</v>
      </c>
      <c r="BG23" s="33">
        <f t="shared" si="5"/>
        <v>10</v>
      </c>
      <c r="BH23" s="33">
        <f t="shared" si="5"/>
        <v>10</v>
      </c>
      <c r="BI23" s="33">
        <f t="shared" si="5"/>
        <v>10</v>
      </c>
      <c r="BJ23" s="33">
        <f t="shared" si="5"/>
        <v>10</v>
      </c>
      <c r="BK23" s="33">
        <f t="shared" si="5"/>
        <v>10</v>
      </c>
      <c r="BL23" s="33">
        <f t="shared" si="5"/>
        <v>10</v>
      </c>
      <c r="BM23" s="194">
        <f t="shared" si="5"/>
        <v>15</v>
      </c>
    </row>
    <row r="24" spans="47:65" ht="15.75" customHeight="1" x14ac:dyDescent="0.25">
      <c r="BC24" s="381"/>
      <c r="BD24" s="192" t="s">
        <v>6</v>
      </c>
      <c r="BE24" s="193">
        <f t="shared" si="5"/>
        <v>0</v>
      </c>
      <c r="BF24" s="193">
        <f t="shared" si="5"/>
        <v>0</v>
      </c>
      <c r="BG24" s="193">
        <f t="shared" si="5"/>
        <v>0</v>
      </c>
      <c r="BH24" s="193">
        <f t="shared" si="5"/>
        <v>0</v>
      </c>
      <c r="BI24" s="193">
        <f t="shared" si="5"/>
        <v>0</v>
      </c>
      <c r="BJ24" s="193">
        <f t="shared" si="5"/>
        <v>0</v>
      </c>
      <c r="BK24" s="193">
        <f t="shared" si="5"/>
        <v>0</v>
      </c>
      <c r="BL24" s="193">
        <f t="shared" si="5"/>
        <v>0</v>
      </c>
      <c r="BM24" s="195">
        <f t="shared" si="5"/>
        <v>15</v>
      </c>
    </row>
    <row r="25" spans="47:65" ht="15.75" customHeight="1" x14ac:dyDescent="0.25">
      <c r="BC25" s="381"/>
      <c r="BD25" s="288" t="s">
        <v>4</v>
      </c>
      <c r="BE25" s="130">
        <f t="shared" si="5"/>
        <v>0</v>
      </c>
      <c r="BF25" s="130">
        <f t="shared" si="5"/>
        <v>0</v>
      </c>
      <c r="BG25" s="130">
        <f t="shared" si="5"/>
        <v>0</v>
      </c>
      <c r="BH25" s="130">
        <f t="shared" si="5"/>
        <v>0</v>
      </c>
      <c r="BI25" s="130">
        <f t="shared" si="5"/>
        <v>0</v>
      </c>
      <c r="BJ25" s="130">
        <f t="shared" si="5"/>
        <v>0</v>
      </c>
      <c r="BK25" s="130">
        <f t="shared" si="5"/>
        <v>0</v>
      </c>
      <c r="BL25" s="130">
        <f t="shared" si="5"/>
        <v>0</v>
      </c>
      <c r="BM25" s="196">
        <f t="shared" si="5"/>
        <v>0</v>
      </c>
    </row>
    <row r="26" spans="47:65" ht="15.75" customHeight="1" x14ac:dyDescent="0.25">
      <c r="BC26" s="382"/>
      <c r="BD26" s="12" t="s">
        <v>3</v>
      </c>
      <c r="BE26" s="13">
        <f t="shared" si="5"/>
        <v>0</v>
      </c>
      <c r="BF26" s="13">
        <f t="shared" si="5"/>
        <v>0</v>
      </c>
      <c r="BG26" s="13">
        <f t="shared" si="5"/>
        <v>0</v>
      </c>
      <c r="BH26" s="13">
        <f t="shared" si="5"/>
        <v>0</v>
      </c>
      <c r="BI26" s="13">
        <f t="shared" si="5"/>
        <v>0</v>
      </c>
      <c r="BJ26" s="13">
        <f t="shared" si="5"/>
        <v>0</v>
      </c>
      <c r="BK26" s="13">
        <f t="shared" si="5"/>
        <v>0</v>
      </c>
      <c r="BL26" s="13">
        <f t="shared" si="5"/>
        <v>0</v>
      </c>
      <c r="BM26" s="113">
        <f t="shared" si="5"/>
        <v>15</v>
      </c>
    </row>
    <row r="27" spans="47:65" ht="15.75" customHeight="1" x14ac:dyDescent="0.25">
      <c r="BC27" s="380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1"/>
      <c r="BD28" s="286" t="s">
        <v>9</v>
      </c>
      <c r="BE28" s="16">
        <f t="shared" ref="BE28:BM32" si="6">IF(ISBLANK(AE4),0,VLOOKUP(AE4,$I$4:$V$15,13,FALSE))</f>
        <v>0</v>
      </c>
      <c r="BF28" s="16">
        <f t="shared" si="6"/>
        <v>0</v>
      </c>
      <c r="BG28" s="16">
        <f t="shared" si="6"/>
        <v>0</v>
      </c>
      <c r="BH28" s="16">
        <f t="shared" si="6"/>
        <v>0</v>
      </c>
      <c r="BI28" s="16">
        <f t="shared" si="6"/>
        <v>0</v>
      </c>
      <c r="BJ28" s="16">
        <f t="shared" si="6"/>
        <v>0</v>
      </c>
      <c r="BK28" s="16">
        <f t="shared" si="6"/>
        <v>0</v>
      </c>
      <c r="BL28" s="16">
        <f t="shared" si="6"/>
        <v>0</v>
      </c>
      <c r="BM28" s="15">
        <f t="shared" si="6"/>
        <v>35</v>
      </c>
    </row>
    <row r="29" spans="47:65" ht="15.75" customHeight="1" x14ac:dyDescent="0.25">
      <c r="BC29" s="381"/>
      <c r="BD29" s="287" t="s">
        <v>7</v>
      </c>
      <c r="BE29" s="33">
        <f t="shared" si="6"/>
        <v>35</v>
      </c>
      <c r="BF29" s="33">
        <f t="shared" si="6"/>
        <v>35</v>
      </c>
      <c r="BG29" s="33">
        <f t="shared" si="6"/>
        <v>35</v>
      </c>
      <c r="BH29" s="33">
        <f t="shared" si="6"/>
        <v>35</v>
      </c>
      <c r="BI29" s="33">
        <f t="shared" si="6"/>
        <v>35</v>
      </c>
      <c r="BJ29" s="33">
        <f t="shared" si="6"/>
        <v>35</v>
      </c>
      <c r="BK29" s="33">
        <f t="shared" si="6"/>
        <v>35</v>
      </c>
      <c r="BL29" s="33">
        <f t="shared" si="6"/>
        <v>35</v>
      </c>
      <c r="BM29" s="194">
        <f t="shared" si="6"/>
        <v>35</v>
      </c>
    </row>
    <row r="30" spans="47:65" ht="15.75" customHeight="1" x14ac:dyDescent="0.25">
      <c r="BC30" s="381"/>
      <c r="BD30" s="192" t="s">
        <v>6</v>
      </c>
      <c r="BE30" s="193">
        <f t="shared" si="6"/>
        <v>0</v>
      </c>
      <c r="BF30" s="193">
        <f t="shared" si="6"/>
        <v>0</v>
      </c>
      <c r="BG30" s="193">
        <f t="shared" si="6"/>
        <v>0</v>
      </c>
      <c r="BH30" s="193">
        <f t="shared" si="6"/>
        <v>0</v>
      </c>
      <c r="BI30" s="193">
        <f t="shared" si="6"/>
        <v>0</v>
      </c>
      <c r="BJ30" s="193">
        <f t="shared" si="6"/>
        <v>0</v>
      </c>
      <c r="BK30" s="193">
        <f t="shared" si="6"/>
        <v>0</v>
      </c>
      <c r="BL30" s="193">
        <f t="shared" si="6"/>
        <v>0</v>
      </c>
      <c r="BM30" s="195">
        <f t="shared" si="6"/>
        <v>35</v>
      </c>
    </row>
    <row r="31" spans="47:65" ht="15.75" customHeight="1" x14ac:dyDescent="0.25">
      <c r="BC31" s="381"/>
      <c r="BD31" s="288" t="s">
        <v>4</v>
      </c>
      <c r="BE31" s="130">
        <f t="shared" si="6"/>
        <v>0</v>
      </c>
      <c r="BF31" s="130">
        <f t="shared" si="6"/>
        <v>0</v>
      </c>
      <c r="BG31" s="130">
        <f t="shared" si="6"/>
        <v>0</v>
      </c>
      <c r="BH31" s="130">
        <f t="shared" si="6"/>
        <v>0</v>
      </c>
      <c r="BI31" s="130">
        <f t="shared" si="6"/>
        <v>0</v>
      </c>
      <c r="BJ31" s="130">
        <f t="shared" si="6"/>
        <v>0</v>
      </c>
      <c r="BK31" s="130">
        <f t="shared" si="6"/>
        <v>0</v>
      </c>
      <c r="BL31" s="130">
        <f t="shared" si="6"/>
        <v>0</v>
      </c>
      <c r="BM31" s="196">
        <f t="shared" si="6"/>
        <v>0</v>
      </c>
    </row>
    <row r="32" spans="47:65" ht="15.75" customHeight="1" x14ac:dyDescent="0.25">
      <c r="BC32" s="382"/>
      <c r="BD32" s="12" t="s">
        <v>3</v>
      </c>
      <c r="BE32" s="13">
        <f t="shared" si="6"/>
        <v>0</v>
      </c>
      <c r="BF32" s="13">
        <f t="shared" si="6"/>
        <v>0</v>
      </c>
      <c r="BG32" s="13">
        <f t="shared" si="6"/>
        <v>0</v>
      </c>
      <c r="BH32" s="13">
        <f t="shared" si="6"/>
        <v>0</v>
      </c>
      <c r="BI32" s="13">
        <f t="shared" si="6"/>
        <v>0</v>
      </c>
      <c r="BJ32" s="13">
        <f t="shared" si="6"/>
        <v>0</v>
      </c>
      <c r="BK32" s="13">
        <f t="shared" si="6"/>
        <v>0</v>
      </c>
      <c r="BL32" s="13">
        <f t="shared" si="6"/>
        <v>0</v>
      </c>
      <c r="BM32" s="113">
        <f t="shared" si="6"/>
        <v>35</v>
      </c>
    </row>
    <row r="33" spans="55:65" ht="15.75" customHeight="1" x14ac:dyDescent="0.25">
      <c r="BC33" s="380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1"/>
      <c r="BD34" s="286" t="s">
        <v>9</v>
      </c>
      <c r="BE34" s="333">
        <f t="shared" ref="BE34:BM38" si="7">IF(ISBLANK(AE4),0,VLOOKUP(AE4,$I$4:$V$15,14,FALSE))</f>
        <v>0</v>
      </c>
      <c r="BF34" s="333">
        <f t="shared" si="7"/>
        <v>0</v>
      </c>
      <c r="BG34" s="333">
        <f t="shared" si="7"/>
        <v>0</v>
      </c>
      <c r="BH34" s="333">
        <f t="shared" si="7"/>
        <v>0</v>
      </c>
      <c r="BI34" s="333">
        <f t="shared" si="7"/>
        <v>0</v>
      </c>
      <c r="BJ34" s="333">
        <f t="shared" si="7"/>
        <v>0</v>
      </c>
      <c r="BK34" s="333">
        <f t="shared" si="7"/>
        <v>0</v>
      </c>
      <c r="BL34" s="333">
        <f t="shared" si="7"/>
        <v>0</v>
      </c>
      <c r="BM34" s="334">
        <f t="shared" si="7"/>
        <v>52500000</v>
      </c>
    </row>
    <row r="35" spans="55:65" ht="15.75" customHeight="1" x14ac:dyDescent="0.25">
      <c r="BC35" s="381"/>
      <c r="BD35" s="287" t="s">
        <v>7</v>
      </c>
      <c r="BE35" s="335">
        <f t="shared" si="7"/>
        <v>42500000</v>
      </c>
      <c r="BF35" s="335">
        <f t="shared" si="7"/>
        <v>42500000</v>
      </c>
      <c r="BG35" s="335">
        <f t="shared" si="7"/>
        <v>42500000</v>
      </c>
      <c r="BH35" s="335">
        <f t="shared" si="7"/>
        <v>42500000</v>
      </c>
      <c r="BI35" s="335">
        <f t="shared" si="7"/>
        <v>42500000</v>
      </c>
      <c r="BJ35" s="335">
        <f t="shared" si="7"/>
        <v>42500000</v>
      </c>
      <c r="BK35" s="335">
        <f t="shared" si="7"/>
        <v>42500000</v>
      </c>
      <c r="BL35" s="335">
        <f t="shared" si="7"/>
        <v>42500000</v>
      </c>
      <c r="BM35" s="336">
        <f t="shared" si="7"/>
        <v>52500000</v>
      </c>
    </row>
    <row r="36" spans="55:65" ht="15.75" customHeight="1" x14ac:dyDescent="0.25">
      <c r="BC36" s="381"/>
      <c r="BD36" s="192" t="s">
        <v>6</v>
      </c>
      <c r="BE36" s="337">
        <f t="shared" si="7"/>
        <v>0</v>
      </c>
      <c r="BF36" s="337">
        <f t="shared" si="7"/>
        <v>0</v>
      </c>
      <c r="BG36" s="337">
        <f t="shared" si="7"/>
        <v>0</v>
      </c>
      <c r="BH36" s="337">
        <f t="shared" si="7"/>
        <v>0</v>
      </c>
      <c r="BI36" s="337">
        <f t="shared" si="7"/>
        <v>0</v>
      </c>
      <c r="BJ36" s="337">
        <f t="shared" si="7"/>
        <v>0</v>
      </c>
      <c r="BK36" s="337">
        <f t="shared" si="7"/>
        <v>0</v>
      </c>
      <c r="BL36" s="337">
        <f t="shared" si="7"/>
        <v>0</v>
      </c>
      <c r="BM36" s="338">
        <f t="shared" si="7"/>
        <v>52500000</v>
      </c>
    </row>
    <row r="37" spans="55:65" ht="15.75" customHeight="1" x14ac:dyDescent="0.25">
      <c r="BC37" s="381"/>
      <c r="BD37" s="288" t="s">
        <v>4</v>
      </c>
      <c r="BE37" s="339">
        <f t="shared" si="7"/>
        <v>0</v>
      </c>
      <c r="BF37" s="339">
        <f t="shared" si="7"/>
        <v>0</v>
      </c>
      <c r="BG37" s="339">
        <f t="shared" si="7"/>
        <v>0</v>
      </c>
      <c r="BH37" s="339">
        <f t="shared" si="7"/>
        <v>0</v>
      </c>
      <c r="BI37" s="339">
        <f t="shared" si="7"/>
        <v>0</v>
      </c>
      <c r="BJ37" s="339">
        <f t="shared" si="7"/>
        <v>0</v>
      </c>
      <c r="BK37" s="339">
        <f t="shared" si="7"/>
        <v>0</v>
      </c>
      <c r="BL37" s="339">
        <f t="shared" si="7"/>
        <v>0</v>
      </c>
      <c r="BM37" s="340">
        <f t="shared" si="7"/>
        <v>0</v>
      </c>
    </row>
    <row r="38" spans="55:65" ht="15.75" customHeight="1" x14ac:dyDescent="0.25">
      <c r="BC38" s="382"/>
      <c r="BD38" s="12" t="s">
        <v>3</v>
      </c>
      <c r="BE38" s="341">
        <f t="shared" si="7"/>
        <v>0</v>
      </c>
      <c r="BF38" s="341">
        <f t="shared" si="7"/>
        <v>0</v>
      </c>
      <c r="BG38" s="341">
        <f t="shared" si="7"/>
        <v>0</v>
      </c>
      <c r="BH38" s="341">
        <f t="shared" si="7"/>
        <v>0</v>
      </c>
      <c r="BI38" s="341">
        <f t="shared" si="7"/>
        <v>0</v>
      </c>
      <c r="BJ38" s="341">
        <f t="shared" si="7"/>
        <v>0</v>
      </c>
      <c r="BK38" s="341">
        <f t="shared" si="7"/>
        <v>0</v>
      </c>
      <c r="BL38" s="341">
        <f t="shared" si="7"/>
        <v>0</v>
      </c>
      <c r="BM38" s="342">
        <f t="shared" si="7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52" operator="equal">
      <formula>"O"</formula>
    </cfRule>
    <cfRule type="cellIs" dxfId="5" priority="10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tabSelected="1" workbookViewId="0">
      <pane ySplit="4" topLeftCell="A5" activePane="bottomLeft" state="frozen"/>
      <selection pane="bottomLeft" activeCell="Q18" sqref="Q18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3:24" x14ac:dyDescent="0.25"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3:24" x14ac:dyDescent="0.25"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3:24" x14ac:dyDescent="0.25"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3:24" x14ac:dyDescent="0.25"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3:24" x14ac:dyDescent="0.25"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3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3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3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3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3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3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3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3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3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3:24" x14ac:dyDescent="0.25">
      <c r="X31" s="81"/>
    </row>
    <row r="32" spans="13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65" t="s">
        <v>262</v>
      </c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404"/>
    </row>
    <row r="2" spans="1:46" ht="15.75" customHeight="1" x14ac:dyDescent="0.25">
      <c r="A2" s="377" t="s">
        <v>62</v>
      </c>
      <c r="B2" s="378"/>
      <c r="C2" s="378"/>
      <c r="D2" s="379"/>
      <c r="E2" s="377" t="s">
        <v>246</v>
      </c>
      <c r="F2" s="378"/>
      <c r="G2" s="378"/>
      <c r="H2" s="378"/>
      <c r="I2" s="378"/>
      <c r="J2" s="378"/>
      <c r="K2" s="378"/>
      <c r="L2" s="379"/>
      <c r="M2" s="377" t="s">
        <v>254</v>
      </c>
      <c r="N2" s="378"/>
      <c r="O2" s="378"/>
      <c r="P2" s="378"/>
      <c r="Q2" s="378"/>
      <c r="R2" s="378"/>
      <c r="S2" s="378"/>
      <c r="T2" s="378"/>
      <c r="U2" s="378"/>
      <c r="V2" s="379"/>
      <c r="W2" s="377" t="s">
        <v>259</v>
      </c>
      <c r="X2" s="378"/>
      <c r="Y2" s="378"/>
      <c r="Z2" s="378"/>
      <c r="AA2" s="379"/>
      <c r="AB2" s="377" t="s">
        <v>232</v>
      </c>
      <c r="AC2" s="378"/>
      <c r="AD2" s="378"/>
      <c r="AE2" s="378"/>
      <c r="AF2" s="378"/>
      <c r="AG2" s="378"/>
      <c r="AH2" s="378"/>
      <c r="AI2" s="379"/>
      <c r="AJ2" s="377" t="s">
        <v>233</v>
      </c>
      <c r="AK2" s="378"/>
      <c r="AL2" s="378"/>
      <c r="AM2" s="378"/>
      <c r="AN2" s="378"/>
      <c r="AO2" s="378"/>
      <c r="AP2" s="378"/>
      <c r="AQ2" s="378"/>
      <c r="AR2" s="378"/>
      <c r="AS2" s="378"/>
      <c r="AT2" s="379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7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8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0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9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0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67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1"/>
        <v>0</v>
      </c>
      <c r="AJ7" s="400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8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1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69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7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1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68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0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69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0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91"/>
  <sheetViews>
    <sheetView topLeftCell="A173" workbookViewId="0">
      <selection activeCell="E185" sqref="E185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18452.726941083351</v>
      </c>
      <c r="F3" s="97" cm="1">
        <f t="array" ref="F3">SUMIF($H6:$H99999,"&gt;0") / SCOUT_DAYS_FROM_EARLIEST * 30</f>
        <v>54120.897428102006</v>
      </c>
      <c r="G3" s="97"/>
      <c r="H3" s="97" cm="1">
        <f t="array" ref="H3">(SUMIF($F6:$F99999,"&gt;0") + SUMIF($H6:$H99999,"&gt;0")) / SCOUT_DAYS_FROM_EARLIEST * 30</f>
        <v>72573.624369185345</v>
      </c>
      <c r="I3" s="97" cm="1">
        <f t="array" ref="I3">(SUMIF($F6:$F99999,"&lt;0") + SUMIF($H6:$H99999,"&lt;0")) / SCOUT_DAYS_FROM_EARLIEST * 30</f>
        <v>-78030.279078250795</v>
      </c>
      <c r="J3" s="97">
        <f>H3+I3</f>
        <v>-5456.6547090654494</v>
      </c>
      <c r="L3" s="10" cm="1">
        <f t="array" ref="L3">SUM(L6:L99999) / SCOUT_DAYS_FROM_EARLIEST * 30</f>
        <v>58675.016720374122</v>
      </c>
      <c r="M3" s="100" cm="1">
        <f t="array" ref="M3">SUM(M6:M99999) / SCOUT_DAYS_FROM_EARLIEST * 30</f>
        <v>1094.1326685717684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6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B191" s="117" t="s">
        <v>293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3"/>
  <sheetViews>
    <sheetView topLeftCell="A7" workbookViewId="0">
      <selection activeCell="J23" sqref="J23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>I22-I21</f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9">C23-C22</f>
        <v>1</v>
      </c>
      <c r="G23" s="86">
        <f t="shared" ref="G23" si="10">D23-D22</f>
        <v>0</v>
      </c>
      <c r="H23" s="86">
        <f t="shared" ref="H23" si="11">E23-E22</f>
        <v>1</v>
      </c>
      <c r="I23" s="84">
        <f t="shared" si="8"/>
        <v>480</v>
      </c>
      <c r="J23" s="86">
        <f>I23-I22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28.296469512392665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-363 D 17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-366 D 09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-375 D 03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-380 D 15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-367 D 04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-161 D 13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-259 D 13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-312 D 07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-328 D 13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-348 D 02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-360 D 03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-384 D 17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-363 D 19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-369 D 11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-373 D 20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-380 D 16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-382 D 13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-377 D 08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-351 D 14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-340 D 13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-356 D 19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-355 D 20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-366 D 17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-358 D 10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-362 D 09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-362 D 19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-358 D 04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-359 D 12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-371 D 03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-358 D 18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-360 D 02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-370 D 11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-360 D 23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-360 D 06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-370 D 01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-361 D 02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-360 D 12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-350 D 12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-361 D 09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-361 D 02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-349 D 08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-362 D 03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-358 D 10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-356 D 05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-362 D 11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-360 D 23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-363 D 09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-362 D 19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-361 D 19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-369 D 23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-363 D 02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-362 D 04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-374 D 22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-363 D 13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-363 D 05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-365 D 19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-362 D 11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-360 D 07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-366 D 11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-361 D 09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-361 D 00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-352 D 06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-361 D 03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-362 D 06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-351 D 07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-360 D 10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-359 D 13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-348 D 10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-359 D 09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-359 D 18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-336 D 20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-359 D 07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-360 D 00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-340 D 06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-358 D 22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-360 D 05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-346 D 03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-359 D 02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-360 D 18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-352 D 08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-359 D 05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-361 D 07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-344 D 17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-360 D 14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-359 D 10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-361 D 05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-360 D 15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-360 D 08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-361 D 07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-360 D 17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-360 D 17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-345 D 22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-360 D 02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-359 D 09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-354 D 09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-360 D 15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-360 D 14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-371 D 21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-361 D 19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-362 D 17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-371 D 07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-362 D 00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-361 D 20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-375 D 09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-362 D 19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-362 D 16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-380 D 10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-363 D 12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-364 D 04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-383 D 02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-364 D 20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-365 D 02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-384 D 08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-365 D 20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-365 D 07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-391 D 14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-367 D 07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-365 D 19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-391 D 17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-368 D 08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-366 D 08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-391 D 23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-369 D 08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-366 D 14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-392 D 18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-370 D 03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-367 D 03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-393 D 03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-371 D 04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-367 D 10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-391 D 18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-371 D 17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-367 D 12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-391 D 21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-372 D 16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-367 D 19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-392 D 02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-373 D 04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-368 D 00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-387 D 01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-373 D 06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-367 D 07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-384 D 16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-373 D 13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-367 D 13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-383 D 23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-373 D 21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-367 D 21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-378 D 10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-374 D 18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-368 D 10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-381 D 05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-375 D 05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-368 D 23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-383 D 07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-375 D 20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-369 D 14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-386 D 07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-376 D 17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-370 D 01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-392 D 10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-378 D 09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-370 D 14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-395 D 22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-380 D 00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-371 D 21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-395 D 13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-381 D 03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-372 D 07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-394 D 05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-381 D 15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-372 D 13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-394 D 02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-382 D 02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-372 D 19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-394 D 00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-383 D 02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-372 D 22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-394 D 00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-383 D 11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-373 D 02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-390 D 17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-383 D 16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-373 D 04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-384 D 07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-385 D 16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-373 D 15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-384 D 02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-386 D 10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-373 D 19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-383 D 16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-386 D 13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-373 D 20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-384 D 02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-387 D 07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-374 D 01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-381 D 21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-388 D 19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-374 D 01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-382 D 00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-388 D 18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-374 D 16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-383 D 12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-388 D 14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-374 D 23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-384 D 14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-389 D 00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-375 D 08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-389 D 07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-389 D 01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-375 D 23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-389 D 12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-389 D 00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-376 D 02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-379 D 20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-388 D 12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-375 D 05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-377 D 19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-388 D 06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-375 D 09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-376 D 04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-388 D 04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-376 D 01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-388 D 03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-388 D 03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-377 D 03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-390 D 13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-388 D 03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-377 D 07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-393 D 23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-388 D 00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-377 D 21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-393 D 08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-388 D 00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-378 D 01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-393 D 03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-388 D 02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-378 D 03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-393 D 07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-388 D 05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-378 D 10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-393 D 10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-388 D 07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-378 D 12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-380 D 00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-387 D 08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-377 D 08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-356 D 17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-386 D 15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-377 D 11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-360 D 06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-386 D 10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-377 D 18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-365 D 04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-386 D 08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-377 D 21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-374 D 06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-386 D 02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-378 D 01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-388 D 07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-385 D 23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-378 D 07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-388 D 20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-385 D 23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-378 D 10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-389 D 05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-385 D 22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-378 D 12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-390 D 14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-386 D 01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-378 D 20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-391 D 03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-386 D 05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-379 D 01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-387 D 05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-385 D 21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-378 D 12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-380 D 17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-385 D 20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-378 D 13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-377 D 12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-385 D 16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-378 D 13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-377 D 13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-385 D 15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-378 D 14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-340 D 23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-384 D 08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-377 D 06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-362 D 12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-384 D 03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-378 D 03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-394 D 13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-384 D 03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-379 D 18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-326 D 11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-379 D 09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-377 D 18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-335 D 04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-377 D 13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-377 D 06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-340 D 16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-376 D 20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-377 D 08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-373 D 10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-376 D 09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-377 D 09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-383 D 05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-375 D 19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-377 D 21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-378 D 16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-374 D 17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-377 D 12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-376 D 20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-375 D 11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-377 D 22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-379 D 08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-376 D 03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-378 D 00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-381 D 23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-376 D 13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-377 D 20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-381 D 12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-377 D 15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-378 D 06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-381 D 23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-377 D 02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-378 D 02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-382 D 19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-377 D 18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-378 D 09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-378 D 22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-378 D 01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-378 D 05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-381 D 15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-378 D 13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-378 D 11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-382 D 18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-381 D 13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-379 D 00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-382 D 09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-381 D 14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-379 D 00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-381 D 12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-381 D 12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-378 D 22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-380 D 02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-381 D 05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-379 D 02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-379 D 06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-380 D 14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-378 D 22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-379 D 10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-380 D 12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-379 D 01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-380 D 03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-380 D 11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-379 D 04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-380 D 22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-380 D 11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-379 D 05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-374 D 09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-379 D 22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-378 D 20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-374 D 05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-379 D 11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-378 D 21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-374 D 08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-379 D 06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-378 D 19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-375 D 20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-379 D 05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-378 D 21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-379 D 13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-379 D 05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-378 D 22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-380 D 01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-379 D 06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-379 D 00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-380 D 18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-379 D 08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-379 D 01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-378 D 08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-379 D 00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-378 D 18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-383 D 09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-379 D 01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-379 D 04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-382 D 20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-379 D 03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-379 D 03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-380 D 20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-379 D 00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-378 D 23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-380 D 14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-379 D 02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-379 D 01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-379 D 05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-379 D 09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-379 D 06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-382 D 10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-379 D 16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-379 D 10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-383 D 04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-379 D 20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-379 D 11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-382 D 02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-379 D 19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-379 D 07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-382 D 18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-379 D 21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-379 D 09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-381 D 11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-379 D 23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-379 D 10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-380 D 13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-380 D 02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-379 D 12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-381 D 03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-380 D 09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-379 D 15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-382 D 21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-380 D 13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-379 D 16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-379 D 21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-380 D 13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-379 D 13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-380 D 00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-380 D 15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-379 D 15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-380 D 19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-380 D 22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-379 D 20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-381 D 02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-381 D 01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-379 D 19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-382 D 06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-381 D 03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-379 D 21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-381 D 16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-381 D 08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-379 D 21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-380 D 22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-381 D 10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-379 D 22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-379 D 13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-381 D 11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-379 D 22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-379 D 23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-381 D 11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-379 D 23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-380 D 05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-381 D 13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-380 D 00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-380 D 05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-381 D 12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-379 D 23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-380 D 14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-381 D 13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-380 D 02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-380 D 18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-381 D 13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-380 D 02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-380 D 19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-381 D 12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-380 D 01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-379 D 15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-381 D 08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-379 D 23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-380 D 20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-381 D 11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-380 D 05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-382 D 10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-381 D 14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-380 D 09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-382 D 03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-381 D 12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-380 D 07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-382 D 05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-381 D 13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-380 D 08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-383 D 06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-381 D 15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-380 D 11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-383 D 10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-381 D 16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-380 D 13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-383 D 12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-381 D 20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-380 D 17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-384 D 00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-381 D 23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-380 D 18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-380 D 22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-381 D 15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-380 D 10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-377 D 17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-381 D 14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-380 D 11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-377 D 13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-381 D 15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-380 D 13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-378 D 07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-381 D 15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-380 D 13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-378 D 23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-381 D 16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-380 D 14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-378 D 03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-381 D 09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-380 D 08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-379 D 14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-381 D 09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-380 D 09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-376 D 23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-381 D 05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-380 D 07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-377 D 17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-381 D 04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-380 D 08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-378 D 11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-381 D 04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-380 D 09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-379 D 03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-381 D 04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-380 D 10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-379 D 13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-381 D 04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-380 D 11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-380 D 07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-381 D 05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-380 D 13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-382 D 02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-381 D 06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-380 D 14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-380 D 20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-380 D 23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-380 D 07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-380 D 13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-380 D 23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-380 D 09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-381 D 09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-381 D 05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-380 D 17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-381 D 20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-381 D 04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-380 D 16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-382 D 00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-381 D 05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-380 D 17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-382 D 22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-381 D 07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-380 D 19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-382 D 22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-381 D 09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-380 D 21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-383 D 02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-381 D 11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-380 D 23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-383 D 09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-381 D 15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-381 D 02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-383 D 13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-381 D 18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-381 D 05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-384 D 01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-381 D 22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-381 D 09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-384 D 02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-382 D 00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-381 D 11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-384 D 03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-382 D 02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-381 D 12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-384 D 14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-382 D 10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-381 D 19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-384 D 12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-382 D 12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-381 D 20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-385 D 04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-383 D 05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-382 D 16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-385 D 07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-383 D 11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-382 D 20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-385 D 08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-383 D 15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-382 D 23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-385 D 09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-383 D 18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-383 D 02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-385 D 09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-384 D 00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-383 D 08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-385 D 09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-384 D 02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-383 D 09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-384 D 21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-384 D 07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-383 D 17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5">
        <v>43677.583333333336</v>
      </c>
      <c r="C1" s="425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5">
        <v>43688.583333333336</v>
      </c>
      <c r="C2" s="4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4" t="str">
        <f ca="1">IF(NOW() &gt; $B$2,"",(NOW()-$B$1)/($B$2-$B$1))</f>
        <v/>
      </c>
      <c r="H2" s="424"/>
      <c r="I2" s="424"/>
      <c r="J2" s="424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1" t="s">
        <v>42</v>
      </c>
      <c r="K5" s="391"/>
      <c r="L5" s="428" t="s">
        <v>43</v>
      </c>
      <c r="M5" s="428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2020-10-09T03:14:02Z</dcterms:modified>
</cp:coreProperties>
</file>