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1979" documentId="14_{049F9EFC-050E-4651-8DC8-B33E922A69AE}" xr6:coauthVersionLast="43" xr6:coauthVersionMax="43" xr10:uidLastSave="{8D575F21-1D2A-48F1-B8C6-27C0D4217B31}"/>
  <bookViews>
    <workbookView xWindow="0" yWindow="3075" windowWidth="20850" windowHeight="11475" activeTab="6" xr2:uid="{D0E79A60-AC9E-4AFD-A74C-CCE50AE0356B}"/>
  </bookViews>
  <sheets>
    <sheet name="迎擊" sheetId="18" r:id="rId1"/>
    <sheet name="真龍試煉" sheetId="20" r:id="rId2"/>
    <sheet name="龍之試煉" sheetId="19" r:id="rId3"/>
    <sheet name="虛空" sheetId="21" r:id="rId4"/>
    <sheet name="Raid" sheetId="16" r:id="rId5"/>
    <sheet name="資料-龍試煉" sheetId="4" r:id="rId6"/>
    <sheet name="資料-迎擊" sheetId="7" r:id="rId7"/>
    <sheet name="資料-虛空" sheetId="15" r:id="rId8"/>
    <sheet name="_DataHDrags" sheetId="9" state="hidden" r:id="rId9"/>
    <sheet name="掉落-真火" sheetId="10" r:id="rId10"/>
    <sheet name="_DataHMerc" sheetId="11" state="hidden" r:id="rId11"/>
    <sheet name="掉落-真風" sheetId="14" r:id="rId12"/>
    <sheet name="_DataHJup" sheetId="13" state="hidden" r:id="rId13"/>
    <sheet name="_DataHZod" sheetId="12" state="hidden" r:id="rId14"/>
  </sheets>
  <externalReferences>
    <externalReference r:id="rId15"/>
    <externalReference r:id="rId16"/>
  </externalReferences>
  <definedNames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DATA_DRAG_ACCU_EXP">'資料-龍試煉'!$G$2:$G$101</definedName>
    <definedName name="DATA_DRAG_LV_EXP">'資料-龍試煉'!$F$2:$F$101</definedName>
    <definedName name="DATA_DRAGON_EXP">'資料-龍試煉'!$A:$A</definedName>
    <definedName name="DATA_DRAGON_PLAYS">'資料-龍試煉'!$B:$B</definedName>
    <definedName name="DATA_HDRAG_HBRUN" comment="Raw drop data of High Brunhilda">'掉落-真火'!$1:$1048576</definedName>
    <definedName name="DATA_HDRAG_HJUP" comment="Raw drop data of High Jupiter">_DataHJup!$1:$1048576</definedName>
    <definedName name="DATA_HDRAG_HMERC" comment="Raw drop data of High Mercury">_DataHMerc!$1:$1048576</definedName>
    <definedName name="DATA_HDRAG_HMID" comment="Raw drop data of High Midgarsormr">'掉落-真風'!$1:$1048576</definedName>
    <definedName name="DATA_HDRAG_HZOD" comment="Raw drop data of High Zodiac">_DataHZod!$1:$1048576</definedName>
    <definedName name="DATA_HDRAGS_BUILDING" comment="Table of orbs required for upgrading the building of high dragons.">_DataHDrags!$A$2:$A$32</definedName>
    <definedName name="DATA_HDRAGS_DRAGON" comment="Table of orbs required for limit breaking the high dragons.">_DataHDrags!$B$2:$B$7</definedName>
    <definedName name="DATA_IO" comment="Raw data for building Imperial Onslaught related facilities.">'資料-迎擊'!$AJ$3:$AR$32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DRAGON_MAX_EXP">'資料-龍試煉'!$G$101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S_MAX_ALL" comment="Value of required orbs for maxing all high dragons related objects.">HDRAGS_MAX_BUILDING + HDRAGS_MAX_DRAGON</definedName>
    <definedName name="HDRAGS_MAX_BUILDING" comment="Value of orbs required for maxing the building of the high dragons.">MAX(DATA_HDRAGS_BUILDING)</definedName>
    <definedName name="HDRAGS_MAX_DRAGON" comment="Value of orbs required for maxing the limit break of the high dragons.">MAX(DATA_HDRAGS_DRAGON)</definedName>
    <definedName name="HDRAGS_MAX_DRAGON_BLD_16" comment="Value of required orbs for max limit break the dragon and upgrade the building to Lv.16.">MAX(DATA_HDRAGS_DRAGON)+INDEX(DATA_HDRAGS_BUILDING,16)</definedName>
    <definedName name="IO_WEAPON_434">250</definedName>
    <definedName name="IO_WEAPON_530">200</definedName>
    <definedName name="RAID_GOAL_BLAZON">Raid!$E$6</definedName>
    <definedName name="RAID_GOAL_EMBLEM">Raid!$E$5</definedName>
    <definedName name="RAID_TIME_DURATION">Raid!$E$2</definedName>
    <definedName name="RAID_TIME_END">Raid!$B$2</definedName>
    <definedName name="RAID_TIME_START">Raid!$B$1</definedName>
    <definedName name="VOID_TOTAL_GAMES">SUM('資料-虛空'!$A:$A)</definedName>
    <definedName name="VOID_TOTAL_GOLD">SUM('資料-虛空'!$B:$B)</definedName>
    <definedName name="VOID_TOTAL_SILVER">SUM('資料-虛空'!$C:$C)</definedName>
    <definedName name="VOID_TOTAL_SILVER2">SUM('資料-虛空'!$D:$D)</definedName>
    <definedName name="VOID_TOTAL_SILVER2_GAMES">SUM('資料-虛空'!$E:$E)</definedName>
    <definedName name="VOID_TOTAL_SPECIAL">SUM('資料-虛空'!$F:$F)</definedName>
    <definedName name="WINGS_CONSUME_DRAGON" comment="Count of wings needed for a Dragon's Trial (Master).">2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50</definedName>
    <definedName name="WINGS_RECOVER_NUM" comment="Count of wings can be recovered at once.">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7" l="1"/>
  <c r="C3" i="7"/>
  <c r="A4" i="7"/>
  <c r="C4" i="7"/>
  <c r="A5" i="7"/>
  <c r="C5" i="7"/>
  <c r="F3" i="7"/>
  <c r="H3" i="7"/>
  <c r="F4" i="7"/>
  <c r="H4" i="7"/>
  <c r="F5" i="7"/>
  <c r="H5" i="7"/>
  <c r="F6" i="7"/>
  <c r="H6" i="7"/>
  <c r="F7" i="7"/>
  <c r="H7" i="7"/>
  <c r="F8" i="7"/>
  <c r="H8" i="7"/>
  <c r="F9" i="7"/>
  <c r="H9" i="7"/>
  <c r="F10" i="7"/>
  <c r="H10" i="7"/>
  <c r="F11" i="7"/>
  <c r="H11" i="7"/>
  <c r="F12" i="7"/>
  <c r="H12" i="7"/>
  <c r="F13" i="7"/>
  <c r="H13" i="7"/>
  <c r="F14" i="7"/>
  <c r="H14" i="7"/>
  <c r="F15" i="7"/>
  <c r="H15" i="7"/>
  <c r="F16" i="7"/>
  <c r="H16" i="7"/>
  <c r="F17" i="7"/>
  <c r="H17" i="7"/>
  <c r="K3" i="7"/>
  <c r="M3" i="7"/>
  <c r="K4" i="7"/>
  <c r="M4" i="7"/>
  <c r="K5" i="7"/>
  <c r="M5" i="7"/>
  <c r="K6" i="7"/>
  <c r="M6" i="7"/>
  <c r="K7" i="7"/>
  <c r="M7" i="7"/>
  <c r="K8" i="7"/>
  <c r="M8" i="7"/>
  <c r="P3" i="7"/>
  <c r="R3" i="7"/>
  <c r="P4" i="7"/>
  <c r="R4" i="7"/>
  <c r="P5" i="7"/>
  <c r="R5" i="7"/>
  <c r="P6" i="7"/>
  <c r="R6" i="7"/>
  <c r="P7" i="7"/>
  <c r="R7" i="7"/>
  <c r="R8" i="7"/>
  <c r="P8" i="7"/>
  <c r="W3" i="7"/>
  <c r="W4" i="7"/>
  <c r="W5" i="7"/>
  <c r="W6" i="7"/>
  <c r="U3" i="7"/>
  <c r="U4" i="7"/>
  <c r="U5" i="7"/>
  <c r="U6" i="7"/>
  <c r="U7" i="7"/>
  <c r="O2" i="18"/>
  <c r="O4" i="18"/>
  <c r="O6" i="18"/>
  <c r="O8" i="18"/>
  <c r="O10" i="18"/>
  <c r="O12" i="18"/>
  <c r="N16" i="18"/>
  <c r="N15" i="18"/>
  <c r="N14" i="18"/>
  <c r="M16" i="18"/>
  <c r="D15" i="18"/>
  <c r="I15" i="18"/>
  <c r="K15" i="18"/>
  <c r="M15" i="18"/>
  <c r="D14" i="18"/>
  <c r="I14" i="18"/>
  <c r="K14" i="18"/>
  <c r="M14" i="18"/>
  <c r="D10" i="18"/>
  <c r="I10" i="18"/>
  <c r="N2" i="18"/>
  <c r="N4" i="18"/>
  <c r="N6" i="18"/>
  <c r="N8" i="18"/>
  <c r="W7" i="7"/>
  <c r="N10" i="18"/>
  <c r="N12" i="18"/>
  <c r="L10" i="18"/>
  <c r="D2" i="18"/>
  <c r="I2" i="18"/>
  <c r="L2" i="18"/>
  <c r="D3" i="18"/>
  <c r="I3" i="18"/>
  <c r="N3" i="18"/>
  <c r="N5" i="18"/>
  <c r="N7" i="18"/>
  <c r="N9" i="18"/>
  <c r="N11" i="18"/>
  <c r="N13" i="18"/>
  <c r="L3" i="18"/>
  <c r="D4" i="18"/>
  <c r="I4" i="18"/>
  <c r="L4" i="18"/>
  <c r="D5" i="18"/>
  <c r="I5" i="18"/>
  <c r="L5" i="18"/>
  <c r="D6" i="18"/>
  <c r="I6" i="18"/>
  <c r="L6" i="18"/>
  <c r="D7" i="18"/>
  <c r="I7" i="18"/>
  <c r="L7" i="18"/>
  <c r="D8" i="18"/>
  <c r="I8" i="18"/>
  <c r="L8" i="18"/>
  <c r="D9" i="18"/>
  <c r="I9" i="18"/>
  <c r="L9" i="18"/>
  <c r="D11" i="18"/>
  <c r="I11" i="18"/>
  <c r="L11" i="18"/>
  <c r="D16" i="18"/>
  <c r="I16" i="18"/>
  <c r="K16" i="18"/>
  <c r="F16" i="18"/>
  <c r="E16" i="18"/>
  <c r="J16" i="18"/>
  <c r="F15" i="18"/>
  <c r="E15" i="18"/>
  <c r="J15" i="18"/>
  <c r="F14" i="18"/>
  <c r="E14" i="18"/>
  <c r="J14" i="18"/>
  <c r="G16" i="18"/>
  <c r="G15" i="18"/>
  <c r="G14" i="18"/>
  <c r="X5" i="18"/>
  <c r="Q6" i="18"/>
  <c r="X6" i="18"/>
  <c r="W5" i="18"/>
  <c r="W6" i="18"/>
  <c r="V5" i="18"/>
  <c r="V6" i="18"/>
  <c r="U5" i="18"/>
  <c r="U6" i="18"/>
  <c r="T5" i="18"/>
  <c r="T6" i="18"/>
  <c r="K6" i="19"/>
  <c r="P3" i="19"/>
  <c r="P2" i="19"/>
  <c r="K5" i="19"/>
  <c r="N5" i="19"/>
  <c r="K6" i="21"/>
  <c r="E6" i="21"/>
  <c r="K7" i="21"/>
  <c r="I6" i="21"/>
  <c r="I7" i="21"/>
  <c r="H6" i="21"/>
  <c r="H7" i="21"/>
  <c r="J6" i="21"/>
  <c r="J7" i="21"/>
  <c r="C7" i="21"/>
  <c r="B7" i="21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C6" i="21"/>
  <c r="B6" i="21"/>
  <c r="C5" i="21"/>
  <c r="B5" i="21"/>
  <c r="C4" i="21"/>
  <c r="B4" i="21"/>
  <c r="B6" i="19"/>
  <c r="B8" i="19"/>
  <c r="B7" i="19"/>
  <c r="B9" i="19"/>
  <c r="B10" i="19"/>
  <c r="F4" i="19"/>
  <c r="F5" i="19"/>
  <c r="G39" i="16"/>
  <c r="I39" i="16"/>
  <c r="G44" i="16"/>
  <c r="I44" i="16"/>
  <c r="L44" i="16"/>
  <c r="F39" i="16"/>
  <c r="H39" i="16"/>
  <c r="F44" i="16"/>
  <c r="H44" i="16"/>
  <c r="K44" i="16"/>
  <c r="G43" i="16"/>
  <c r="I43" i="16"/>
  <c r="L43" i="16"/>
  <c r="F43" i="16"/>
  <c r="H43" i="16"/>
  <c r="K43" i="16"/>
  <c r="G42" i="16"/>
  <c r="I42" i="16"/>
  <c r="L42" i="16"/>
  <c r="F42" i="16"/>
  <c r="H42" i="16"/>
  <c r="K42" i="16"/>
  <c r="G41" i="16"/>
  <c r="I41" i="16"/>
  <c r="L41" i="16"/>
  <c r="F41" i="16"/>
  <c r="H41" i="16"/>
  <c r="K41" i="16"/>
  <c r="G40" i="16"/>
  <c r="I40" i="16"/>
  <c r="L40" i="16"/>
  <c r="F40" i="16"/>
  <c r="H40" i="16"/>
  <c r="K40" i="16"/>
  <c r="L39" i="16"/>
  <c r="K39" i="16"/>
  <c r="G31" i="16"/>
  <c r="I31" i="16"/>
  <c r="G38" i="16"/>
  <c r="I38" i="16"/>
  <c r="L38" i="16"/>
  <c r="F31" i="16"/>
  <c r="H31" i="16"/>
  <c r="F38" i="16"/>
  <c r="H38" i="16"/>
  <c r="K38" i="16"/>
  <c r="G37" i="16"/>
  <c r="I37" i="16"/>
  <c r="L37" i="16"/>
  <c r="F37" i="16"/>
  <c r="H37" i="16"/>
  <c r="K37" i="16"/>
  <c r="G36" i="16"/>
  <c r="I36" i="16"/>
  <c r="L36" i="16"/>
  <c r="F36" i="16"/>
  <c r="H36" i="16"/>
  <c r="K36" i="16"/>
  <c r="G35" i="16"/>
  <c r="I35" i="16"/>
  <c r="L35" i="16"/>
  <c r="F35" i="16"/>
  <c r="H35" i="16"/>
  <c r="K35" i="16"/>
  <c r="G34" i="16"/>
  <c r="I34" i="16"/>
  <c r="L34" i="16"/>
  <c r="F34" i="16"/>
  <c r="H34" i="16"/>
  <c r="K34" i="16"/>
  <c r="G33" i="16"/>
  <c r="I33" i="16"/>
  <c r="L33" i="16"/>
  <c r="F33" i="16"/>
  <c r="H33" i="16"/>
  <c r="K33" i="16"/>
  <c r="G32" i="16"/>
  <c r="I32" i="16"/>
  <c r="L32" i="16"/>
  <c r="F32" i="16"/>
  <c r="H32" i="16"/>
  <c r="K32" i="16"/>
  <c r="G30" i="16"/>
  <c r="I30" i="16"/>
  <c r="L31" i="16"/>
  <c r="F30" i="16"/>
  <c r="H30" i="16"/>
  <c r="K31" i="16"/>
  <c r="G20" i="16"/>
  <c r="I20" i="16"/>
  <c r="L30" i="16"/>
  <c r="F20" i="16"/>
  <c r="H20" i="16"/>
  <c r="K30" i="16"/>
  <c r="G29" i="16"/>
  <c r="I29" i="16"/>
  <c r="L29" i="16"/>
  <c r="F29" i="16"/>
  <c r="H29" i="16"/>
  <c r="K29" i="16"/>
  <c r="G28" i="16"/>
  <c r="I28" i="16"/>
  <c r="L28" i="16"/>
  <c r="F28" i="16"/>
  <c r="H28" i="16"/>
  <c r="K28" i="16"/>
  <c r="G27" i="16"/>
  <c r="I27" i="16"/>
  <c r="L27" i="16"/>
  <c r="F27" i="16"/>
  <c r="H27" i="16"/>
  <c r="K27" i="16"/>
  <c r="G23" i="16"/>
  <c r="I23" i="16"/>
  <c r="G26" i="16"/>
  <c r="I26" i="16"/>
  <c r="L26" i="16"/>
  <c r="F23" i="16"/>
  <c r="H23" i="16"/>
  <c r="F26" i="16"/>
  <c r="H26" i="16"/>
  <c r="K26" i="16"/>
  <c r="G25" i="16"/>
  <c r="I25" i="16"/>
  <c r="L25" i="16"/>
  <c r="F25" i="16"/>
  <c r="H25" i="16"/>
  <c r="K25" i="16"/>
  <c r="G24" i="16"/>
  <c r="I24" i="16"/>
  <c r="L24" i="16"/>
  <c r="F24" i="16"/>
  <c r="H24" i="16"/>
  <c r="K24" i="16"/>
  <c r="L23" i="16"/>
  <c r="K23" i="16"/>
  <c r="G22" i="16"/>
  <c r="I22" i="16"/>
  <c r="L22" i="16"/>
  <c r="F22" i="16"/>
  <c r="H22" i="16"/>
  <c r="K22" i="16"/>
  <c r="G21" i="16"/>
  <c r="I21" i="16"/>
  <c r="L21" i="16"/>
  <c r="F21" i="16"/>
  <c r="H21" i="16"/>
  <c r="K21" i="16"/>
  <c r="L20" i="16"/>
  <c r="K20" i="16"/>
  <c r="G19" i="16"/>
  <c r="I19" i="16"/>
  <c r="L19" i="16"/>
  <c r="F19" i="16"/>
  <c r="H19" i="16"/>
  <c r="K19" i="16"/>
  <c r="G18" i="16"/>
  <c r="I18" i="16"/>
  <c r="L18" i="16"/>
  <c r="F18" i="16"/>
  <c r="H18" i="16"/>
  <c r="K18" i="16"/>
  <c r="G17" i="16"/>
  <c r="I17" i="16"/>
  <c r="L17" i="16"/>
  <c r="F17" i="16"/>
  <c r="H17" i="16"/>
  <c r="K17" i="16"/>
  <c r="G16" i="16"/>
  <c r="I16" i="16"/>
  <c r="L16" i="16"/>
  <c r="F16" i="16"/>
  <c r="H16" i="16"/>
  <c r="K16" i="16"/>
  <c r="G15" i="16"/>
  <c r="I15" i="16"/>
  <c r="L15" i="16"/>
  <c r="F15" i="16"/>
  <c r="H15" i="16"/>
  <c r="K15" i="16"/>
  <c r="G14" i="16"/>
  <c r="I14" i="16"/>
  <c r="L14" i="16"/>
  <c r="F14" i="16"/>
  <c r="H14" i="16"/>
  <c r="K14" i="16"/>
  <c r="G13" i="16"/>
  <c r="I13" i="16"/>
  <c r="L13" i="16"/>
  <c r="F13" i="16"/>
  <c r="H13" i="16"/>
  <c r="K13" i="16"/>
  <c r="G12" i="16"/>
  <c r="I12" i="16"/>
  <c r="L12" i="16"/>
  <c r="F12" i="16"/>
  <c r="H12" i="16"/>
  <c r="K12" i="16"/>
  <c r="G11" i="16"/>
  <c r="I11" i="16"/>
  <c r="L11" i="16"/>
  <c r="F11" i="16"/>
  <c r="H11" i="16"/>
  <c r="K11" i="16"/>
  <c r="G10" i="16"/>
  <c r="I10" i="16"/>
  <c r="F10" i="16"/>
  <c r="H10" i="16"/>
  <c r="F2" i="16"/>
  <c r="D2" i="16"/>
  <c r="G9" i="19"/>
  <c r="F8" i="19"/>
  <c r="F12" i="19"/>
  <c r="F11" i="19"/>
  <c r="F10" i="19"/>
  <c r="G40" i="20"/>
  <c r="F40" i="20"/>
  <c r="E40" i="20"/>
  <c r="D40" i="20"/>
  <c r="C40" i="20"/>
  <c r="G39" i="20"/>
  <c r="F39" i="20"/>
  <c r="E39" i="20"/>
  <c r="D39" i="20"/>
  <c r="C39" i="20"/>
  <c r="G6" i="20"/>
  <c r="C6" i="20"/>
  <c r="B6" i="20"/>
  <c r="C7" i="20"/>
  <c r="C38" i="20"/>
  <c r="D6" i="20"/>
  <c r="D7" i="20"/>
  <c r="D38" i="20"/>
  <c r="E6" i="20"/>
  <c r="E7" i="20"/>
  <c r="E38" i="20"/>
  <c r="F6" i="20"/>
  <c r="F7" i="20"/>
  <c r="F38" i="20"/>
  <c r="G38" i="20"/>
  <c r="G37" i="20"/>
  <c r="F37" i="20"/>
  <c r="E37" i="20"/>
  <c r="D37" i="20"/>
  <c r="C37" i="20"/>
  <c r="G2" i="20"/>
  <c r="C2" i="20"/>
  <c r="B2" i="20"/>
  <c r="C3" i="20"/>
  <c r="C36" i="20"/>
  <c r="D2" i="20"/>
  <c r="D3" i="20"/>
  <c r="D36" i="20"/>
  <c r="E2" i="20"/>
  <c r="E3" i="20"/>
  <c r="E36" i="20"/>
  <c r="F2" i="20"/>
  <c r="F3" i="20"/>
  <c r="F36" i="20"/>
  <c r="G36" i="20"/>
  <c r="G33" i="20"/>
  <c r="F33" i="20"/>
  <c r="E33" i="20"/>
  <c r="D33" i="20"/>
  <c r="C33" i="20"/>
  <c r="G32" i="20"/>
  <c r="F32" i="20"/>
  <c r="E32" i="20"/>
  <c r="D32" i="20"/>
  <c r="C32" i="20"/>
  <c r="C31" i="20"/>
  <c r="D31" i="20"/>
  <c r="E31" i="20"/>
  <c r="F31" i="20"/>
  <c r="G31" i="20"/>
  <c r="G30" i="20"/>
  <c r="F30" i="20"/>
  <c r="E30" i="20"/>
  <c r="D30" i="20"/>
  <c r="C30" i="20"/>
  <c r="C29" i="20"/>
  <c r="D29" i="20"/>
  <c r="E29" i="20"/>
  <c r="F29" i="20"/>
  <c r="G29" i="20"/>
  <c r="G26" i="20"/>
  <c r="F26" i="20"/>
  <c r="E26" i="20"/>
  <c r="D26" i="20"/>
  <c r="C26" i="20"/>
  <c r="G25" i="20"/>
  <c r="F25" i="20"/>
  <c r="E25" i="20"/>
  <c r="D25" i="20"/>
  <c r="C25" i="20"/>
  <c r="C24" i="20"/>
  <c r="D24" i="20"/>
  <c r="E24" i="20"/>
  <c r="F24" i="20"/>
  <c r="G24" i="20"/>
  <c r="G23" i="20"/>
  <c r="F23" i="20"/>
  <c r="E23" i="20"/>
  <c r="D23" i="20"/>
  <c r="C23" i="20"/>
  <c r="C22" i="20"/>
  <c r="D22" i="20"/>
  <c r="E22" i="20"/>
  <c r="F22" i="20"/>
  <c r="G22" i="20"/>
  <c r="G19" i="20"/>
  <c r="F19" i="20"/>
  <c r="E19" i="20"/>
  <c r="D19" i="20"/>
  <c r="C19" i="20"/>
  <c r="G18" i="20"/>
  <c r="F18" i="20"/>
  <c r="E18" i="20"/>
  <c r="D18" i="20"/>
  <c r="C18" i="20"/>
  <c r="C17" i="20"/>
  <c r="D17" i="20"/>
  <c r="E17" i="20"/>
  <c r="F17" i="20"/>
  <c r="G17" i="20"/>
  <c r="G16" i="20"/>
  <c r="F16" i="20"/>
  <c r="E16" i="20"/>
  <c r="D16" i="20"/>
  <c r="C16" i="20"/>
  <c r="C15" i="20"/>
  <c r="D15" i="20"/>
  <c r="E15" i="20"/>
  <c r="F15" i="20"/>
  <c r="G15" i="20"/>
  <c r="F11" i="20"/>
  <c r="E11" i="20"/>
  <c r="D11" i="20"/>
  <c r="C11" i="20"/>
  <c r="F10" i="20"/>
  <c r="E10" i="20"/>
  <c r="D10" i="20"/>
  <c r="C10" i="20"/>
  <c r="B10" i="20"/>
  <c r="F9" i="20"/>
  <c r="E9" i="20"/>
  <c r="D9" i="20"/>
  <c r="C9" i="20"/>
  <c r="F8" i="20"/>
  <c r="E8" i="20"/>
  <c r="D8" i="20"/>
  <c r="C8" i="20"/>
  <c r="B8" i="20"/>
  <c r="L7" i="20"/>
  <c r="N7" i="20"/>
  <c r="O7" i="20"/>
  <c r="W7" i="20"/>
  <c r="V7" i="20"/>
  <c r="U7" i="20"/>
  <c r="S7" i="20"/>
  <c r="R7" i="20"/>
  <c r="Q7" i="20"/>
  <c r="P7" i="20"/>
  <c r="L6" i="20"/>
  <c r="N6" i="20"/>
  <c r="O6" i="20"/>
  <c r="W6" i="20"/>
  <c r="V6" i="20"/>
  <c r="U6" i="20"/>
  <c r="S6" i="20"/>
  <c r="R6" i="20"/>
  <c r="Q6" i="20"/>
  <c r="P6" i="20"/>
  <c r="L5" i="20"/>
  <c r="N5" i="20"/>
  <c r="O5" i="20"/>
  <c r="W5" i="20"/>
  <c r="V5" i="20"/>
  <c r="U5" i="20"/>
  <c r="S5" i="20"/>
  <c r="R5" i="20"/>
  <c r="Q5" i="20"/>
  <c r="P5" i="20"/>
  <c r="F5" i="20"/>
  <c r="E5" i="20"/>
  <c r="D5" i="20"/>
  <c r="C5" i="20"/>
  <c r="L4" i="20"/>
  <c r="N4" i="20"/>
  <c r="O4" i="20"/>
  <c r="W4" i="20"/>
  <c r="V4" i="20"/>
  <c r="U4" i="20"/>
  <c r="S4" i="20"/>
  <c r="R4" i="20"/>
  <c r="Q4" i="20"/>
  <c r="P4" i="20"/>
  <c r="F4" i="20"/>
  <c r="E4" i="20"/>
  <c r="D4" i="20"/>
  <c r="C4" i="20"/>
  <c r="B4" i="20"/>
  <c r="L3" i="20"/>
  <c r="N3" i="20"/>
  <c r="O3" i="20"/>
  <c r="W3" i="20"/>
  <c r="V3" i="20"/>
  <c r="U3" i="20"/>
  <c r="S3" i="20"/>
  <c r="R3" i="20"/>
  <c r="Q3" i="20"/>
  <c r="P3" i="20"/>
  <c r="AB16" i="18"/>
  <c r="AA16" i="18"/>
  <c r="U16" i="18"/>
  <c r="T16" i="18"/>
  <c r="F3" i="18"/>
  <c r="E3" i="18"/>
  <c r="F5" i="18"/>
  <c r="E5" i="18"/>
  <c r="F7" i="18"/>
  <c r="E7" i="18"/>
  <c r="F9" i="18"/>
  <c r="E9" i="18"/>
  <c r="F11" i="18"/>
  <c r="E11" i="18"/>
  <c r="E13" i="18"/>
  <c r="F13" i="18"/>
  <c r="J13" i="18"/>
  <c r="AB15" i="18"/>
  <c r="AA15" i="18"/>
  <c r="U15" i="18"/>
  <c r="T15" i="18"/>
  <c r="F2" i="18"/>
  <c r="E2" i="18"/>
  <c r="F4" i="18"/>
  <c r="E4" i="18"/>
  <c r="F6" i="18"/>
  <c r="E6" i="18"/>
  <c r="F8" i="18"/>
  <c r="E8" i="18"/>
  <c r="F10" i="18"/>
  <c r="E10" i="18"/>
  <c r="E12" i="18"/>
  <c r="F12" i="18"/>
  <c r="J12" i="18"/>
  <c r="AB14" i="18"/>
  <c r="AA14" i="18"/>
  <c r="U14" i="18"/>
  <c r="T14" i="18"/>
  <c r="K11" i="18"/>
  <c r="J11" i="18"/>
  <c r="G11" i="18"/>
  <c r="H11" i="18"/>
  <c r="AB13" i="18"/>
  <c r="AA13" i="18"/>
  <c r="U13" i="18"/>
  <c r="T13" i="18"/>
  <c r="K10" i="18"/>
  <c r="J10" i="18"/>
  <c r="G10" i="18"/>
  <c r="H10" i="18"/>
  <c r="AB12" i="18"/>
  <c r="AA12" i="18"/>
  <c r="U12" i="18"/>
  <c r="T12" i="18"/>
  <c r="K9" i="18"/>
  <c r="J9" i="18"/>
  <c r="G9" i="18"/>
  <c r="H9" i="18"/>
  <c r="AB11" i="18"/>
  <c r="AA11" i="18"/>
  <c r="U11" i="18"/>
  <c r="T11" i="18"/>
  <c r="K8" i="18"/>
  <c r="J8" i="18"/>
  <c r="G8" i="18"/>
  <c r="H8" i="18"/>
  <c r="AB10" i="18"/>
  <c r="AA10" i="18"/>
  <c r="U10" i="18"/>
  <c r="T10" i="18"/>
  <c r="K7" i="18"/>
  <c r="J7" i="18"/>
  <c r="G7" i="18"/>
  <c r="H7" i="18"/>
  <c r="AB9" i="18"/>
  <c r="AA9" i="18"/>
  <c r="U9" i="18"/>
  <c r="T9" i="18"/>
  <c r="K6" i="18"/>
  <c r="J6" i="18"/>
  <c r="G6" i="18"/>
  <c r="H6" i="18"/>
  <c r="K5" i="18"/>
  <c r="J5" i="18"/>
  <c r="G5" i="18"/>
  <c r="H5" i="18"/>
  <c r="K4" i="18"/>
  <c r="J4" i="18"/>
  <c r="G4" i="18"/>
  <c r="H4" i="18"/>
  <c r="K3" i="18"/>
  <c r="J3" i="18"/>
  <c r="G3" i="18"/>
  <c r="H3" i="18"/>
  <c r="K2" i="18"/>
  <c r="J2" i="18"/>
  <c r="G2" i="18"/>
  <c r="H2" i="18"/>
  <c r="F3" i="19"/>
  <c r="T7" i="20"/>
  <c r="T6" i="20"/>
  <c r="T5" i="20"/>
  <c r="T4" i="20"/>
  <c r="T3" i="20"/>
  <c r="G4" i="20"/>
  <c r="G8" i="20"/>
  <c r="G10" i="20"/>
  <c r="H13" i="18"/>
  <c r="H12" i="18"/>
  <c r="D13" i="18"/>
  <c r="C13" i="18"/>
  <c r="C12" i="18"/>
  <c r="D12" i="18"/>
  <c r="K13" i="18"/>
  <c r="M11" i="18"/>
  <c r="M9" i="18"/>
  <c r="M7" i="18"/>
  <c r="M5" i="18"/>
  <c r="L12" i="18"/>
  <c r="M2" i="18"/>
  <c r="M4" i="18"/>
  <c r="M6" i="18"/>
  <c r="M8" i="18"/>
  <c r="M10" i="18"/>
  <c r="M12" i="18"/>
  <c r="L13" i="18"/>
  <c r="M3" i="18"/>
  <c r="M13" i="18"/>
  <c r="K12" i="18"/>
  <c r="I12" i="18"/>
  <c r="I13" i="18"/>
  <c r="G12" i="18"/>
  <c r="G13" i="18"/>
  <c r="V9" i="18"/>
  <c r="AC9" i="18"/>
  <c r="V10" i="18"/>
  <c r="AC10" i="18"/>
  <c r="V11" i="18"/>
  <c r="AC11" i="18"/>
  <c r="V12" i="18"/>
  <c r="AC12" i="18"/>
  <c r="V13" i="18"/>
  <c r="AC13" i="18"/>
  <c r="V14" i="18"/>
  <c r="AC14" i="18"/>
  <c r="V15" i="18"/>
  <c r="AC15" i="18"/>
  <c r="V16" i="18"/>
  <c r="AC16" i="18"/>
  <c r="E2" i="16"/>
  <c r="E44" i="16"/>
  <c r="D44" i="16"/>
  <c r="E43" i="16"/>
  <c r="D43" i="16"/>
  <c r="E42" i="16"/>
  <c r="D42" i="16"/>
  <c r="D41" i="16"/>
  <c r="E41" i="16"/>
  <c r="E40" i="16"/>
  <c r="D40" i="16"/>
  <c r="E39" i="16"/>
  <c r="D39" i="16"/>
  <c r="E38" i="16"/>
  <c r="D38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31" i="16"/>
  <c r="D31" i="16"/>
  <c r="B6" i="16"/>
  <c r="F6" i="16"/>
  <c r="B5" i="16"/>
  <c r="F5" i="16"/>
  <c r="E30" i="16"/>
  <c r="D30" i="16"/>
  <c r="E29" i="16"/>
  <c r="D29" i="16"/>
  <c r="E28" i="16"/>
  <c r="D28" i="16"/>
  <c r="E27" i="16"/>
  <c r="D27" i="16"/>
  <c r="E26" i="16"/>
  <c r="D26" i="16"/>
  <c r="B4" i="9"/>
  <c r="B5" i="9"/>
  <c r="B6" i="9"/>
  <c r="B7" i="9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C6" i="16"/>
  <c r="C5" i="16"/>
  <c r="E13" i="16"/>
  <c r="D13" i="16"/>
  <c r="E12" i="16"/>
  <c r="D12" i="16"/>
  <c r="E11" i="16"/>
  <c r="D11" i="16"/>
  <c r="E10" i="16"/>
  <c r="D10" i="16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" i="16"/>
  <c r="I5" i="16"/>
  <c r="D6" i="16"/>
  <c r="I6" i="16"/>
  <c r="H5" i="16"/>
  <c r="H6" i="16"/>
</calcChain>
</file>

<file path=xl/sharedStrings.xml><?xml version="1.0" encoding="utf-8"?>
<sst xmlns="http://schemas.openxmlformats.org/spreadsheetml/2006/main" count="434" uniqueCount="123">
  <si>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</si>
  <si>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</si>
  <si>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</si>
  <si>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</si>
  <si>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</si>
  <si>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</si>
  <si>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</si>
  <si>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</si>
  <si>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</si>
  <si>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</si>
  <si>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</si>
  <si>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</si>
  <si>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</si>
  <si>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</si>
  <si>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</si>
  <si>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</si>
  <si>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金牌</t>
  </si>
  <si>
    <t>銀牌</t>
  </si>
  <si>
    <t>銅牌</t>
  </si>
  <si>
    <t>Lv</t>
  </si>
  <si>
    <t>單手劍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</si>
  <si>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</si>
  <si>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</si>
  <si>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</si>
  <si>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</si>
  <si>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</si>
  <si>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</si>
  <si>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</si>
  <si>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</si>
  <si>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</si>
  <si>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</si>
  <si>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</si>
  <si>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</si>
  <si>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</si>
  <si>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</si>
  <si>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</si>
  <si>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掉落2</t>
  </si>
  <si>
    <t>掉落3</t>
  </si>
  <si>
    <t>掉落4</t>
  </si>
  <si>
    <t>掉落5</t>
  </si>
  <si>
    <t>滿龍</t>
  </si>
  <si>
    <t>滿建築</t>
  </si>
  <si>
    <t>滿龍+滿建築</t>
  </si>
  <si>
    <t>Building</t>
  </si>
  <si>
    <t>LB</t>
  </si>
  <si>
    <t>總計</t>
  </si>
  <si>
    <t>真水</t>
  </si>
  <si>
    <t>真光</t>
  </si>
  <si>
    <t>真暗</t>
  </si>
  <si>
    <t>建築</t>
  </si>
  <si>
    <t>等級</t>
  </si>
  <si>
    <t>突破</t>
  </si>
  <si>
    <t>龍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</si>
  <si>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</si>
  <si>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</si>
  <si>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</si>
  <si>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</si>
  <si>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</si>
  <si>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</si>
  <si>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</si>
  <si>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</si>
  <si>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</si>
  <si>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</si>
  <si>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經驗差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</si>
  <si>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</si>
  <si>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</si>
  <si>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</si>
  <si>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</si>
  <si>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</si>
  <si>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</si>
  <si>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</si>
  <si>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</si>
  <si>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</si>
  <si>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</si>
  <si>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</si>
  <si>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</si>
  <si>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</si>
  <si>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</si>
  <si>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</si>
  <si>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</si>
  <si>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</si>
  <si>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</si>
  <si>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</si>
  <si>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</si>
  <si>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屬性</t>
  </si>
  <si>
    <t>場/數量</t>
  </si>
  <si>
    <t>銀2</t>
  </si>
  <si>
    <t>銀2 場次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</si>
  <si>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</si>
  <si>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</si>
  <si>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</si>
  <si>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</si>
  <si>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</si>
  <si>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</si>
  <si>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</si>
  <si>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預期差距</t>
  </si>
  <si>
    <t>目標差距</t>
  </si>
  <si>
    <t>金章</t>
  </si>
  <si>
    <t>戰貨</t>
  </si>
  <si>
    <t>最後預估</t>
  </si>
  <si>
    <t>基準行</t>
  </si>
  <si>
    <t>預計目標差距歸零時間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</si>
  <si>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</si>
  <si>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</si>
  <si>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</si>
  <si>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</si>
  <si>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</si>
  <si>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</si>
  <si>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</si>
  <si>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</si>
  <si>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</si>
  <si>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</si>
  <si>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</si>
  <si>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</si>
  <si>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</si>
  <si>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530/434</t>
  </si>
  <si>
    <t>預扣後</t>
  </si>
  <si>
    <t>預扣總</t>
  </si>
  <si>
    <t>龍之試煉</t>
  </si>
  <si>
    <t>量</t>
  </si>
  <si>
    <t>金幣</t>
  </si>
  <si>
    <t>銀幣</t>
  </si>
  <si>
    <t>銅幣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</si>
</sst>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\L\v\ General"/>
    <numFmt numFmtId="165" formatCode="General\ \%"/>
    <numFmt numFmtId="166" formatCode="0.0000"/>
    <numFmt numFmtId="167" formatCode="d\ \D\ hh\ \H"/>
    <numFmt numFmtId="168" formatCode="0.0%"/>
    <numFmt numFmtId="169" formatCode="0.00000"/>
    <numFmt numFmtId="170" formatCode="0.000"/>
    <numFmt numFmtId="171" formatCode="0.0,\ &quot;K&quot;"/>
    <numFmt numFmtId="172" formatCode="[h]\ \H"/>
    <numFmt numFmtId="173" formatCode="mm\-dd\ hh:mm"/>
    <numFmt numFmtId="174" formatCode="0.000%"/>
    <numFmt numFmtId="175" formatCode="[Color50]\+0.0,\ &quot;K&quot;;[Red]\-0.0,\ &quot;K&quot;"/>
    <numFmt numFmtId="176" formatCode="0.0000%"/>
    <numFmt numFmtId="177" formatCode="[&gt;3][h]\ \H;[&lt;=3][h]\ \H\ mm\ \M"/>
    <numFmt numFmtId="180" formatCode="[hh]\ \H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6"/>
      <color theme="1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</fills>
  <borders count="7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 style="thin">
        <color theme="2" tint="-9.9978637043366805E-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8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6" fontId="0" fillId="8" borderId="0" xfId="0" applyNumberFormat="1" applyFill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0" fillId="0" borderId="0" xfId="1" applyNumberFormat="1" applyFont="1" applyAlignment="1">
      <alignment horizontal="center" vertical="center"/>
    </xf>
    <xf numFmtId="175" fontId="0" fillId="0" borderId="0" xfId="1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9" fontId="7" fillId="11" borderId="0" xfId="0" applyNumberFormat="1" applyFont="1" applyFill="1" applyAlignment="1">
      <alignment horizontal="center" vertical="center"/>
    </xf>
    <xf numFmtId="169" fontId="7" fillId="12" borderId="0" xfId="0" applyNumberFormat="1" applyFont="1" applyFill="1" applyAlignment="1">
      <alignment horizontal="center" vertical="center"/>
    </xf>
    <xf numFmtId="169" fontId="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9" fontId="7" fillId="10" borderId="0" xfId="0" applyNumberFormat="1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169" fontId="7" fillId="8" borderId="0" xfId="0" applyNumberFormat="1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166" fontId="0" fillId="7" borderId="0" xfId="0" applyNumberFormat="1" applyFill="1" applyBorder="1" applyAlignment="1">
      <alignment horizontal="center" vertical="center"/>
    </xf>
    <xf numFmtId="166" fontId="0" fillId="6" borderId="0" xfId="0" applyNumberFormat="1" applyFill="1" applyBorder="1" applyAlignment="1">
      <alignment horizontal="center" vertical="center"/>
    </xf>
    <xf numFmtId="166" fontId="0" fillId="5" borderId="0" xfId="0" applyNumberFormat="1" applyFill="1" applyBorder="1" applyAlignment="1">
      <alignment horizontal="center" vertical="center"/>
    </xf>
    <xf numFmtId="166" fontId="0" fillId="4" borderId="0" xfId="0" applyNumberFormat="1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0" fontId="0" fillId="8" borderId="1" xfId="0" applyNumberFormat="1" applyFont="1" applyFill="1" applyBorder="1" applyAlignment="1">
      <alignment horizontal="center" vertical="center"/>
    </xf>
    <xf numFmtId="180" fontId="0" fillId="8" borderId="1" xfId="0" applyNumberForma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80" fontId="0" fillId="6" borderId="1" xfId="0" applyNumberFormat="1" applyFill="1" applyBorder="1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68" fontId="0" fillId="8" borderId="0" xfId="1" applyNumberFormat="1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68" fontId="0" fillId="10" borderId="0" xfId="1" applyNumberFormat="1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68" fontId="0" fillId="11" borderId="0" xfId="1" applyNumberFormat="1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168" fontId="0" fillId="12" borderId="0" xfId="1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68" fontId="0" fillId="4" borderId="0" xfId="1" applyNumberFormat="1" applyFont="1" applyFill="1" applyBorder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25" fillId="8" borderId="0" xfId="0" applyFont="1" applyFill="1" applyBorder="1" applyAlignment="1">
      <alignment horizontal="center" vertical="center"/>
    </xf>
    <xf numFmtId="0" fontId="25" fillId="10" borderId="0" xfId="0" applyFont="1" applyFill="1" applyBorder="1" applyAlignment="1">
      <alignment horizontal="center" vertical="center"/>
    </xf>
    <xf numFmtId="0" fontId="25" fillId="11" borderId="0" xfId="0" applyFont="1" applyFill="1" applyBorder="1" applyAlignment="1">
      <alignment horizontal="center" vertical="center"/>
    </xf>
    <xf numFmtId="0" fontId="25" fillId="12" borderId="0" xfId="0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 vertical="center"/>
    </xf>
    <xf numFmtId="10" fontId="18" fillId="0" borderId="0" xfId="1" applyNumberFormat="1" applyFon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Border="1" applyAlignment="1">
      <alignment horizontal="center" vertical="center"/>
    </xf>
    <xf numFmtId="166" fontId="3" fillId="6" borderId="0" xfId="0" applyNumberFormat="1" applyFont="1" applyFill="1" applyBorder="1" applyAlignment="1">
      <alignment horizontal="center" vertical="center"/>
    </xf>
    <xf numFmtId="166" fontId="3" fillId="5" borderId="0" xfId="0" applyNumberFormat="1" applyFont="1" applyFill="1" applyBorder="1" applyAlignment="1">
      <alignment horizontal="center" vertical="center"/>
    </xf>
    <xf numFmtId="166" fontId="3" fillId="4" borderId="0" xfId="0" applyNumberFormat="1" applyFont="1" applyFill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15" fillId="14" borderId="0" xfId="0" applyNumberFormat="1" applyFont="1" applyFill="1" applyAlignment="1">
      <alignment horizontal="center" vertical="center"/>
    </xf>
    <xf numFmtId="166" fontId="6" fillId="14" borderId="0" xfId="0" applyNumberFormat="1" applyFont="1" applyFill="1" applyAlignment="1">
      <alignment horizontal="center" vertical="center"/>
    </xf>
    <xf numFmtId="166" fontId="6" fillId="15" borderId="0" xfId="0" applyNumberFormat="1" applyFont="1" applyFill="1" applyAlignment="1">
      <alignment horizontal="center" vertical="center"/>
    </xf>
    <xf numFmtId="166" fontId="15" fillId="15" borderId="0" xfId="0" applyNumberFormat="1" applyFont="1" applyFill="1" applyAlignment="1">
      <alignment horizontal="center" vertical="center"/>
    </xf>
    <xf numFmtId="166" fontId="6" fillId="17" borderId="0" xfId="0" applyNumberFormat="1" applyFont="1" applyFill="1" applyAlignment="1">
      <alignment horizontal="center" vertical="center"/>
    </xf>
    <xf numFmtId="166" fontId="15" fillId="17" borderId="0" xfId="0" applyNumberFormat="1" applyFont="1" applyFill="1" applyAlignment="1">
      <alignment horizontal="center" vertical="center"/>
    </xf>
    <xf numFmtId="166" fontId="15" fillId="16" borderId="0" xfId="0" applyNumberFormat="1" applyFont="1" applyFill="1" applyAlignment="1">
      <alignment horizontal="center" vertical="center"/>
    </xf>
    <xf numFmtId="166" fontId="14" fillId="16" borderId="0" xfId="0" applyNumberFormat="1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20" borderId="0" xfId="0" applyNumberFormat="1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166" fontId="3" fillId="20" borderId="0" xfId="0" applyNumberFormat="1" applyFont="1" applyFill="1" applyAlignment="1">
      <alignment horizontal="center" vertical="center"/>
    </xf>
    <xf numFmtId="166" fontId="0" fillId="20" borderId="0" xfId="0" applyNumberForma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1" fontId="3" fillId="20" borderId="0" xfId="0" applyNumberFormat="1" applyFont="1" applyFill="1" applyAlignment="1">
      <alignment horizontal="center" vertical="center"/>
    </xf>
    <xf numFmtId="1" fontId="0" fillId="20" borderId="0" xfId="0" applyNumberForma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BDBD"/>
      <color rgb="FFD0B9FF"/>
      <color rgb="FFD0CECE"/>
      <color rgb="FFFFF2CC"/>
      <color rgb="FFE2EFDA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theme" Target="theme/theme1.xml" /><Relationship Id="rId2" Type="http://schemas.openxmlformats.org/officeDocument/2006/relationships/worksheet" Target="worksheets/sheet2.xml" /><Relationship Id="rId16" Type="http://schemas.openxmlformats.org/officeDocument/2006/relationships/externalLink" Target="externalLinks/externalLink2.xml" /><Relationship Id="rId20" Type="http://schemas.openxmlformats.org/officeDocument/2006/relationships/calcChain" Target="calcChain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externalLink" Target="externalLinks/externalLink1.xml" /><Relationship Id="rId10" Type="http://schemas.openxmlformats.org/officeDocument/2006/relationships/worksheet" Target="worksheets/sheet10.xml" /><Relationship Id="rId19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_IO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_DATA_IO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IO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DATA_IO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D16"/>
  <sheetViews>
    <sheetView zoomScaleNormal="60" zoomScaleSheetLayoutView="100" workbookViewId="0" xr3:uid="{E031E425-7DF2-53DD-8D27-A9C58216E16C}"/>
  </sheetViews>
  <sheetFormatPr defaultRowHeight="15" x14ac:dyDescent="0.2"/>
  <cols>
    <col min="1" max="1" width="4.83984375" style="49" customWidth="1"/>
    <col min="2" max="2" width="6.1875" style="49" customWidth="1"/>
    <col min="3" max="3" width="6.3203125" style="111" customWidth="1"/>
    <col min="4" max="4" width="6.3203125" style="231" customWidth="1"/>
    <col min="5" max="7" width="6.3203125" style="49" customWidth="1"/>
    <col min="8" max="8" width="7.26171875" style="49" customWidth="1"/>
    <col min="9" max="9" width="6.3203125" style="108" customWidth="1"/>
    <col min="10" max="10" width="17.484375" style="49" customWidth="1"/>
    <col min="11" max="11" width="6.3203125" style="49" customWidth="1"/>
    <col min="12" max="12" width="6.859375" style="49" customWidth="1"/>
    <col min="13" max="13" width="6.3203125" style="49" customWidth="1"/>
    <col min="14" max="14" width="6.9921875" style="49" customWidth="1"/>
    <col min="15" max="15" width="7.12890625" style="49" customWidth="1"/>
    <col min="16" max="16" width="8.609375" style="49"/>
    <col min="17" max="33" width="7.12890625" style="49" customWidth="1"/>
    <col min="34" max="16384" width="8.609375" style="49"/>
  </cols>
  <sheetData>
    <row r="1" spans="1:30" ht="15" customHeight="1" x14ac:dyDescent="0.2">
      <c r="A1" s="51"/>
      <c r="B1" s="51"/>
      <c r="C1" s="110" t="s">
        <v>26</v>
      </c>
      <c r="D1" s="229" t="s">
        <v>112</v>
      </c>
      <c r="E1" s="31" t="s">
        <v>113</v>
      </c>
      <c r="F1" s="31" t="s">
        <v>114</v>
      </c>
      <c r="G1" s="51" t="s">
        <v>75</v>
      </c>
      <c r="H1" s="51" t="s">
        <v>115</v>
      </c>
      <c r="I1" s="109" t="s">
        <v>27</v>
      </c>
      <c r="J1" s="51" t="s">
        <v>28</v>
      </c>
      <c r="K1" s="51" t="s">
        <v>29</v>
      </c>
      <c r="L1" s="34" t="s">
        <v>76</v>
      </c>
      <c r="M1" s="51" t="s">
        <v>31</v>
      </c>
      <c r="N1" s="51" t="s">
        <v>32</v>
      </c>
      <c r="O1" s="51" t="s">
        <v>33</v>
      </c>
      <c r="Q1" s="128"/>
      <c r="R1" s="56" t="s">
        <v>31</v>
      </c>
      <c r="S1" s="56" t="s">
        <v>108</v>
      </c>
      <c r="T1" s="56" t="s">
        <v>109</v>
      </c>
      <c r="U1" s="56" t="s">
        <v>110</v>
      </c>
      <c r="V1" s="56" t="s">
        <v>120</v>
      </c>
      <c r="W1" s="56" t="s">
        <v>121</v>
      </c>
      <c r="X1" s="56" t="s">
        <v>122</v>
      </c>
    </row>
    <row r="2" spans="1:30" ht="15" customHeight="1" x14ac:dyDescent="0.2">
      <c r="A2" s="77" t="s">
        <v>14</v>
      </c>
      <c r="B2" s="112" t="s">
        <v>109</v>
      </c>
      <c r="C2" s="111">
        <v>500</v>
      </c>
      <c r="D2" s="230">
        <f>VLOOKUP($R$9,DATA_IO,6,TRUE)+VLOOKUP($R$10,DATA_IO,6,TRUE)+VLOOKUP($X$9,DATA_IO,6,TRUE)+VLOOKUP($X$10,DATA_IO,6,TRUE)</f>
        <v>0</v>
      </c>
      <c r="E2" s="25">
        <f>F2-I2</f>
        <v>800</v>
      </c>
      <c r="F2" s="25">
        <f>'資料-迎擊'!$AO$3*4</f>
        <v>800</v>
      </c>
      <c r="G2" s="49">
        <f>IF(D2-C2 &lt;= 0,ABS(D2-C2),"")</f>
        <v>500</v>
      </c>
      <c r="H2" s="49">
        <f>IFERROR(FLOOR(G2/IO_WEAPON_530,1),"")</f>
        <v>2</v>
      </c>
      <c r="I2" s="108">
        <f>IF(D2-C2 &lt; 0,0,D2-C2)</f>
        <v>0</v>
      </c>
      <c r="J2" s="64">
        <f>IF(E2/F2 &gt; 1,100%,E2/F2)</f>
        <v>1</v>
      </c>
      <c r="K2" s="57">
        <f>IFERROR(ROUND(I2/N2,0),0)</f>
        <v>0</v>
      </c>
      <c r="L2" s="57">
        <f>IFERROR(ROUND(I2/$N$12,0),0)</f>
        <v>0</v>
      </c>
      <c r="M2" s="7">
        <f>L2/(WINGS_RECOVER_NUM/WINGS_CONSUME_IO)*WINGS_RECOVER_DIAMS</f>
        <v>0</v>
      </c>
      <c r="N2" s="8">
        <f>IFERROR(SUMPRODUCT('資料-迎擊'!C:C,'資料-迎擊'!E:E)/O$2,"")</f>
        <v>3.5347793567688854</v>
      </c>
      <c r="O2" s="73">
        <f>SUM('資料-迎擊'!E:E)</f>
        <v>1337</v>
      </c>
      <c r="Q2" s="56" t="s">
        <v>57</v>
      </c>
      <c r="R2" s="135">
        <v>93006</v>
      </c>
      <c r="S2" s="135">
        <v>8</v>
      </c>
      <c r="T2" s="135">
        <v>1609</v>
      </c>
      <c r="U2" s="135">
        <v>1983</v>
      </c>
      <c r="V2" s="135">
        <v>5763</v>
      </c>
      <c r="W2" s="135">
        <v>8338</v>
      </c>
      <c r="X2" s="135">
        <v>72830</v>
      </c>
    </row>
    <row r="3" spans="1:30" ht="15" customHeight="1" x14ac:dyDescent="0.2">
      <c r="A3" s="77"/>
      <c r="B3" s="112" t="s">
        <v>110</v>
      </c>
      <c r="C3" s="111">
        <v>2443</v>
      </c>
      <c r="D3" s="230">
        <f>VLOOKUP($R$9,DATA_IO,5,TRUE)+VLOOKUP($R$10,DATA_IO,5,TRUE)+VLOOKUP($X$9,DATA_IO,5,TRUE)+VLOOKUP($X$10,DATA_IO,5,TRUE)</f>
        <v>0</v>
      </c>
      <c r="E3" s="25">
        <f>F3-I3</f>
        <v>5720</v>
      </c>
      <c r="F3" s="25">
        <f>'資料-迎擊'!$AN$3*4</f>
        <v>5720</v>
      </c>
      <c r="G3" s="49">
        <f>IF(D3-C3 &lt;= 0,ABS(D3-C3),"")</f>
        <v>2443</v>
      </c>
      <c r="H3" s="49">
        <f>IFERROR(FLOOR(G3/IO_WEAPON_434,1),"")</f>
        <v>9</v>
      </c>
      <c r="I3" s="108">
        <f>IF(D3-C3 &lt; 0,0,D3-C3)</f>
        <v>0</v>
      </c>
      <c r="J3" s="64">
        <f>IF(E3/F3 &gt; 1,100%,E3/F3)</f>
        <v>1</v>
      </c>
      <c r="K3" s="57">
        <f>IFERROR(ROUND(I3/N3,0),0)</f>
        <v>0</v>
      </c>
      <c r="L3" s="57">
        <f>IFERROR(ROUND(I3/$N$13,0),0)</f>
        <v>0</v>
      </c>
      <c r="M3" s="7">
        <f>L3/(WINGS_RECOVER_NUM/WINGS_CONSUME_IO)*WINGS_RECOVER_DIAMS</f>
        <v>0</v>
      </c>
      <c r="N3" s="8">
        <f>IFERROR(SUMPRODUCT('資料-迎擊'!A:A,'資料-迎擊'!E:E)/O$2,"")</f>
        <v>0</v>
      </c>
      <c r="O3" s="73"/>
      <c r="Q3" s="56" t="s">
        <v>58</v>
      </c>
      <c r="R3" s="135">
        <v>93006</v>
      </c>
      <c r="S3" s="135">
        <v>8</v>
      </c>
      <c r="T3" s="135">
        <v>1609</v>
      </c>
      <c r="U3" s="135">
        <v>1983</v>
      </c>
      <c r="V3" s="135">
        <v>5763</v>
      </c>
      <c r="W3" s="135">
        <v>8338</v>
      </c>
      <c r="X3" s="135">
        <v>72830</v>
      </c>
    </row>
    <row r="4" spans="1:30" x14ac:dyDescent="0.2">
      <c r="A4" s="117" t="s">
        <v>12</v>
      </c>
      <c r="B4" s="113" t="s">
        <v>109</v>
      </c>
      <c r="C4" s="111">
        <v>395</v>
      </c>
      <c r="D4" s="230">
        <f>VLOOKUP($R$11,DATA_IO,6,TRUE)+VLOOKUP($R$12,DATA_IO,6,TRUE)+VLOOKUP($X$11,DATA_IO,6,TRUE)+VLOOKUP($X$12,DATA_IO,6,TRUE)</f>
        <v>0</v>
      </c>
      <c r="E4" s="25">
        <f>F4-I4</f>
        <v>800</v>
      </c>
      <c r="F4" s="25">
        <f>'資料-迎擊'!$AO$3*4</f>
        <v>800</v>
      </c>
      <c r="G4" s="49">
        <f>IF(D4-C4 &lt;= 0,ABS(D4-C4),"")</f>
        <v>395</v>
      </c>
      <c r="H4" s="49">
        <f>IFERROR(FLOOR(G4/IO_WEAPON_530,1),"")</f>
        <v>1</v>
      </c>
      <c r="I4" s="108">
        <f>IF(D4-C4 &lt; 0,0,D4-C4)</f>
        <v>0</v>
      </c>
      <c r="J4" s="64">
        <f>IF(E4/F4 &gt; 1,100%,E4/F4)</f>
        <v>1</v>
      </c>
      <c r="K4" s="55">
        <f>IFERROR(ROUND(I4/N4,0),0)</f>
        <v>0</v>
      </c>
      <c r="L4" s="55">
        <f>IFERROR(ROUND(I4/$N$12,0),0)</f>
        <v>0</v>
      </c>
      <c r="M4" s="6">
        <f>L4/(WINGS_RECOVER_NUM/WINGS_CONSUME_IO)*WINGS_RECOVER_DIAMS</f>
        <v>0</v>
      </c>
      <c r="N4" s="9">
        <f>IFERROR(SUMPRODUCT('資料-迎擊'!H:H,'資料-迎擊'!J:J)/O$4,"")</f>
        <v>3.4778660612939842</v>
      </c>
      <c r="O4" s="82">
        <f>SUM('資料-迎擊'!J:J)</f>
        <v>881</v>
      </c>
    </row>
    <row r="5" spans="1:30" x14ac:dyDescent="0.2">
      <c r="A5" s="117"/>
      <c r="B5" s="113" t="s">
        <v>110</v>
      </c>
      <c r="C5" s="111">
        <v>395</v>
      </c>
      <c r="D5" s="230">
        <f>VLOOKUP($R$11,DATA_IO,5,TRUE)+VLOOKUP($R$12,DATA_IO,5,TRUE)+VLOOKUP($X$11,DATA_IO,5,TRUE)+VLOOKUP($X$12,DATA_IO,5,TRUE)</f>
        <v>0</v>
      </c>
      <c r="E5" s="25">
        <f>F5-I5</f>
        <v>5720</v>
      </c>
      <c r="F5" s="25">
        <f>'資料-迎擊'!$AN$3*4</f>
        <v>5720</v>
      </c>
      <c r="G5" s="49">
        <f>IF(D5-C5 &lt;= 0,ABS(D5-C5),"")</f>
        <v>395</v>
      </c>
      <c r="H5" s="49">
        <f>IFERROR(FLOOR(G5/IO_WEAPON_434,1),"")</f>
        <v>1</v>
      </c>
      <c r="I5" s="108">
        <f>IF(D5-C5 &lt; 0,0,D5-C5)</f>
        <v>0</v>
      </c>
      <c r="J5" s="64">
        <f>IF(E5/F5 &gt; 1,100%,E5/F5)</f>
        <v>1</v>
      </c>
      <c r="K5" s="55">
        <f>IFERROR(ROUND(I5/N5,0),0)</f>
        <v>0</v>
      </c>
      <c r="L5" s="55">
        <f>IFERROR(ROUND(I5/$N$13,0),0)</f>
        <v>0</v>
      </c>
      <c r="M5" s="6">
        <f>L5/(WINGS_RECOVER_NUM/WINGS_CONSUME_IO)*WINGS_RECOVER_DIAMS</f>
        <v>0</v>
      </c>
      <c r="N5" s="9">
        <f>IFERROR(SUMPRODUCT('資料-迎擊'!F:F,'資料-迎擊'!J:J)/O$4,"")</f>
        <v>0</v>
      </c>
      <c r="O5" s="82"/>
      <c r="Q5" s="56" t="s">
        <v>29</v>
      </c>
      <c r="S5" s="56" t="s">
        <v>65</v>
      </c>
      <c r="T5" s="27">
        <f>T3-T2</f>
        <v>0</v>
      </c>
      <c r="U5" s="27">
        <f>U3-U2</f>
        <v>0</v>
      </c>
      <c r="V5" s="27">
        <f>V3-V2</f>
        <v>0</v>
      </c>
      <c r="W5" s="27">
        <f>W3-W2</f>
        <v>0</v>
      </c>
      <c r="X5" s="27">
        <f>X3-X2</f>
        <v>0</v>
      </c>
    </row>
    <row r="6" spans="1:30" x14ac:dyDescent="0.2">
      <c r="A6" s="118" t="s">
        <v>11</v>
      </c>
      <c r="B6" s="114" t="s">
        <v>109</v>
      </c>
      <c r="C6" s="111">
        <v>904</v>
      </c>
      <c r="D6" s="230">
        <f>VLOOKUP($R$13,DATA_IO,6,TRUE)+VLOOKUP($R$14,DATA_IO,6,TRUE)+VLOOKUP($X$13,DATA_IO,6,TRUE)+VLOOKUP($X$14,DATA_IO,6,TRUE)</f>
        <v>0</v>
      </c>
      <c r="E6" s="25">
        <f>F6-I6</f>
        <v>800</v>
      </c>
      <c r="F6" s="25">
        <f>'資料-迎擊'!$AO$3*4</f>
        <v>800</v>
      </c>
      <c r="G6" s="49">
        <f>IF(D6-C6 &lt;= 0,ABS(D6-C6),"")</f>
        <v>904</v>
      </c>
      <c r="H6" s="49">
        <f>IFERROR(FLOOR(G6/IO_WEAPON_530,1),"")</f>
        <v>4</v>
      </c>
      <c r="I6" s="108">
        <f>IF(D6-C6 &lt; 0,0,D6-C6)</f>
        <v>0</v>
      </c>
      <c r="J6" s="64">
        <f>IF(E6/F6 &gt; 1,100%,E6/F6)</f>
        <v>1</v>
      </c>
      <c r="K6" s="54">
        <f>IFERROR(ROUND(I6/N6,0),0)</f>
        <v>0</v>
      </c>
      <c r="L6" s="54">
        <f>IFERROR(ROUND(I6/$N$12,0),0)</f>
        <v>0</v>
      </c>
      <c r="M6" s="5">
        <f>L6/(WINGS_RECOVER_NUM/WINGS_CONSUME_IO)*WINGS_RECOVER_DIAMS</f>
        <v>0</v>
      </c>
      <c r="N6" s="10">
        <f>IFERROR(SUMPRODUCT('資料-迎擊'!M:M,'資料-迎擊'!O:O)/O$6,"")</f>
        <v>3.492957746478873</v>
      </c>
      <c r="O6" s="81">
        <f>SUM('資料-迎擊'!O:O)</f>
        <v>142</v>
      </c>
      <c r="Q6" s="127">
        <f>(R2-R3)/WINGS_RECOVER_DIAMS*6 + (S2-S3)/WINGS_CONSUME_VOID</f>
        <v>0</v>
      </c>
      <c r="S6" s="56" t="s">
        <v>32</v>
      </c>
      <c r="T6" s="27" t="str">
        <f>IFERROR(T5/$Q$6,"")</f>
        <v/>
      </c>
      <c r="U6" s="27" t="str">
        <f>IFERROR(U5/$Q$6,"")</f>
        <v/>
      </c>
      <c r="V6" s="27" t="str">
        <f>IFERROR(V5/$Q$6,"")</f>
        <v/>
      </c>
      <c r="W6" s="27" t="str">
        <f>IFERROR(W5/$Q$6,"")</f>
        <v/>
      </c>
      <c r="X6" s="27" t="str">
        <f>IFERROR(X5/$Q$6,"")</f>
        <v/>
      </c>
    </row>
    <row r="7" spans="1:30" x14ac:dyDescent="0.2">
      <c r="A7" s="118"/>
      <c r="B7" s="114" t="s">
        <v>110</v>
      </c>
      <c r="C7" s="111">
        <v>904</v>
      </c>
      <c r="D7" s="230">
        <f>VLOOKUP($R$13,DATA_IO,5,TRUE)+VLOOKUP($R$14,DATA_IO,5,TRUE)+VLOOKUP($X$13,DATA_IO,5,TRUE)+VLOOKUP($X$14,DATA_IO,5,TRUE)</f>
        <v>0</v>
      </c>
      <c r="E7" s="25">
        <f>F7-I7</f>
        <v>5720</v>
      </c>
      <c r="F7" s="25">
        <f>'資料-迎擊'!$AN$3*4</f>
        <v>5720</v>
      </c>
      <c r="G7" s="49">
        <f>IF(D7-C7 &lt;= 0,ABS(D7-C7),"")</f>
        <v>904</v>
      </c>
      <c r="H7" s="49">
        <f>IFERROR(FLOOR(G7/IO_WEAPON_434,1),"")</f>
        <v>3</v>
      </c>
      <c r="I7" s="108">
        <f>IF(D7-C7 &lt; 0,0,D7-C7)</f>
        <v>0</v>
      </c>
      <c r="J7" s="64">
        <f>IF(E7/F7 &gt; 1,100%,E7/F7)</f>
        <v>1</v>
      </c>
      <c r="K7" s="54">
        <f>IFERROR(ROUND(I7/N7,0),0)</f>
        <v>0</v>
      </c>
      <c r="L7" s="54">
        <f>IFERROR(ROUND(I7/$N$13,0),0)</f>
        <v>0</v>
      </c>
      <c r="M7" s="5">
        <f>L7/(WINGS_RECOVER_NUM/WINGS_CONSUME_IO)*WINGS_RECOVER_DIAMS</f>
        <v>0</v>
      </c>
      <c r="N7" s="10">
        <f>IFERROR(SUMPRODUCT('資料-迎擊'!K:K,'資料-迎擊'!O:O)/O$6,"")</f>
        <v>0</v>
      </c>
      <c r="O7" s="81"/>
      <c r="AD7" s="99"/>
    </row>
    <row r="8" spans="1:30" x14ac:dyDescent="0.2">
      <c r="A8" s="119" t="s">
        <v>9</v>
      </c>
      <c r="B8" s="115" t="s">
        <v>109</v>
      </c>
      <c r="C8" s="111">
        <v>188</v>
      </c>
      <c r="D8" s="230">
        <f>VLOOKUP($R$15,DATA_IO,6,TRUE)+VLOOKUP($R$16,DATA_IO,6,TRUE)</f>
        <v>0</v>
      </c>
      <c r="E8" s="25">
        <f>F8-I8</f>
        <v>400</v>
      </c>
      <c r="F8" s="25">
        <f>'資料-迎擊'!$AO$3*2</f>
        <v>400</v>
      </c>
      <c r="G8" s="49">
        <f>IF(D8-C8 &lt;= 0,ABS(D8-C8),"")</f>
        <v>188</v>
      </c>
      <c r="H8" s="49">
        <f>IFERROR(FLOOR(G8/IO_WEAPON_530,1),"")</f>
        <v>0</v>
      </c>
      <c r="I8" s="108">
        <f>IF(D8-C8 &lt; 0,0,D8-C8)</f>
        <v>0</v>
      </c>
      <c r="J8" s="64">
        <f>IF(E8/F8 &gt; 1,100%,E8/F8)</f>
        <v>1</v>
      </c>
      <c r="K8" s="53">
        <f>IFERROR(ROUND(I8/N8,0),0)</f>
        <v>0</v>
      </c>
      <c r="L8" s="53">
        <f>IFERROR(ROUND(I8/$N$12,0),0)</f>
        <v>0</v>
      </c>
      <c r="M8" s="4">
        <f>L8/(WINGS_RECOVER_NUM/WINGS_CONSUME_IO)*WINGS_RECOVER_DIAMS</f>
        <v>0</v>
      </c>
      <c r="N8" s="11">
        <f>IFERROR(SUMPRODUCT('資料-迎擊'!R:R,'資料-迎擊'!T:T)/O$8,"")</f>
        <v>3.5145888594164458</v>
      </c>
      <c r="O8" s="80">
        <f>SUM('資料-迎擊'!T:T)</f>
        <v>377</v>
      </c>
      <c r="Q8" s="56" t="s">
        <v>22</v>
      </c>
      <c r="R8" s="129" t="s">
        <v>19</v>
      </c>
      <c r="S8" s="76" t="s">
        <v>21</v>
      </c>
      <c r="T8" s="76"/>
      <c r="U8" s="14" t="s">
        <v>23</v>
      </c>
      <c r="V8" s="56" t="s">
        <v>24</v>
      </c>
      <c r="W8" s="26" t="s">
        <v>22</v>
      </c>
      <c r="X8" s="129" t="s">
        <v>19</v>
      </c>
      <c r="Y8" s="58" t="s">
        <v>21</v>
      </c>
      <c r="Z8" s="219"/>
      <c r="AA8" s="59"/>
      <c r="AB8" s="14" t="s">
        <v>23</v>
      </c>
      <c r="AC8" s="94" t="s">
        <v>24</v>
      </c>
      <c r="AD8" s="99"/>
    </row>
    <row r="9" spans="1:30" x14ac:dyDescent="0.2">
      <c r="A9" s="119"/>
      <c r="B9" s="115" t="s">
        <v>110</v>
      </c>
      <c r="C9" s="111">
        <v>188</v>
      </c>
      <c r="D9" s="230">
        <f>VLOOKUP($R$15,DATA_IO,5,TRUE)+VLOOKUP($R$16,DATA_IO,5,TRUE)</f>
        <v>0</v>
      </c>
      <c r="E9" s="25">
        <f>F9-I9</f>
        <v>2860</v>
      </c>
      <c r="F9" s="25">
        <f>'資料-迎擊'!$AN$3*2</f>
        <v>2860</v>
      </c>
      <c r="G9" s="49">
        <f>IF(D9-C9 &lt;= 0,ABS(D9-C9),"")</f>
        <v>188</v>
      </c>
      <c r="H9" s="49">
        <f>IFERROR(FLOOR(G9/IO_WEAPON_434,1),"")</f>
        <v>0</v>
      </c>
      <c r="I9" s="108">
        <f>IF(D9-C9 &lt; 0,0,D9-C9)</f>
        <v>0</v>
      </c>
      <c r="J9" s="64">
        <f>IF(E9/F9 &gt; 1,100%,E9/F9)</f>
        <v>1</v>
      </c>
      <c r="K9" s="53">
        <f>IFERROR(ROUND(I9/N9,0),0)</f>
        <v>0</v>
      </c>
      <c r="L9" s="53">
        <f>IFERROR(ROUND(I9/$N$13,0),0)</f>
        <v>0</v>
      </c>
      <c r="M9" s="4">
        <f>L9/(WINGS_RECOVER_NUM/WINGS_CONSUME_IO)*WINGS_RECOVER_DIAMS</f>
        <v>0</v>
      </c>
      <c r="N9" s="11">
        <f>IFERROR(SUMPRODUCT('資料-迎擊'!P:P,'資料-迎擊'!T:T)/O$8,"")</f>
        <v>0</v>
      </c>
      <c r="O9" s="80"/>
      <c r="Q9" s="73" t="s">
        <v>20</v>
      </c>
      <c r="R9" s="130">
        <v>30</v>
      </c>
      <c r="S9" s="63" t="s">
        <v>1</v>
      </c>
      <c r="T9" s="15">
        <f>VLOOKUP(R9,DATA_IO,7)+VLOOKUP(R10,DATA_IO,7)</f>
        <v>23</v>
      </c>
      <c r="U9" s="136" t="str">
        <f>IF(VLOOKUP(R9,DATA_IO,9)=0,"",VLOOKUP(R9,DATA_IO,9))</f>
        <v/>
      </c>
      <c r="V9" s="57" t="str">
        <f>IFERROR(U9*BOOST_PRICE,"")</f>
        <v/>
      </c>
      <c r="W9" s="79" t="s">
        <v>13</v>
      </c>
      <c r="X9" s="130">
        <v>30</v>
      </c>
      <c r="Y9" s="63" t="s">
        <v>1</v>
      </c>
      <c r="Z9" s="95"/>
      <c r="AA9" s="15">
        <f>VLOOKUP(X9,DATA_IO,7)+VLOOKUP(X10,DATA_IO,7)</f>
        <v>23</v>
      </c>
      <c r="AB9" s="137" t="str">
        <f>IF(VLOOKUP(X9,DATA_IO,9)=0,"",VLOOKUP(X9,DATA_IO,9))</f>
        <v/>
      </c>
      <c r="AC9" s="95" t="str">
        <f>IFERROR(AB9*BOOST_PRICE,"")</f>
        <v/>
      </c>
      <c r="AD9" s="99"/>
    </row>
    <row r="10" spans="1:30" x14ac:dyDescent="0.2">
      <c r="A10" s="72" t="s">
        <v>8</v>
      </c>
      <c r="B10" s="116" t="s">
        <v>109</v>
      </c>
      <c r="C10" s="111">
        <v>732</v>
      </c>
      <c r="D10" s="230">
        <f>VLOOKUP($X$15,DATA_IO,6,TRUE)+VLOOKUP($X$16,DATA_IO,6,TRUE)</f>
        <v>0</v>
      </c>
      <c r="E10" s="25">
        <f>F10-I10</f>
        <v>400</v>
      </c>
      <c r="F10" s="25">
        <f>'資料-迎擊'!$AO$3*2</f>
        <v>400</v>
      </c>
      <c r="G10" s="49">
        <f>IF(D10-C10 &lt;= 0,ABS(D10-C10),"")</f>
        <v>732</v>
      </c>
      <c r="H10" s="49">
        <f>IFERROR(FLOOR(G10/IO_WEAPON_530,1),"")</f>
        <v>3</v>
      </c>
      <c r="I10" s="108">
        <f>IF(D10-C10 &lt; 0,0,D10-C10)</f>
        <v>0</v>
      </c>
      <c r="J10" s="64">
        <f>IF(E10/F10 &gt; 1,100%,E10/F10)</f>
        <v>1</v>
      </c>
      <c r="K10" s="65">
        <f>IFERROR(ROUND(I10/N10,0),0)</f>
        <v>0</v>
      </c>
      <c r="L10" s="65">
        <f>IFERROR(ROUND(I10/$N$12,0),0)</f>
        <v>0</v>
      </c>
      <c r="M10" s="3">
        <f>L10/(WINGS_RECOVER_NUM/WINGS_CONSUME_IO)*WINGS_RECOVER_DIAMS</f>
        <v>0</v>
      </c>
      <c r="N10" s="12">
        <f>IFERROR(SUMPRODUCT('資料-迎擊'!W:W,'資料-迎擊'!Y:Y)/O$10,"")</f>
        <v>3.5441696113074204</v>
      </c>
      <c r="O10" s="67">
        <f>SUM('資料-迎擊'!Y:Y)</f>
        <v>283</v>
      </c>
      <c r="Q10" s="73"/>
      <c r="R10" s="130">
        <v>30</v>
      </c>
      <c r="S10" s="63" t="s">
        <v>0</v>
      </c>
      <c r="T10" s="15">
        <f>VLOOKUP(R9,DATA_IO,8)+VLOOKUP(R10,DATA_IO,8)</f>
        <v>23</v>
      </c>
      <c r="U10" s="137" t="str">
        <f>IF(VLOOKUP(R10,DATA_IO,9)=0,"",VLOOKUP(R10,DATA_IO,9))</f>
        <v/>
      </c>
      <c r="V10" s="57" t="str">
        <f>IFERROR(U10*BOOST_PRICE,"")</f>
        <v/>
      </c>
      <c r="W10" s="79"/>
      <c r="X10" s="130">
        <v>30</v>
      </c>
      <c r="Y10" s="63" t="s">
        <v>0</v>
      </c>
      <c r="Z10" s="95"/>
      <c r="AA10" s="15">
        <f>VLOOKUP(X9,DATA_IO,8)+VLOOKUP(X10,DATA_IO,8)</f>
        <v>23</v>
      </c>
      <c r="AB10" s="137" t="str">
        <f>IF(VLOOKUP(X10,DATA_IO,9)=0,"",VLOOKUP(X10,DATA_IO,9))</f>
        <v/>
      </c>
      <c r="AC10" s="95" t="str">
        <f>IFERROR(AB10*BOOST_PRICE,"")</f>
        <v/>
      </c>
      <c r="AD10" s="99"/>
    </row>
    <row r="11" spans="1:30" x14ac:dyDescent="0.2">
      <c r="A11" s="72"/>
      <c r="B11" s="116" t="s">
        <v>110</v>
      </c>
      <c r="C11" s="111">
        <v>732</v>
      </c>
      <c r="D11" s="230">
        <f>VLOOKUP($X$15,DATA_IO,5,TRUE)+VLOOKUP($X$16,DATA_IO,5,TRUE)</f>
        <v>0</v>
      </c>
      <c r="E11" s="25">
        <f>F11-I11</f>
        <v>2860</v>
      </c>
      <c r="F11" s="25">
        <f>'資料-迎擊'!$AN$3*2</f>
        <v>2860</v>
      </c>
      <c r="G11" s="49">
        <f>IF(D11-C11 &lt;= 0,ABS(D11-C11),"")</f>
        <v>732</v>
      </c>
      <c r="H11" s="49">
        <f>IFERROR(FLOOR(G11/IO_WEAPON_434,1),"")</f>
        <v>2</v>
      </c>
      <c r="I11" s="108">
        <f>IF(D11-C11 &lt; 0,0,D11-C11)</f>
        <v>0</v>
      </c>
      <c r="J11" s="64">
        <f>IF(E11/F11 &gt; 1,100%,E11/F11)</f>
        <v>1</v>
      </c>
      <c r="K11" s="65">
        <f>IFERROR(ROUND(I11/N11,0),0)</f>
        <v>0</v>
      </c>
      <c r="L11" s="65">
        <f>IFERROR(ROUND(I11/$N$13,0),0)</f>
        <v>0</v>
      </c>
      <c r="M11" s="3">
        <f>L11/(WINGS_RECOVER_NUM/WINGS_CONSUME_IO)*WINGS_RECOVER_DIAMS</f>
        <v>0</v>
      </c>
      <c r="N11" s="12">
        <f>IFERROR(SUMPRODUCT('資料-迎擊'!U:U,'資料-迎擊'!Y:Y)/O$10,"")</f>
        <v>0</v>
      </c>
      <c r="O11" s="67"/>
      <c r="Q11" s="82" t="s">
        <v>10</v>
      </c>
      <c r="R11" s="131">
        <v>30</v>
      </c>
      <c r="S11" s="62" t="s">
        <v>1</v>
      </c>
      <c r="T11" s="16">
        <f>VLOOKUP(R11,DATA_IO,7)+VLOOKUP(R12,DATA_IO,7)</f>
        <v>23</v>
      </c>
      <c r="U11" s="138" t="str">
        <f>IF(VLOOKUP(R11,DATA_IO,9)=0,"",VLOOKUP(R11,DATA_IO,9))</f>
        <v/>
      </c>
      <c r="V11" s="55" t="str">
        <f>IFERROR(U11*BOOST_PRICE,"")</f>
        <v/>
      </c>
      <c r="W11" s="84" t="s">
        <v>7</v>
      </c>
      <c r="X11" s="131">
        <v>30</v>
      </c>
      <c r="Y11" s="62" t="s">
        <v>1</v>
      </c>
      <c r="Z11" s="96"/>
      <c r="AA11" s="16">
        <f>VLOOKUP(X11,DATA_IO,7)+VLOOKUP(X12,DATA_IO,7)</f>
        <v>23</v>
      </c>
      <c r="AB11" s="138" t="str">
        <f>IF(VLOOKUP(X11,DATA_IO,9)=0,"",VLOOKUP(X11,DATA_IO,9))</f>
        <v/>
      </c>
      <c r="AC11" s="96" t="str">
        <f>IFERROR(AB11*BOOST_PRICE,"")</f>
        <v/>
      </c>
      <c r="AD11" s="99"/>
    </row>
    <row r="12" spans="1:30" x14ac:dyDescent="0.2">
      <c r="A12" s="120" t="s">
        <v>6</v>
      </c>
      <c r="B12" s="56" t="s">
        <v>109</v>
      </c>
      <c r="C12" s="111">
        <f>SUM(C2,C4,C6,C8,C10)</f>
        <v>2719</v>
      </c>
      <c r="D12" s="230">
        <f>SUM(D2,D4,D6,D8,D10)</f>
        <v>0</v>
      </c>
      <c r="E12" s="25">
        <f>SUM(E2,E4,E6,E8,E10)</f>
        <v>3200</v>
      </c>
      <c r="F12" s="25">
        <f>SUM(F2,F4,F6,F8,F10)</f>
        <v>3200</v>
      </c>
      <c r="G12" s="49">
        <f>SUM(G2,G4,G6,G8,G10)</f>
        <v>2719</v>
      </c>
      <c r="H12" s="49">
        <f>SUM(H2,H4,H6,H8,H10)</f>
        <v>10</v>
      </c>
      <c r="I12" s="108">
        <f>SUM(I2,I4,I6,I8,I10)</f>
        <v>0</v>
      </c>
      <c r="J12" s="64">
        <f>IF(E12/F12 &gt; 1,100%,E12/F12)</f>
        <v>1</v>
      </c>
      <c r="K12" s="2">
        <f>SUM(K2,K4,K6,K8,K10)</f>
        <v>0</v>
      </c>
      <c r="L12" s="2">
        <f>SUM(L2,L4,L6,L8,L10)</f>
        <v>0</v>
      </c>
      <c r="M12" s="2">
        <f>SUM(M2,M4,M6,M8,M10)</f>
        <v>0</v>
      </c>
      <c r="N12" s="13">
        <f>(N2*O2+N4*O4+N6*O6+N8*O8+N10*O10) / O$12</f>
        <v>3.5145695364238412</v>
      </c>
      <c r="O12" s="93">
        <f>SUM(O2,O4,O6,O8,O10)</f>
        <v>3020</v>
      </c>
      <c r="Q12" s="82"/>
      <c r="R12" s="131">
        <v>30</v>
      </c>
      <c r="S12" s="62" t="s">
        <v>0</v>
      </c>
      <c r="T12" s="16">
        <f>VLOOKUP(R11,DATA_IO,8)+VLOOKUP(R12,DATA_IO,8)</f>
        <v>23</v>
      </c>
      <c r="U12" s="138" t="str">
        <f>IF(VLOOKUP(R12,DATA_IO,9)=0,"",VLOOKUP(R12,DATA_IO,9))</f>
        <v/>
      </c>
      <c r="V12" s="55" t="str">
        <f>IFERROR(U12*BOOST_PRICE,"")</f>
        <v/>
      </c>
      <c r="W12" s="84"/>
      <c r="X12" s="131">
        <v>30</v>
      </c>
      <c r="Y12" s="62" t="s">
        <v>0</v>
      </c>
      <c r="Z12" s="96"/>
      <c r="AA12" s="16">
        <f>VLOOKUP(X11,DATA_IO,8)+VLOOKUP(X12,DATA_IO,8)</f>
        <v>23</v>
      </c>
      <c r="AB12" s="138" t="str">
        <f>IF(VLOOKUP(X12,DATA_IO,9)=0,"",VLOOKUP(X12,DATA_IO,9))</f>
        <v/>
      </c>
      <c r="AC12" s="96" t="str">
        <f>IFERROR(AB12*BOOST_PRICE,"")</f>
        <v/>
      </c>
      <c r="AD12" s="99"/>
    </row>
    <row r="13" spans="1:30" x14ac:dyDescent="0.2">
      <c r="A13" s="120"/>
      <c r="B13" s="56" t="s">
        <v>110</v>
      </c>
      <c r="C13" s="111">
        <f>SUM(C3,C5,C7,C9,C11)</f>
        <v>4662</v>
      </c>
      <c r="D13" s="230">
        <f>SUM(D3,D5,D7,D9,D11)</f>
        <v>0</v>
      </c>
      <c r="E13" s="25">
        <f>SUM(E3,E5,E7,E9,E11)</f>
        <v>22880</v>
      </c>
      <c r="F13" s="25">
        <f>SUM(F3,F5,F7,F9,F11)</f>
        <v>22880</v>
      </c>
      <c r="G13" s="49">
        <f>SUM(G3,G5,G7,G9,G11)</f>
        <v>4662</v>
      </c>
      <c r="H13" s="49">
        <f>SUM(H3,H5,H7,H9,H11)</f>
        <v>15</v>
      </c>
      <c r="I13" s="108">
        <f>SUM(I3,I5,I7,I9,I11)</f>
        <v>0</v>
      </c>
      <c r="J13" s="64">
        <f>IF(E13/F13 &gt; 1,100%,E13/F13)</f>
        <v>1</v>
      </c>
      <c r="K13" s="2">
        <f>SUM(K3,K5,K7,K9,K11)</f>
        <v>0</v>
      </c>
      <c r="L13" s="2">
        <f>SUM(L3,L5,L7,L9,L11)</f>
        <v>0</v>
      </c>
      <c r="M13" s="2">
        <f>SUM(M3,M5,M7,M9,M11)</f>
        <v>0</v>
      </c>
      <c r="N13" s="13">
        <f>(N3*O2+N5*O4+N7*O6+N9*O8+N11*O10) / O$12</f>
        <v>0</v>
      </c>
      <c r="O13" s="93"/>
      <c r="Q13" s="81" t="s">
        <v>5</v>
      </c>
      <c r="R13" s="132">
        <v>30</v>
      </c>
      <c r="S13" s="61" t="s">
        <v>1</v>
      </c>
      <c r="T13" s="17">
        <f>VLOOKUP(R13,DATA_IO,7)+VLOOKUP(R14,DATA_IO,7)</f>
        <v>23</v>
      </c>
      <c r="U13" s="139" t="str">
        <f>IF(VLOOKUP(R13,DATA_IO,9)=0,"",VLOOKUP(R13,DATA_IO,9))</f>
        <v/>
      </c>
      <c r="V13" s="54" t="str">
        <f>IFERROR(U13*BOOST_PRICE,"")</f>
        <v/>
      </c>
      <c r="W13" s="83" t="s">
        <v>4</v>
      </c>
      <c r="X13" s="132">
        <v>30</v>
      </c>
      <c r="Y13" s="61" t="s">
        <v>1</v>
      </c>
      <c r="Z13" s="97"/>
      <c r="AA13" s="17">
        <f>VLOOKUP(X13,DATA_IO,7)+VLOOKUP(X14,DATA_IO,7)</f>
        <v>23</v>
      </c>
      <c r="AB13" s="139" t="str">
        <f>IF(VLOOKUP(X13,DATA_IO,9)=0,"",VLOOKUP(X13,DATA_IO,9))</f>
        <v/>
      </c>
      <c r="AC13" s="97" t="str">
        <f>IFERROR(AB13*BOOST_PRICE,"")</f>
        <v/>
      </c>
      <c r="AD13" s="99"/>
    </row>
    <row r="14" spans="1:30" x14ac:dyDescent="0.2">
      <c r="A14" s="120"/>
      <c r="B14" s="56" t="s">
        <v>120</v>
      </c>
      <c r="D14" s="230">
        <f>SUM(VLOOKUP($R$9,DATA_IO,4,TRUE),VLOOKUP($R$10,DATA_IO,4,TRUE),VLOOKUP($R$11,DATA_IO,4,TRUE),VLOOKUP($R$12,DATA_IO,4,TRUE),VLOOKUP($R$13,DATA_IO,4,TRUE),VLOOKUP($R$14,DATA_IO,4,TRUE),VLOOKUP($R$15,DATA_IO,4,TRUE),VLOOKUP($R$16,DATA_IO,4,TRUE),VLOOKUP($X$9,DATA_IO,4,TRUE),VLOOKUP($X$10,DATA_IO,4,TRUE),VLOOKUP($X$11,DATA_IO,4,TRUE),VLOOKUP($X$12,DATA_IO,4,TRUE),VLOOKUP($X$13,DATA_IO,4,TRUE),VLOOKUP($X$14,DATA_IO,4,TRUE),VLOOKUP($X$15,DATA_IO,4,TRUE),VLOOKUP($X$16,DATA_IO,4,TRUE))</f>
        <v>0</v>
      </c>
      <c r="E14" s="25">
        <f>F14-I14</f>
        <v>10400</v>
      </c>
      <c r="F14" s="25">
        <f>'資料-迎擊'!$AM$3*16</f>
        <v>10400</v>
      </c>
      <c r="G14" s="49">
        <f>IF(D14-C14 &lt;= 0,ABS(D14-C14),"")</f>
        <v>0</v>
      </c>
      <c r="I14" s="108">
        <f>IF(D14-C14 &lt; 0,0,D14-C14)</f>
        <v>0</v>
      </c>
      <c r="J14" s="64">
        <f>IF(E14/F14 &gt; 1,100%,E14/F14)</f>
        <v>1</v>
      </c>
      <c r="K14" s="93">
        <f>IFERROR(ROUND(I14/N14,0),0)</f>
        <v>0</v>
      </c>
      <c r="L14" s="93"/>
      <c r="M14" s="2">
        <f>K14/(WINGS_RECOVER_NUM/WINGS_CONSUME_IO)*WINGS_RECOVER_DIAMS</f>
        <v>0</v>
      </c>
      <c r="N14" s="13">
        <f>IFERROR(SUMPRODUCT('資料-迎擊'!Z:Z,'資料-迎擊'!AB:AB)/O$12,"")</f>
        <v>0</v>
      </c>
      <c r="O14" s="93"/>
      <c r="Q14" s="81"/>
      <c r="R14" s="132">
        <v>30</v>
      </c>
      <c r="S14" s="61" t="s">
        <v>0</v>
      </c>
      <c r="T14" s="17">
        <f>VLOOKUP(R13,DATA_IO,8)+VLOOKUP(R14,DATA_IO,8)</f>
        <v>23</v>
      </c>
      <c r="U14" s="139" t="str">
        <f>IF(VLOOKUP(R14,DATA_IO,9)=0,"",VLOOKUP(R14,DATA_IO,9))</f>
        <v/>
      </c>
      <c r="V14" s="54" t="str">
        <f>IFERROR(U14*BOOST_PRICE,"")</f>
        <v/>
      </c>
      <c r="W14" s="83"/>
      <c r="X14" s="132">
        <v>30</v>
      </c>
      <c r="Y14" s="61" t="s">
        <v>0</v>
      </c>
      <c r="Z14" s="97"/>
      <c r="AA14" s="17">
        <f>VLOOKUP(X13,DATA_IO,8)+VLOOKUP(X14,DATA_IO,8)</f>
        <v>23</v>
      </c>
      <c r="AB14" s="139" t="str">
        <f>IF(VLOOKUP(X14,DATA_IO,9)=0,"",VLOOKUP(X14,DATA_IO,9))</f>
        <v/>
      </c>
      <c r="AC14" s="97" t="str">
        <f>IFERROR(AB14*BOOST_PRICE,"")</f>
        <v/>
      </c>
      <c r="AD14" s="99"/>
    </row>
    <row r="15" spans="1:30" x14ac:dyDescent="0.2">
      <c r="A15" s="120"/>
      <c r="B15" s="56" t="s">
        <v>121</v>
      </c>
      <c r="D15" s="230">
        <f>SUM(VLOOKUP($R$9,DATA_IO,3,TRUE),VLOOKUP($R$10,DATA_IO,3,TRUE),VLOOKUP($R$11,DATA_IO,3,TRUE),VLOOKUP($R$12,DATA_IO,3,TRUE),VLOOKUP($R$13,DATA_IO,3,TRUE),VLOOKUP($R$14,DATA_IO,3,TRUE),VLOOKUP($R$15,DATA_IO,3,TRUE),VLOOKUP($R$16,DATA_IO,3,TRUE),VLOOKUP($X$9,DATA_IO,3,TRUE),VLOOKUP($X$10,DATA_IO,3,TRUE),VLOOKUP($X$11,DATA_IO,3,TRUE),VLOOKUP($X$12,DATA_IO,3,TRUE),VLOOKUP($X$13,DATA_IO,3,TRUE),VLOOKUP($X$14,DATA_IO,3,TRUE),VLOOKUP($X$15,DATA_IO,3,TRUE),VLOOKUP($X$16,DATA_IO,3,TRUE))</f>
        <v>0</v>
      </c>
      <c r="E15" s="25">
        <f>F15-I15</f>
        <v>11440</v>
      </c>
      <c r="F15" s="25">
        <f>'資料-迎擊'!$AL$3*16</f>
        <v>11440</v>
      </c>
      <c r="G15" s="49">
        <f>IF(D15-C15 &lt;= 0,ABS(D15-C15),"")</f>
        <v>0</v>
      </c>
      <c r="I15" s="108">
        <f>IF(D15-C15 &lt; 0,0,D15-C15)</f>
        <v>0</v>
      </c>
      <c r="J15" s="64">
        <f>IF(E15/F15 &gt; 1,100%,E15/F15)</f>
        <v>1</v>
      </c>
      <c r="K15" s="93">
        <f>IFERROR(ROUND(I15/N15,0),0)</f>
        <v>0</v>
      </c>
      <c r="L15" s="93"/>
      <c r="M15" s="2">
        <f>K15/(WINGS_RECOVER_NUM/WINGS_CONSUME_IO)*WINGS_RECOVER_DIAMS</f>
        <v>0</v>
      </c>
      <c r="N15" s="13">
        <f>IFERROR(SUMPRODUCT('資料-迎擊'!AC:AC,'資料-迎擊'!AE:AE)/O$12,"")</f>
        <v>0</v>
      </c>
      <c r="O15" s="93"/>
      <c r="Q15" s="80" t="s">
        <v>3</v>
      </c>
      <c r="R15" s="133">
        <v>30</v>
      </c>
      <c r="S15" s="24" t="s">
        <v>1</v>
      </c>
      <c r="T15" s="18">
        <f>VLOOKUP(R15,DATA_IO,7)+VLOOKUP(R16,DATA_IO,7)</f>
        <v>23</v>
      </c>
      <c r="U15" s="140" t="str">
        <f>IF(VLOOKUP(R15,DATA_IO,9)=0,"",VLOOKUP(R15,DATA_IO,9))</f>
        <v/>
      </c>
      <c r="V15" s="53" t="str">
        <f>IFERROR(U15*BOOST_PRICE,"")</f>
        <v/>
      </c>
      <c r="W15" s="68" t="s">
        <v>2</v>
      </c>
      <c r="X15" s="134">
        <v>30</v>
      </c>
      <c r="Y15" s="60" t="s">
        <v>1</v>
      </c>
      <c r="Z15" s="98"/>
      <c r="AA15" s="19">
        <f>VLOOKUP(X15,DATA_IO,7)+VLOOKUP(X16,DATA_IO,7)</f>
        <v>23</v>
      </c>
      <c r="AB15" s="141" t="str">
        <f>IF(VLOOKUP(X15,DATA_IO,9)=0,"",VLOOKUP(X15,DATA_IO,9))</f>
        <v/>
      </c>
      <c r="AC15" s="98" t="str">
        <f>IFERROR(AB15*BOOST_PRICE,"")</f>
        <v/>
      </c>
      <c r="AD15" s="99"/>
    </row>
    <row r="16" spans="1:30" x14ac:dyDescent="0.2">
      <c r="A16" s="120"/>
      <c r="B16" s="56" t="s">
        <v>122</v>
      </c>
      <c r="D16" s="230">
        <f>SUM(VLOOKUP($R$9,DATA_IO,2,TRUE),VLOOKUP($R$10,DATA_IO,2,TRUE),VLOOKUP($R$11,DATA_IO,2,TRUE),VLOOKUP($R$12,DATA_IO,2,TRUE),VLOOKUP($R$13,DATA_IO,2,TRUE),VLOOKUP($R$14,DATA_IO,2,TRUE),VLOOKUP($R$15,DATA_IO,2,TRUE),VLOOKUP($R$16,DATA_IO,2,TRUE),VLOOKUP($X$9,DATA_IO,2,TRUE),VLOOKUP($X$10,DATA_IO,2,TRUE),VLOOKUP($X$11,DATA_IO,2,TRUE),VLOOKUP($X$12,DATA_IO,2,TRUE),VLOOKUP($X$13,DATA_IO,2,TRUE),VLOOKUP($X$14,DATA_IO,2,TRUE),VLOOKUP($X$15,DATA_IO,2,TRUE),VLOOKUP($X$16,DATA_IO,2,TRUE))</f>
        <v>0</v>
      </c>
      <c r="E16" s="25">
        <f>F16-I16</f>
        <v>38080</v>
      </c>
      <c r="F16" s="25">
        <f>'資料-迎擊'!$AK$3*16</f>
        <v>38080</v>
      </c>
      <c r="G16" s="49">
        <f>IF(D16-C16 &lt;= 0,ABS(D16-C16),"")</f>
        <v>0</v>
      </c>
      <c r="I16" s="108">
        <f>IF(D16-C16 &lt; 0,0,D16-C16)</f>
        <v>0</v>
      </c>
      <c r="J16" s="64">
        <f>IF(E16/F16 &gt; 1,100%,E16/F16)</f>
        <v>1</v>
      </c>
      <c r="K16" s="93">
        <f>IFERROR(ROUND(I16/N16,0),0)</f>
        <v>0</v>
      </c>
      <c r="L16" s="93"/>
      <c r="M16" s="2">
        <f>L16/(WINGS_RECOVER_NUM/WINGS_CONSUME_IO)*WINGS_RECOVER_DIAMS</f>
        <v>0</v>
      </c>
      <c r="N16" s="13">
        <f>IFERROR(SUMPRODUCT('資料-迎擊'!AF:AF,'資料-迎擊'!AH:AH)/O$12,"")</f>
        <v>0</v>
      </c>
      <c r="O16" s="93"/>
      <c r="Q16" s="80"/>
      <c r="R16" s="133">
        <v>30</v>
      </c>
      <c r="S16" s="24" t="s">
        <v>0</v>
      </c>
      <c r="T16" s="18">
        <f>VLOOKUP(R15,DATA_IO,8)+VLOOKUP(R16,DATA_IO,8)</f>
        <v>23</v>
      </c>
      <c r="U16" s="140" t="str">
        <f>IF(VLOOKUP(R16,DATA_IO,9)=0,"",VLOOKUP(R16,DATA_IO,9))</f>
        <v/>
      </c>
      <c r="V16" s="53" t="str">
        <f>IFERROR(U16*BOOST_PRICE,"")</f>
        <v/>
      </c>
      <c r="W16" s="68"/>
      <c r="X16" s="134">
        <v>30</v>
      </c>
      <c r="Y16" s="60" t="s">
        <v>0</v>
      </c>
      <c r="Z16" s="98"/>
      <c r="AA16" s="19">
        <f>VLOOKUP(X15,DATA_IO,8)+VLOOKUP(X16,DATA_IO,8)</f>
        <v>23</v>
      </c>
      <c r="AB16" s="141" t="str">
        <f>IF(VLOOKUP(X16,DATA_IO,9)=0,"",VLOOKUP(X16,DATA_IO,9))</f>
        <v/>
      </c>
      <c r="AC16" s="98" t="str">
        <f>IFERROR(AB16*BOOST_PRICE,"")</f>
        <v/>
      </c>
    </row>
  </sheetData>
  <mergeCells count="24">
    <mergeCell ref="O4:O5"/>
    <mergeCell ref="A12:A16"/>
    <mergeCell ref="O12:O16"/>
    <mergeCell ref="K14:L14"/>
    <mergeCell ref="K15:L15"/>
    <mergeCell ref="K16:L16"/>
    <mergeCell ref="A8:A9"/>
    <mergeCell ref="O8:O9"/>
    <mergeCell ref="O10:O11"/>
    <mergeCell ref="W15:W16"/>
    <mergeCell ref="Q15:Q16"/>
    <mergeCell ref="Q13:Q14"/>
    <mergeCell ref="Q11:Q12"/>
    <mergeCell ref="Q9:Q10"/>
    <mergeCell ref="W9:W10"/>
    <mergeCell ref="S8:T8"/>
    <mergeCell ref="W11:W12"/>
    <mergeCell ref="W13:W14"/>
    <mergeCell ref="A2:A3"/>
    <mergeCell ref="A6:A7"/>
    <mergeCell ref="A10:A11"/>
    <mergeCell ref="A4:A5"/>
    <mergeCell ref="O2:O3"/>
    <mergeCell ref="O6:O7"/>
  </mergeCells>
  <conditionalFormatting sqref="J2">
    <cfRule type="dataBar" priority="23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J4:J5">
    <cfRule type="dataBar" priority="2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J6:J7">
    <cfRule type="dataBar" priority="2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J8:J9">
    <cfRule type="dataBar" priority="2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J10:J11">
    <cfRule type="dataBar" priority="27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J12:J15">
    <cfRule type="dataBar" priority="22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J3">
    <cfRule type="dataBar" priority="21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{EED12BB3-5289-4DB9-A705-E71F55558C30}</x14:id>
        </ext>
      </extLst>
    </cfRule>
  </conditionalFormatting>
  <conditionalFormatting sqref="J16">
    <cfRule type="dataBar" priority="1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{1D7F4491-8C2F-441D-95D1-70C0FE1CF4E3}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J4:J5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J6:J7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J8:J9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J10:J11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J12:J15</xm:sqref>
        </x14:conditionalFormatting>
        <x14:conditionalFormatting xmlns:xm="http://schemas.microsoft.com/office/excel/2006/main">
          <x14:cfRule type="dataBar" id="{EED12BB3-5289-4DB9-A705-E71F55558C3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1D7F4491-8C2F-441D-95D1-70C0FE1CF4E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J16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theme="5"/>
  </sheetPr>
  <dimension ref="A1:AE20"/>
  <sheetViews>
    <sheetView topLeftCell="E1" workbookViewId="0" xr3:uid="{5934FD27-1479-5E2F-8189-B24A1E5972BD}">
      <selection activeCell="M6" sqref="M6"/>
    </sheetView>
  </sheetViews>
  <sheetFormatPr defaultColWidth="2.82421875" defaultRowHeight="15" customHeight="1" x14ac:dyDescent="0.2"/>
  <cols>
    <col min="1" max="16384" width="2.82421875" style="1"/>
  </cols>
  <sheetData>
    <row r="1" spans="1:31" ht="15" customHeight="1" x14ac:dyDescent="0.2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</row>
    <row r="7" spans="1:31" ht="15" customHeight="1" x14ac:dyDescent="0.2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">
      <c r="A13" s="1">
        <v>2</v>
      </c>
      <c r="B13" s="1">
        <v>3</v>
      </c>
      <c r="C13" s="1">
        <v>2</v>
      </c>
      <c r="D13" s="29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">
      <c r="A14" s="1">
        <v>2</v>
      </c>
      <c r="B14" s="1">
        <v>3</v>
      </c>
      <c r="C14" s="1">
        <v>4</v>
      </c>
      <c r="D14" s="29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theme="5"/>
  </sheetPr>
  <dimension ref="A1"/>
  <sheetViews>
    <sheetView workbookViewId="0" xr3:uid="{9A4A014E-DF3D-5455-9155-7EA9F63965AA}">
      <selection sqref="A1:XFD1048576"/>
    </sheetView>
  </sheetViews>
  <sheetFormatPr defaultColWidth="2.82421875" defaultRowHeight="15" customHeight="1" x14ac:dyDescent="0.2"/>
  <cols>
    <col min="1" max="16384" width="2.82421875" style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theme="5"/>
  </sheetPr>
  <dimension ref="A1:BF29"/>
  <sheetViews>
    <sheetView workbookViewId="0" xr3:uid="{21FF955A-46CE-55BD-9F50-9C982E788D0D}">
      <selection activeCell="G10" sqref="G10"/>
    </sheetView>
  </sheetViews>
  <sheetFormatPr defaultColWidth="2.82421875" defaultRowHeight="15" x14ac:dyDescent="0.2"/>
  <cols>
    <col min="1" max="16384" width="2.82421875" style="22"/>
  </cols>
  <sheetData>
    <row r="1" spans="1:58" x14ac:dyDescent="0.2">
      <c r="A1" s="29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">
      <c r="A2" s="29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">
      <c r="A3" s="29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">
      <c r="A4" s="29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">
      <c r="A5" s="29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">
      <c r="A6" s="29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">
      <c r="A7" s="29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">
      <c r="A8" s="29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">
      <c r="A9" s="29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">
      <c r="A10" s="29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">
      <c r="A11" s="29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">
      <c r="A12" s="29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">
      <c r="A13" s="29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">
      <c r="A14" s="29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">
      <c r="A15" s="29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">
      <c r="A16" s="29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">
      <c r="A17" s="29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">
      <c r="A18" s="29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29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29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">
      <c r="A19" s="29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29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">
      <c r="A20" s="29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29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">
      <c r="A21" s="29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">
      <c r="A22" s="29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">
      <c r="A23" s="29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">
      <c r="A24" s="29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">
      <c r="A25" s="29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29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">
      <c r="A26" s="29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29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">
      <c r="A27" s="29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29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">
      <c r="A28" s="29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29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">
      <c r="A29" s="29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29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theme="5"/>
  </sheetPr>
  <dimension ref="A1"/>
  <sheetViews>
    <sheetView workbookViewId="0" xr3:uid="{3FFC07D7-F301-5728-9656-4CEB28C87004}">
      <selection sqref="A1:XFD1048576"/>
    </sheetView>
  </sheetViews>
  <sheetFormatPr defaultColWidth="2.82421875" defaultRowHeight="15" x14ac:dyDescent="0.2"/>
  <cols>
    <col min="1" max="16384" width="2.82421875" style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theme="5"/>
  </sheetPr>
  <dimension ref="A1"/>
  <sheetViews>
    <sheetView workbookViewId="0" xr3:uid="{FAFDD19A-330D-5093-B164-38523421B822}">
      <selection sqref="A1:XFD1048576"/>
    </sheetView>
  </sheetViews>
  <sheetFormatPr defaultColWidth="2.82421875" defaultRowHeight="15" x14ac:dyDescent="0.2"/>
  <cols>
    <col min="1" max="16384" width="2.8242187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W43"/>
  <sheetViews>
    <sheetView zoomScaleNormal="60" zoomScaleSheetLayoutView="100" workbookViewId="0" xr3:uid="{B01015FC-F717-5BD0-A574-CA58DDA1F421}"/>
  </sheetViews>
  <sheetFormatPr defaultRowHeight="15" x14ac:dyDescent="0.2"/>
  <cols>
    <col min="1" max="1" width="8.609375" style="99"/>
    <col min="2" max="6" width="6.859375" style="99" customWidth="1"/>
    <col min="7" max="7" width="11.8359375" style="99" customWidth="1"/>
    <col min="8" max="8" width="2.82421875" style="99" customWidth="1"/>
    <col min="9" max="9" width="6.1875" style="99" customWidth="1"/>
    <col min="10" max="14" width="4.70703125" style="99" customWidth="1"/>
    <col min="15" max="15" width="7.26171875" style="108" customWidth="1"/>
    <col min="16" max="20" width="4.70703125" style="99" customWidth="1"/>
    <col min="21" max="23" width="23.80859375" style="99" customWidth="1"/>
    <col min="24" max="16384" width="8.609375" style="99"/>
  </cols>
  <sheetData>
    <row r="1" spans="1:23" x14ac:dyDescent="0.2">
      <c r="A1" s="121"/>
      <c r="B1" s="121" t="s">
        <v>29</v>
      </c>
      <c r="C1" s="121" t="s">
        <v>36</v>
      </c>
      <c r="D1" s="121" t="s">
        <v>37</v>
      </c>
      <c r="E1" s="121" t="s">
        <v>38</v>
      </c>
      <c r="F1" s="121" t="s">
        <v>39</v>
      </c>
      <c r="G1" s="121" t="s">
        <v>32</v>
      </c>
      <c r="I1" s="121"/>
      <c r="J1" s="74" t="s">
        <v>53</v>
      </c>
      <c r="K1" s="169" t="s">
        <v>49</v>
      </c>
      <c r="L1" s="169"/>
      <c r="M1" s="169" t="s">
        <v>52</v>
      </c>
      <c r="N1" s="169"/>
      <c r="O1" s="190" t="s">
        <v>54</v>
      </c>
      <c r="P1" s="74" t="s">
        <v>29</v>
      </c>
      <c r="Q1" s="74"/>
      <c r="R1" s="74"/>
      <c r="S1" s="74"/>
      <c r="T1" s="74"/>
      <c r="U1" s="74" t="s">
        <v>28</v>
      </c>
      <c r="V1" s="74"/>
      <c r="W1" s="74"/>
    </row>
    <row r="2" spans="1:23" ht="15" customHeight="1" x14ac:dyDescent="0.2">
      <c r="A2" s="156" t="s">
        <v>34</v>
      </c>
      <c r="B2" s="171">
        <f>IF(HDRAG_HAS_REC_HBRUN,COUNTA(DATA_HDRAG_HBRUN),"")</f>
        <v>295</v>
      </c>
      <c r="C2" s="95">
        <f>IF(HDRAG_HAS_REC_HBRUN,COUNTIF(DATA_HDRAG_HBRUN,"=2"),"")</f>
        <v>203</v>
      </c>
      <c r="D2" s="95">
        <f>IF(HDRAG_HAS_REC_HBRUN,COUNTIF(DATA_HDRAG_HBRUN,"=3"),"")</f>
        <v>68</v>
      </c>
      <c r="E2" s="95">
        <f>IF(HDRAG_HAS_REC_HBRUN,COUNTIF(DATA_HDRAG_HBRUN,"=4"),"")</f>
        <v>13</v>
      </c>
      <c r="F2" s="95">
        <f>IF(HDRAG_HAS_REC_HBRUN,COUNTIF(DATA_HDRAG_HBRUN,"=5"),"")</f>
        <v>11</v>
      </c>
      <c r="G2" s="78">
        <f>IF(HDRAG_HAS_REC_HBRUN,AVERAGE(DATA_HDRAG_HBRUN),"")</f>
        <v>2.4305084745762713</v>
      </c>
      <c r="I2" s="121"/>
      <c r="J2" s="74"/>
      <c r="K2" s="51" t="s">
        <v>50</v>
      </c>
      <c r="L2" s="121" t="s">
        <v>27</v>
      </c>
      <c r="M2" s="121" t="s">
        <v>51</v>
      </c>
      <c r="N2" s="170" t="s">
        <v>27</v>
      </c>
      <c r="O2" s="190"/>
      <c r="P2" s="121">
        <v>2</v>
      </c>
      <c r="Q2" s="121">
        <v>3</v>
      </c>
      <c r="R2" s="121">
        <v>4</v>
      </c>
      <c r="S2" s="121">
        <v>5</v>
      </c>
      <c r="T2" s="121" t="s">
        <v>45</v>
      </c>
      <c r="U2" s="121" t="s">
        <v>52</v>
      </c>
      <c r="V2" s="121" t="s">
        <v>49</v>
      </c>
      <c r="W2" s="121" t="s">
        <v>55</v>
      </c>
    </row>
    <row r="3" spans="1:23" ht="15" customHeight="1" x14ac:dyDescent="0.2">
      <c r="A3" s="156"/>
      <c r="B3" s="171"/>
      <c r="C3" s="157">
        <f>IF(HDRAG_HAS_REC_HBRUN,C2/$B2,"")</f>
        <v>0.68813559322033901</v>
      </c>
      <c r="D3" s="157">
        <f>IF(HDRAG_HAS_REC_HBRUN,D2/$B2,"")</f>
        <v>0.23050847457627119</v>
      </c>
      <c r="E3" s="157">
        <f>IF(HDRAG_HAS_REC_HBRUN,E2/$B2,"")</f>
        <v>4.4067796610169491E-2</v>
      </c>
      <c r="F3" s="157">
        <f>IF(HDRAG_HAS_REC_HBRUN,F2/$B2,"")</f>
        <v>3.7288135593220341E-2</v>
      </c>
      <c r="G3" s="78"/>
      <c r="I3" s="112" t="s">
        <v>34</v>
      </c>
      <c r="J3" s="49">
        <v>414</v>
      </c>
      <c r="K3" s="49">
        <v>30</v>
      </c>
      <c r="L3" s="49">
        <f>IF(HDRAG_HAS_REC_HBRUN,INDEX(DATA_HDRAGS_BUILDING,K3 + 1),"")</f>
        <v>0</v>
      </c>
      <c r="M3" s="49"/>
      <c r="N3" s="49">
        <f>IF(HDRAG_HAS_REC_HBRUN,INDEX(DATA_HDRAGS_DRAGON,IF(ISBLANK(M3),1,M3 + 2)),"")</f>
        <v>485</v>
      </c>
      <c r="O3" s="108">
        <f>IFERROR(IF(L3+N3=0,0,L3+N3-J3),"")</f>
        <v>71</v>
      </c>
      <c r="P3" s="49">
        <f>IFERROR(IF($O3=0,"",_xlfn.CEILING.MATH(($O3/C17)*D15)),"")</f>
        <v>27</v>
      </c>
      <c r="Q3" s="49" t="str">
        <f>IFERROR(IF($O3=0,"",_xlfn.CEILING.MATH(($O3/C17)*#REF!)),"")</f>
        <v/>
      </c>
      <c r="R3" s="49" t="str">
        <f>IFERROR(IF($O3=0,"",_xlfn.CEILING.MATH(($O3/C17)*D16)),"")</f>
        <v/>
      </c>
      <c r="S3" s="49" t="str">
        <f>IFERROR(IF($O3=0,"",_xlfn.CEILING.MATH(($O3/C17)*#REF!)),"")</f>
        <v/>
      </c>
      <c r="T3" s="49">
        <f>IF(AND(HDRAG_HAS_REC_HBRUN,O3&gt;0),SUM(P3:S3),"")</f>
        <v>27</v>
      </c>
      <c r="U3" s="64">
        <f>IFERROR(IF(N3=0,100%,(HDRAGS_MAX_DRAGON - N3)/HDRAGS_MAX_DRAGON),"")</f>
        <v>0</v>
      </c>
      <c r="V3" s="64">
        <f>IFERROR(IF(L3=0,100%,(HDRAGS_MAX_BUILDING - L3)/HDRAGS_MAX_BUILDING),"")</f>
        <v>1</v>
      </c>
      <c r="W3" s="64">
        <f>IFERROR(IF(O3=0,100%,(HDRAGS_MAX_ALL - O3)/HDRAGS_MAX_ALL),"")</f>
        <v>0.94542659492697922</v>
      </c>
    </row>
    <row r="4" spans="1:23" ht="15" customHeight="1" x14ac:dyDescent="0.2">
      <c r="A4" s="158" t="s">
        <v>46</v>
      </c>
      <c r="B4" s="172" t="str">
        <f>IF(HDRAG_HAS_REC_HMERC,COUNTA(DATA_HDRAG_HMERC),"")</f>
        <v/>
      </c>
      <c r="C4" s="159" t="str">
        <f>IF(HDRAG_HAS_REC_HMERC,COUNTIF(DATA_HDRAG_HMERC,"=2"),"")</f>
        <v/>
      </c>
      <c r="D4" s="159" t="str">
        <f>IF(HDRAG_HAS_REC_HMERC,COUNTIF(DATA_HDRAG_HMERC,"=3"),"")</f>
        <v/>
      </c>
      <c r="E4" s="159" t="str">
        <f>IF(HDRAG_HAS_REC_HMERC,COUNTIF(DATA_HDRAG_HMERC,"=4"),"")</f>
        <v/>
      </c>
      <c r="F4" s="159" t="str">
        <f>IF(HDRAG_HAS_REC_HMERC,COUNTIF(DATA_HDRAG_HMERC,"=5"),"")</f>
        <v/>
      </c>
      <c r="G4" s="75" t="str">
        <f>IF(HDRAG_HAS_REC_HMERC,AVERAGE(DATA_HDRAG_HMERC),"")</f>
        <v/>
      </c>
      <c r="I4" s="176" t="s">
        <v>46</v>
      </c>
      <c r="J4" s="49"/>
      <c r="K4" s="49"/>
      <c r="L4" s="49" t="str">
        <f>IF(HDRAG_HAS_REC_HMERC,INDEX(DATA_HDRAGS_BUILDING,K4 + 1),"")</f>
        <v/>
      </c>
      <c r="M4" s="49"/>
      <c r="N4" s="49" t="str">
        <f>IF(HDRAG_HAS_REC_HMERC,INDEX(DATA_HDRAGS_DRAGON,IF(ISBLANK(M4),1,M4 + 2)),"")</f>
        <v/>
      </c>
      <c r="O4" s="108" t="str">
        <f>IFERROR(IF(L4+N4=0,0,L4+N4-J4),"")</f>
        <v/>
      </c>
      <c r="P4" s="49" t="str">
        <f>IFERROR(IF($O4=0,"",_xlfn.CEILING.MATH(($O4/E17)*F15)),"")</f>
        <v/>
      </c>
      <c r="Q4" s="49" t="str">
        <f>IFERROR(IF($O4=0,"",_xlfn.CEILING.MATH(($O4/E17)*#REF!)),"")</f>
        <v/>
      </c>
      <c r="R4" s="49" t="str">
        <f>IFERROR(IF($O4=0,"",_xlfn.CEILING.MATH(($O4/E17)*F16)),"")</f>
        <v/>
      </c>
      <c r="S4" s="49" t="str">
        <f>IFERROR(IF($O4=0,"",_xlfn.CEILING.MATH(($O4/E17)*#REF!)),"")</f>
        <v/>
      </c>
      <c r="T4" s="49" t="str">
        <f>IF(AND(HDRAG_HAS_REC_HMERC,O4&gt;0),SUM(P4:S4),"")</f>
        <v/>
      </c>
      <c r="U4" s="64" t="str">
        <f>IFERROR(IF(N4=0,100%,(HDRAGS_MAX_DRAGON - N4)/HDRAGS_MAX_DRAGON),"")</f>
        <v/>
      </c>
      <c r="V4" s="64" t="str">
        <f>IFERROR(IF(L4=0,100%,(HDRAGS_MAX_BUILDING - L4)/HDRAGS_MAX_BUILDING),"")</f>
        <v/>
      </c>
      <c r="W4" s="64" t="str">
        <f>IFERROR(IF(O4=0,100%,(HDRAGS_MAX_ALL - O4)/HDRAGS_MAX_ALL),"")</f>
        <v/>
      </c>
    </row>
    <row r="5" spans="1:23" ht="15" customHeight="1" x14ac:dyDescent="0.2">
      <c r="A5" s="158"/>
      <c r="B5" s="172"/>
      <c r="C5" s="160" t="str">
        <f>IF(HDRAG_HAS_REC_HMERC,C4/$B4,"")</f>
        <v/>
      </c>
      <c r="D5" s="160" t="str">
        <f>IF(HDRAG_HAS_REC_HMERC,D4/$B4,"")</f>
        <v/>
      </c>
      <c r="E5" s="160" t="str">
        <f>IF(HDRAG_HAS_REC_HMERC,E4/$B4,"")</f>
        <v/>
      </c>
      <c r="F5" s="160" t="str">
        <f>IF(HDRAG_HAS_REC_HMERC,F4/$B4,"")</f>
        <v/>
      </c>
      <c r="G5" s="75"/>
      <c r="I5" s="177" t="s">
        <v>35</v>
      </c>
      <c r="J5" s="49">
        <v>76</v>
      </c>
      <c r="K5" s="49">
        <v>30</v>
      </c>
      <c r="L5" s="49">
        <f>IF(HDRAG_HAS_REC_HMID,INDEX(DATA_HDRAGS_BUILDING,K5 + 1),"")</f>
        <v>0</v>
      </c>
      <c r="M5" s="49">
        <v>4</v>
      </c>
      <c r="N5" s="49">
        <f>IF(HDRAG_HAS_REC_HMID,INDEX(DATA_HDRAGS_DRAGON,IF(ISBLANK(M5),1,M5 + 2)),"")</f>
        <v>0</v>
      </c>
      <c r="O5" s="108">
        <f>IFERROR(IF(L5+N5=0,0,L5+N5-J5),"")</f>
        <v>0</v>
      </c>
      <c r="P5" s="49" t="str">
        <f>IF($O5=0,"",_xlfn.CEILING.MATH(($O5/G17)*C22))</f>
        <v/>
      </c>
      <c r="Q5" s="49" t="str">
        <f>IF($O5=0,"",_xlfn.CEILING.MATH(($O5/G17)*#REF!))</f>
        <v/>
      </c>
      <c r="R5" s="49" t="str">
        <f>IF($O5=0,"",_xlfn.CEILING.MATH(($O5/G17)*C23))</f>
        <v/>
      </c>
      <c r="S5" s="49" t="str">
        <f>IF($O5=0,"",_xlfn.CEILING.MATH(($O5/G17)*#REF!))</f>
        <v/>
      </c>
      <c r="T5" s="49" t="str">
        <f>IF(AND(HDRAG_HAS_REC_HMID,O5&gt;0),SUM(P5:S5),"")</f>
        <v/>
      </c>
      <c r="U5" s="64">
        <f>IFERROR(IF(N5=0,100%,(HDRAGS_MAX_DRAGON - N5)/HDRAGS_MAX_DRAGON),"")</f>
        <v>1</v>
      </c>
      <c r="V5" s="64">
        <f>IFERROR(IF(L5=0,100%,(HDRAGS_MAX_BUILDING - L5)/HDRAGS_MAX_BUILDING),"")</f>
        <v>1</v>
      </c>
      <c r="W5" s="64">
        <f>IFERROR(IF(O5=0,100%,(HDRAGS_MAX_ALL - O5)/HDRAGS_MAX_ALL),"")</f>
        <v>1</v>
      </c>
    </row>
    <row r="6" spans="1:23" ht="15" customHeight="1" x14ac:dyDescent="0.2">
      <c r="A6" s="161" t="s">
        <v>35</v>
      </c>
      <c r="B6" s="173">
        <f>IF(HDRAG_HAS_REC_HMID,COUNTA(DATA_HDRAG_HMID),"")</f>
        <v>799</v>
      </c>
      <c r="C6" s="162">
        <f>IF(HDRAG_HAS_REC_HMID,COUNTIF(DATA_HDRAG_HMID,"=2"),"")</f>
        <v>518</v>
      </c>
      <c r="D6" s="162">
        <f>IF(HDRAG_HAS_REC_HMID,COUNTIF(DATA_HDRAG_HMID,"=3"),"")</f>
        <v>170</v>
      </c>
      <c r="E6" s="162">
        <f>IF(HDRAG_HAS_REC_HMID,COUNTIF(DATA_HDRAG_HMID,"=4"),"")</f>
        <v>62</v>
      </c>
      <c r="F6" s="162">
        <f>IF(HDRAG_HAS_REC_HMID,COUNTIF(DATA_HDRAG_HMID,"=5"),"")</f>
        <v>49</v>
      </c>
      <c r="G6" s="69">
        <f>IF(HDRAG_HAS_REC_HMID,AVERAGE(DATA_HDRAG_HMID),"")</f>
        <v>2.5519399249061325</v>
      </c>
      <c r="I6" s="178" t="s">
        <v>47</v>
      </c>
      <c r="J6" s="49"/>
      <c r="K6" s="49"/>
      <c r="L6" s="49" t="str">
        <f>IF(HDRAG_HAS_REC_HJUP,INDEX(DATA_HDRAGS_BUILDING,K6 + 1),"")</f>
        <v/>
      </c>
      <c r="M6" s="49"/>
      <c r="N6" s="49" t="str">
        <f>IF(HDRAG_HAS_REC_HJUP,INDEX(DATA_HDRAGS_DRAGON,IF(ISBLANK(M6),1,M6 + 2)),"")</f>
        <v/>
      </c>
      <c r="O6" s="108" t="str">
        <f>IFERROR(IF(L6+N6=0,0,L6+N6-J6),"")</f>
        <v/>
      </c>
      <c r="P6" s="49" t="str">
        <f>IFERROR(IF($O6=0,"",_xlfn.CEILING.MATH(($O6/D24)*E22)),"")</f>
        <v/>
      </c>
      <c r="Q6" s="49" t="str">
        <f>IFERROR(IF($O6=0,"",_xlfn.CEILING.MATH(($O6/D24)*#REF!)),"")</f>
        <v/>
      </c>
      <c r="R6" s="49" t="str">
        <f>IFERROR(IF($O6=0,"",_xlfn.CEILING.MATH(($O6/D24)*E23)),"")</f>
        <v/>
      </c>
      <c r="S6" s="49" t="str">
        <f>IFERROR(IF($O6=0,"",_xlfn.CEILING.MATH(($O6/D24)*#REF!)),"")</f>
        <v/>
      </c>
      <c r="T6" s="49" t="str">
        <f>IF(AND(HDRAG_HAS_REC_HJUP,O6&gt;0),SUM(P6:S6),"")</f>
        <v/>
      </c>
      <c r="U6" s="64" t="str">
        <f>IFERROR(IF(N6=0,100%,(HDRAGS_MAX_DRAGON - N6)/HDRAGS_MAX_DRAGON),"")</f>
        <v/>
      </c>
      <c r="V6" s="64" t="str">
        <f>IFERROR(IF(L6=0,100%,(HDRAGS_MAX_BUILDING - L6)/HDRAGS_MAX_BUILDING),"")</f>
        <v/>
      </c>
      <c r="W6" s="64" t="str">
        <f>IFERROR(IF(O6=0,100%,(HDRAGS_MAX_ALL - O6)/HDRAGS_MAX_ALL),"")</f>
        <v/>
      </c>
    </row>
    <row r="7" spans="1:23" ht="15" customHeight="1" x14ac:dyDescent="0.2">
      <c r="A7" s="161"/>
      <c r="B7" s="173"/>
      <c r="C7" s="163">
        <f>IF(HDRAG_HAS_REC_HMID,C6/$B6,"")</f>
        <v>0.6483103879849812</v>
      </c>
      <c r="D7" s="163">
        <f>IF(HDRAG_HAS_REC_HMID,D6/$B6,"")</f>
        <v>0.21276595744680851</v>
      </c>
      <c r="E7" s="163">
        <f>IF(HDRAG_HAS_REC_HMID,E6/$B6,"")</f>
        <v>7.7596996245306638E-2</v>
      </c>
      <c r="F7" s="163">
        <f>IF(HDRAG_HAS_REC_HMID,F6/$B6,"")</f>
        <v>6.1326658322903627E-2</v>
      </c>
      <c r="G7" s="69"/>
      <c r="I7" s="116" t="s">
        <v>48</v>
      </c>
      <c r="J7" s="49"/>
      <c r="K7" s="49"/>
      <c r="L7" s="49" t="str">
        <f>IF(HDRAG_HAS_REC_HZOD,INDEX(DATA_HDRAGS_BUILDING,K7 + 1),"")</f>
        <v/>
      </c>
      <c r="M7" s="49"/>
      <c r="N7" s="49" t="str">
        <f>IF(HDRAG_HAS_REC_HZOD,INDEX(DATA_HDRAGS_DRAGON,IF(ISBLANK(M7),1,M7 + 2)),"")</f>
        <v/>
      </c>
      <c r="O7" s="108" t="str">
        <f>IFERROR(IF(L7+N7=0,0,L7+N7-J7),"")</f>
        <v/>
      </c>
      <c r="P7" s="49" t="str">
        <f>IFERROR(IF($O7=0,"",_xlfn.CEILING.MATH(($O7/F24)*G22)),"")</f>
        <v/>
      </c>
      <c r="Q7" s="49" t="str">
        <f>IFERROR(IF($O7=0,"",_xlfn.CEILING.MATH(($O7/F24)*#REF!)),"")</f>
        <v/>
      </c>
      <c r="R7" s="49" t="str">
        <f>IFERROR(IF($O7=0,"",_xlfn.CEILING.MATH(($O7/F24)*G23)),"")</f>
        <v/>
      </c>
      <c r="S7" s="49" t="str">
        <f>IFERROR(IF($O7=0,"",_xlfn.CEILING.MATH(($O7/F24)*#REF!)),"")</f>
        <v/>
      </c>
      <c r="T7" s="49" t="str">
        <f>IF(AND(HDRAG_HAS_REC_HZOD,O7&gt;0),SUM(P7:S7),"")</f>
        <v/>
      </c>
      <c r="U7" s="64" t="str">
        <f>IFERROR(IF(N7=0,100%,(HDRAGS_MAX_DRAGON - N7)/HDRAGS_MAX_DRAGON),"")</f>
        <v/>
      </c>
      <c r="V7" s="64" t="str">
        <f>IFERROR(IF(L7=0,100%,(HDRAGS_MAX_BUILDING - L7)/HDRAGS_MAX_BUILDING),"")</f>
        <v/>
      </c>
      <c r="W7" s="64" t="str">
        <f>IFERROR(IF(O7=0,100%,(HDRAGS_MAX_ALL - O7)/HDRAGS_MAX_ALL),"")</f>
        <v/>
      </c>
    </row>
    <row r="8" spans="1:23" ht="15" customHeight="1" x14ac:dyDescent="0.2">
      <c r="A8" s="164" t="s">
        <v>47</v>
      </c>
      <c r="B8" s="174" t="str">
        <f>IF(HDRAG_HAS_REC_HJUP,COUNTA(DATA_HDRAG_HJUP),"")</f>
        <v/>
      </c>
      <c r="C8" s="165" t="str">
        <f>IF(HDRAG_HAS_REC_HJUP,COUNTIF(DATA_HDRAG_HJUP,"=2"),"")</f>
        <v/>
      </c>
      <c r="D8" s="165" t="str">
        <f>IF(HDRAG_HAS_REC_HJUP,COUNTIF(DATA_HDRAG_HJUP,"=3"),"")</f>
        <v/>
      </c>
      <c r="E8" s="165" t="str">
        <f>IF(HDRAG_HAS_REC_HJUP,COUNTIF(DATA_HDRAG_HJUP,"=4"),"")</f>
        <v/>
      </c>
      <c r="F8" s="165" t="str">
        <f>IF(HDRAG_HAS_REC_HJUP,COUNTIF(DATA_HDRAG_HJUP,"=5"),"")</f>
        <v/>
      </c>
      <c r="G8" s="70" t="str">
        <f>IF(HDRAG_HAS_REC_HJUP,AVERAGE(DATA_HDRAG_HJUP),"")</f>
        <v/>
      </c>
    </row>
    <row r="9" spans="1:23" ht="15" customHeight="1" x14ac:dyDescent="0.2">
      <c r="A9" s="164"/>
      <c r="B9" s="174"/>
      <c r="C9" s="166" t="str">
        <f>IF(HDRAG_HAS_REC_HJUP,C8/$B8,"")</f>
        <v/>
      </c>
      <c r="D9" s="166" t="str">
        <f>IF(HDRAG_HAS_REC_HJUP,D8/$B8,"")</f>
        <v/>
      </c>
      <c r="E9" s="166" t="str">
        <f>IF(HDRAG_HAS_REC_HJUP,E8/$B8,"")</f>
        <v/>
      </c>
      <c r="F9" s="166" t="str">
        <f>IF(HDRAG_HAS_REC_HJUP,F8/$B8,"")</f>
        <v/>
      </c>
      <c r="G9" s="70"/>
    </row>
    <row r="10" spans="1:23" ht="15" customHeight="1" x14ac:dyDescent="0.2">
      <c r="A10" s="167" t="s">
        <v>48</v>
      </c>
      <c r="B10" s="175" t="str">
        <f>IF(HDRAG_HAS_REC_HZOD,COUNTA(DATA_HDRAG_HZOD),"")</f>
        <v/>
      </c>
      <c r="C10" s="98" t="str">
        <f>IF(HDRAG_HAS_REC_HZOD,COUNTIF(DATA_HDRAG_HZOD,"=2"),"")</f>
        <v/>
      </c>
      <c r="D10" s="98" t="str">
        <f>IF(HDRAG_HAS_REC_HZOD,COUNTIF(DATA_HDRAG_HZOD,"=3"),"")</f>
        <v/>
      </c>
      <c r="E10" s="98" t="str">
        <f>IF(HDRAG_HAS_REC_HZOD,COUNTIF(DATA_HDRAG_HZOD,"=4"),"")</f>
        <v/>
      </c>
      <c r="F10" s="98" t="str">
        <f>IF(HDRAG_HAS_REC_HZOD,COUNTIF(DATA_HDRAG_HZOD,"=5"),"")</f>
        <v/>
      </c>
      <c r="G10" s="71" t="str">
        <f>IF(HDRAG_HAS_REC_HZOD,AVERAGE(DATA_HDRAG_HZOD),"")</f>
        <v/>
      </c>
    </row>
    <row r="11" spans="1:23" ht="15" customHeight="1" x14ac:dyDescent="0.2">
      <c r="A11" s="167"/>
      <c r="B11" s="175"/>
      <c r="C11" s="168" t="str">
        <f>IF(HDRAG_HAS_REC_HZOD,C10/$B10,"")</f>
        <v/>
      </c>
      <c r="D11" s="168" t="str">
        <f>IF(HDRAG_HAS_REC_HZOD,D10/$B10,"")</f>
        <v/>
      </c>
      <c r="E11" s="168" t="str">
        <f>IF(HDRAG_HAS_REC_HZOD,E10/$B10,"")</f>
        <v/>
      </c>
      <c r="F11" s="168" t="str">
        <f>IF(HDRAG_HAS_REC_HZOD,F10/$B10,"")</f>
        <v/>
      </c>
      <c r="G11" s="71"/>
    </row>
    <row r="13" spans="1:23" x14ac:dyDescent="0.2">
      <c r="A13" s="23"/>
      <c r="B13" s="74" t="s">
        <v>40</v>
      </c>
      <c r="C13" s="74"/>
      <c r="D13" s="74"/>
      <c r="E13" s="74"/>
      <c r="F13" s="74"/>
      <c r="G13" s="74"/>
    </row>
    <row r="14" spans="1:23" x14ac:dyDescent="0.2">
      <c r="A14" s="23"/>
      <c r="B14" s="23"/>
      <c r="C14" s="121">
        <v>2</v>
      </c>
      <c r="D14" s="121">
        <v>3</v>
      </c>
      <c r="E14" s="121">
        <v>4</v>
      </c>
      <c r="F14" s="121">
        <v>5</v>
      </c>
      <c r="G14" s="121" t="s">
        <v>45</v>
      </c>
    </row>
    <row r="15" spans="1:23" x14ac:dyDescent="0.2">
      <c r="A15" s="23"/>
      <c r="B15" s="112" t="s">
        <v>34</v>
      </c>
      <c r="C15" s="180">
        <f>IF(HDRAG_HAS_REC_HBRUN,_xlfn.CEILING.MATH((HDRAGS_MAX_DRAGON/$G2)*C3),"")</f>
        <v>138</v>
      </c>
      <c r="D15" s="180">
        <f>IF(HDRAG_HAS_REC_HBRUN,_xlfn.CEILING.MATH((HDRAGS_MAX_DRAGON/$G2)*D3),"")</f>
        <v>46</v>
      </c>
      <c r="E15" s="180">
        <f>IF(HDRAG_HAS_REC_HBRUN,_xlfn.CEILING.MATH((HDRAGS_MAX_DRAGON/$G2)*E3),"")</f>
        <v>9</v>
      </c>
      <c r="F15" s="180">
        <f>IF(HDRAG_HAS_REC_HBRUN,_xlfn.CEILING.MATH((HDRAGS_MAX_DRAGON/$G2)*F3),"")</f>
        <v>8</v>
      </c>
      <c r="G15" s="185">
        <f>IF(HDRAG_HAS_REC_HBRUN,SUM(C15:F15),"")</f>
        <v>201</v>
      </c>
    </row>
    <row r="16" spans="1:23" x14ac:dyDescent="0.2">
      <c r="A16" s="23"/>
      <c r="B16" s="176" t="s">
        <v>46</v>
      </c>
      <c r="C16" s="181" t="str">
        <f>IF(HDRAG_HAS_REC_HMERC,_xlfn.CEILING.MATH((HDRAGS_MAX_DRAGON/$G4)*C5),"")</f>
        <v/>
      </c>
      <c r="D16" s="181" t="str">
        <f>IF(HDRAG_HAS_REC_HMERC,_xlfn.CEILING.MATH((HDRAGS_MAX_DRAGON/$G4)*D5),"")</f>
        <v/>
      </c>
      <c r="E16" s="181" t="str">
        <f>IF(HDRAG_HAS_REC_HMERC,_xlfn.CEILING.MATH((HDRAGS_MAX_DRAGON/$G4)*E5),"")</f>
        <v/>
      </c>
      <c r="F16" s="181" t="str">
        <f>IF(HDRAG_HAS_REC_HMERC,_xlfn.CEILING.MATH((HDRAGS_MAX_DRAGON/$G4)*F5),"")</f>
        <v/>
      </c>
      <c r="G16" s="186" t="str">
        <f>IF(HDRAG_HAS_REC_HMERC,SUM(C16:F16),"")</f>
        <v/>
      </c>
    </row>
    <row r="17" spans="1:7" x14ac:dyDescent="0.2">
      <c r="A17" s="23"/>
      <c r="B17" s="177" t="s">
        <v>35</v>
      </c>
      <c r="C17" s="182">
        <f>IF(HDRAG_HAS_REC_HMID,_xlfn.CEILING.MATH((HDRAGS_MAX_DRAGON/$G6)*C7),"")</f>
        <v>124</v>
      </c>
      <c r="D17" s="182">
        <f>IF(HDRAG_HAS_REC_HMID,_xlfn.CEILING.MATH((HDRAGS_MAX_DRAGON/$G6)*D7),"")</f>
        <v>41</v>
      </c>
      <c r="E17" s="182">
        <f>IF(HDRAG_HAS_REC_HMID,_xlfn.CEILING.MATH((HDRAGS_MAX_DRAGON/$G6)*E7),"")</f>
        <v>15</v>
      </c>
      <c r="F17" s="182">
        <f>IF(HDRAG_HAS_REC_HMID,_xlfn.CEILING.MATH((HDRAGS_MAX_DRAGON/$G6)*F7),"")</f>
        <v>12</v>
      </c>
      <c r="G17" s="187">
        <f>IF(HDRAG_HAS_REC_HMID,SUM(C17:F17),"")</f>
        <v>192</v>
      </c>
    </row>
    <row r="18" spans="1:7" x14ac:dyDescent="0.2">
      <c r="A18" s="23"/>
      <c r="B18" s="178" t="s">
        <v>47</v>
      </c>
      <c r="C18" s="183" t="str">
        <f>IF(HDRAG_HAS_REC_HJUP,_xlfn.CEILING.MATH((HDRAGS_MAX_DRAGON/$G8)*C9),"")</f>
        <v/>
      </c>
      <c r="D18" s="183" t="str">
        <f>IF(HDRAG_HAS_REC_HJUP,_xlfn.CEILING.MATH((HDRAGS_MAX_DRAGON/$G8)*D9),"")</f>
        <v/>
      </c>
      <c r="E18" s="183" t="str">
        <f>IF(HDRAG_HAS_REC_HJUP,_xlfn.CEILING.MATH((HDRAGS_MAX_DRAGON/$G8)*E9),"")</f>
        <v/>
      </c>
      <c r="F18" s="183" t="str">
        <f>IF(HDRAG_HAS_REC_HJUP,_xlfn.CEILING.MATH((HDRAGS_MAX_DRAGON/$G8)*F9),"")</f>
        <v/>
      </c>
      <c r="G18" s="188" t="str">
        <f>IF(HDRAG_HAS_REC_HJUP,SUM(C18:F18),"")</f>
        <v/>
      </c>
    </row>
    <row r="19" spans="1:7" x14ac:dyDescent="0.2">
      <c r="A19" s="23"/>
      <c r="B19" s="116" t="s">
        <v>48</v>
      </c>
      <c r="C19" s="184" t="str">
        <f>IF(HDRAG_HAS_REC_HZOD,_xlfn.CEILING.MATH((HDRAGS_MAX_DRAGON/$G10)*C11),"")</f>
        <v/>
      </c>
      <c r="D19" s="184" t="str">
        <f>IF(HDRAG_HAS_REC_HZOD,_xlfn.CEILING.MATH((HDRAGS_MAX_DRAGON/$G10)*D11),"")</f>
        <v/>
      </c>
      <c r="E19" s="184" t="str">
        <f>IF(HDRAG_HAS_REC_HZOD,_xlfn.CEILING.MATH((HDRAGS_MAX_DRAGON/$G10)*E11),"")</f>
        <v/>
      </c>
      <c r="F19" s="184" t="str">
        <f>IF(HDRAG_HAS_REC_HZOD,_xlfn.CEILING.MATH((HDRAGS_MAX_DRAGON/$G10)*F11),"")</f>
        <v/>
      </c>
      <c r="G19" s="189" t="str">
        <f>IF(HDRAG_HAS_REC_HZOD,SUM(C19:F19),"")</f>
        <v/>
      </c>
    </row>
    <row r="20" spans="1:7" x14ac:dyDescent="0.2">
      <c r="A20" s="23"/>
      <c r="B20" s="74" t="s">
        <v>41</v>
      </c>
      <c r="C20" s="74"/>
      <c r="D20" s="74"/>
      <c r="E20" s="74"/>
      <c r="F20" s="74"/>
      <c r="G20" s="74"/>
    </row>
    <row r="21" spans="1:7" x14ac:dyDescent="0.2">
      <c r="A21" s="23"/>
      <c r="B21" s="23"/>
      <c r="C21" s="121">
        <v>2</v>
      </c>
      <c r="D21" s="121">
        <v>3</v>
      </c>
      <c r="E21" s="121">
        <v>4</v>
      </c>
      <c r="F21" s="121">
        <v>5</v>
      </c>
      <c r="G21" s="121" t="s">
        <v>45</v>
      </c>
    </row>
    <row r="22" spans="1:7" x14ac:dyDescent="0.2">
      <c r="A22" s="23"/>
      <c r="B22" s="112" t="s">
        <v>34</v>
      </c>
      <c r="C22" s="180">
        <f>IF(HDRAG_HAS_REC_HBRUN,_xlfn.CEILING.MATH((HDRAGS_MAX_BUILDING/$G2)*C3),"")</f>
        <v>232</v>
      </c>
      <c r="D22" s="180">
        <f>IF(HDRAG_HAS_REC_HBRUN,_xlfn.CEILING.MATH((HDRAGS_MAX_BUILDING/$G2)*D3),"")</f>
        <v>78</v>
      </c>
      <c r="E22" s="180">
        <f>IF(HDRAG_HAS_REC_HBRUN,_xlfn.CEILING.MATH((HDRAGS_MAX_BUILDING/$G2)*E3),"")</f>
        <v>15</v>
      </c>
      <c r="F22" s="180">
        <f>IF(HDRAG_HAS_REC_HBRUN,_xlfn.CEILING.MATH((HDRAGS_MAX_BUILDING/$G2)*F3),"")</f>
        <v>13</v>
      </c>
      <c r="G22" s="185">
        <f>IF(HDRAG_HAS_REC_HBRUN,SUM(C22:F22),"")</f>
        <v>338</v>
      </c>
    </row>
    <row r="23" spans="1:7" x14ac:dyDescent="0.2">
      <c r="A23" s="23"/>
      <c r="B23" s="176" t="s">
        <v>46</v>
      </c>
      <c r="C23" s="181" t="str">
        <f>IF(HDRAG_HAS_REC_HMERC,_xlfn.CEILING.MATH((HDRAGS_MAX_BUILDING/$G4)*C5),"")</f>
        <v/>
      </c>
      <c r="D23" s="181" t="str">
        <f>IF(HDRAG_HAS_REC_HMERC,_xlfn.CEILING.MATH((HDRAGS_MAX_BUILDING/$G4)*D5),"")</f>
        <v/>
      </c>
      <c r="E23" s="181" t="str">
        <f>IF(HDRAG_HAS_REC_HMERC,_xlfn.CEILING.MATH((HDRAGS_MAX_BUILDING/$G4)*E5),"")</f>
        <v/>
      </c>
      <c r="F23" s="181" t="str">
        <f>IF(HDRAG_HAS_REC_HMERC,_xlfn.CEILING.MATH((HDRAGS_MAX_BUILDING/$G4)*F5),"")</f>
        <v/>
      </c>
      <c r="G23" s="186" t="str">
        <f>IF(HDRAG_HAS_REC_HMERC,SUM(C23:F23),"")</f>
        <v/>
      </c>
    </row>
    <row r="24" spans="1:7" x14ac:dyDescent="0.2">
      <c r="A24" s="23"/>
      <c r="B24" s="177" t="s">
        <v>35</v>
      </c>
      <c r="C24" s="182">
        <f>IF(HDRAG_HAS_REC_HMID,_xlfn.CEILING.MATH((HDRAGS_MAX_BUILDING/$G6)*C7),"")</f>
        <v>208</v>
      </c>
      <c r="D24" s="182">
        <f>IF(HDRAG_HAS_REC_HMID,_xlfn.CEILING.MATH((HDRAGS_MAX_BUILDING/$G6)*D7),"")</f>
        <v>69</v>
      </c>
      <c r="E24" s="182">
        <f>IF(HDRAG_HAS_REC_HMID,_xlfn.CEILING.MATH((HDRAGS_MAX_BUILDING/$G6)*E7),"")</f>
        <v>25</v>
      </c>
      <c r="F24" s="182">
        <f>IF(HDRAG_HAS_REC_HMID,_xlfn.CEILING.MATH((HDRAGS_MAX_BUILDING/$G6)*F7),"")</f>
        <v>20</v>
      </c>
      <c r="G24" s="187">
        <f>IF(HDRAG_HAS_REC_HMID,SUM(C24:F24),"")</f>
        <v>322</v>
      </c>
    </row>
    <row r="25" spans="1:7" x14ac:dyDescent="0.2">
      <c r="A25" s="23"/>
      <c r="B25" s="178" t="s">
        <v>47</v>
      </c>
      <c r="C25" s="183" t="str">
        <f>IF(HDRAG_HAS_REC_HJUP,_xlfn.CEILING.MATH((HDRAGS_MAX_BUILDING/$G8)*C9),"")</f>
        <v/>
      </c>
      <c r="D25" s="183" t="str">
        <f>IF(HDRAG_HAS_REC_HJUP,_xlfn.CEILING.MATH((HDRAGS_MAX_BUILDING/$G8)*D9),"")</f>
        <v/>
      </c>
      <c r="E25" s="183" t="str">
        <f>IF(HDRAG_HAS_REC_HJUP,_xlfn.CEILING.MATH((HDRAGS_MAX_BUILDING/$G8)*E9),"")</f>
        <v/>
      </c>
      <c r="F25" s="183" t="str">
        <f>IF(HDRAG_HAS_REC_HJUP,_xlfn.CEILING.MATH((HDRAGS_MAX_BUILDING/$G8)*F9),"")</f>
        <v/>
      </c>
      <c r="G25" s="188" t="str">
        <f>IF(HDRAG_HAS_REC_HJUP,SUM(C25:F25),"")</f>
        <v/>
      </c>
    </row>
    <row r="26" spans="1:7" x14ac:dyDescent="0.2">
      <c r="A26" s="23"/>
      <c r="B26" s="116" t="s">
        <v>48</v>
      </c>
      <c r="C26" s="184" t="str">
        <f>IF(HDRAG_HAS_REC_HZOD,_xlfn.CEILING.MATH((HDRAGS_MAX_BUILDING/$G10)*C11),"")</f>
        <v/>
      </c>
      <c r="D26" s="184" t="str">
        <f>IF(HDRAG_HAS_REC_HZOD,_xlfn.CEILING.MATH((HDRAGS_MAX_BUILDING/$G10)*D11),"")</f>
        <v/>
      </c>
      <c r="E26" s="184" t="str">
        <f>IF(HDRAG_HAS_REC_HZOD,_xlfn.CEILING.MATH((HDRAGS_MAX_BUILDING/$G10)*E11),"")</f>
        <v/>
      </c>
      <c r="F26" s="184" t="str">
        <f>IF(HDRAG_HAS_REC_HZOD,_xlfn.CEILING.MATH((HDRAGS_MAX_BUILDING/$G10)*F11),"")</f>
        <v/>
      </c>
      <c r="G26" s="189" t="str">
        <f>IF(HDRAG_HAS_REC_HZOD,SUM(C26:F26),"")</f>
        <v/>
      </c>
    </row>
    <row r="27" spans="1:7" x14ac:dyDescent="0.2">
      <c r="A27" s="23"/>
      <c r="B27" s="74"/>
      <c r="C27" s="74"/>
      <c r="D27" s="74"/>
      <c r="E27" s="74"/>
      <c r="F27" s="74"/>
      <c r="G27" s="74"/>
    </row>
    <row r="28" spans="1:7" x14ac:dyDescent="0.2">
      <c r="A28" s="23"/>
      <c r="B28" s="23"/>
      <c r="C28" s="179"/>
      <c r="D28" s="179"/>
      <c r="E28" s="179"/>
      <c r="F28" s="179"/>
      <c r="G28" s="179"/>
    </row>
    <row r="29" spans="1:7" x14ac:dyDescent="0.2">
      <c r="A29" s="23"/>
      <c r="B29" s="112" t="s">
        <v>34</v>
      </c>
      <c r="C29" s="184">
        <f>IF(HDRAG_HAS_REC_HBRUN,_xlfn.CEILING.MATH((HDRAGS_MAX_DRAGON_BLD_16/$G2)*C3),"")</f>
        <v>325</v>
      </c>
      <c r="D29" s="184">
        <f>IF(HDRAG_HAS_REC_HBRUN,_xlfn.CEILING.MATH((HDRAGS_MAX_DRAGON_BLD_16/$G2)*D3),"")</f>
        <v>109</v>
      </c>
      <c r="E29" s="184">
        <f>IF(HDRAG_HAS_REC_HBRUN,_xlfn.CEILING.MATH((HDRAGS_MAX_DRAGON_BLD_16/$G2)*E3),"")</f>
        <v>21</v>
      </c>
      <c r="F29" s="184">
        <f>IF(HDRAG_HAS_REC_HBRUN,_xlfn.CEILING.MATH((HDRAGS_MAX_DRAGON_BLD_16/$G2)*F3),"")</f>
        <v>18</v>
      </c>
      <c r="G29" s="189">
        <f>IF(HDRAG_HAS_REC_HBRUN,SUM(C29:F29),"")</f>
        <v>473</v>
      </c>
    </row>
    <row r="30" spans="1:7" x14ac:dyDescent="0.2">
      <c r="A30" s="23"/>
      <c r="B30" s="176" t="s">
        <v>46</v>
      </c>
      <c r="C30" s="184" t="str">
        <f>IF(HDRAG_HAS_REC_HMERC,_xlfn.CEILING.MATH((HDRAGS_MAX_DRAGON_BLD_16/$G4)*C5),"")</f>
        <v/>
      </c>
      <c r="D30" s="184" t="str">
        <f>IF(HDRAG_HAS_REC_HMERC,_xlfn.CEILING.MATH((HDRAGS_MAX_DRAGON_BLD_16/$G4)*D5),"")</f>
        <v/>
      </c>
      <c r="E30" s="184" t="str">
        <f>IF(HDRAG_HAS_REC_HMERC,_xlfn.CEILING.MATH((HDRAGS_MAX_DRAGON_BLD_16/$G4)*E5),"")</f>
        <v/>
      </c>
      <c r="F30" s="184" t="str">
        <f>IF(HDRAG_HAS_REC_HMERC,_xlfn.CEILING.MATH((HDRAGS_MAX_DRAGON_BLD_16/$G4)*F5),"")</f>
        <v/>
      </c>
      <c r="G30" s="189" t="str">
        <f>IF(HDRAG_HAS_REC_HMERC,SUM(C30:F30),"")</f>
        <v/>
      </c>
    </row>
    <row r="31" spans="1:7" x14ac:dyDescent="0.2">
      <c r="A31" s="23"/>
      <c r="B31" s="177" t="s">
        <v>35</v>
      </c>
      <c r="C31" s="184">
        <f>IF(HDRAG_HAS_REC_HMID,_xlfn.CEILING.MATH((HDRAGS_MAX_DRAGON_BLD_16/$G6)*C7),"")</f>
        <v>291</v>
      </c>
      <c r="D31" s="184">
        <f>IF(HDRAG_HAS_REC_HMID,_xlfn.CEILING.MATH((HDRAGS_MAX_DRAGON_BLD_16/$G6)*D7),"")</f>
        <v>96</v>
      </c>
      <c r="E31" s="184">
        <f>IF(HDRAG_HAS_REC_HMID,_xlfn.CEILING.MATH((HDRAGS_MAX_DRAGON_BLD_16/$G6)*E7),"")</f>
        <v>35</v>
      </c>
      <c r="F31" s="184">
        <f>IF(HDRAG_HAS_REC_HMID,_xlfn.CEILING.MATH((HDRAGS_MAX_DRAGON_BLD_16/$G6)*F7),"")</f>
        <v>28</v>
      </c>
      <c r="G31" s="189">
        <f>IF(HDRAG_HAS_REC_HMID,SUM(C31:F31),"")</f>
        <v>450</v>
      </c>
    </row>
    <row r="32" spans="1:7" x14ac:dyDescent="0.2">
      <c r="A32" s="23"/>
      <c r="B32" s="178" t="s">
        <v>47</v>
      </c>
      <c r="C32" s="184" t="str">
        <f>IF(HDRAG_HAS_REC_HJUP,_xlfn.CEILING.MATH((HDRAGS_MAX_DRAGON_BLD_16/$G8)*C9),"")</f>
        <v/>
      </c>
      <c r="D32" s="184" t="str">
        <f>IF(HDRAG_HAS_REC_HJUP,_xlfn.CEILING.MATH((HDRAGS_MAX_DRAGON_BLD_16/$G8)*D9),"")</f>
        <v/>
      </c>
      <c r="E32" s="184" t="str">
        <f>IF(HDRAG_HAS_REC_HJUP,_xlfn.CEILING.MATH((HDRAGS_MAX_DRAGON_BLD_16/$G8)*E9),"")</f>
        <v/>
      </c>
      <c r="F32" s="184" t="str">
        <f>IF(HDRAG_HAS_REC_HJUP,_xlfn.CEILING.MATH((HDRAGS_MAX_DRAGON_BLD_16/$G8)*F9),"")</f>
        <v/>
      </c>
      <c r="G32" s="189" t="str">
        <f>IF(HDRAG_HAS_REC_HJUP,SUM(C32:F32),"")</f>
        <v/>
      </c>
    </row>
    <row r="33" spans="1:7" x14ac:dyDescent="0.2">
      <c r="A33" s="23"/>
      <c r="B33" s="116" t="s">
        <v>48</v>
      </c>
      <c r="C33" s="184" t="str">
        <f>IF(HDRAG_HAS_REC_HZOD,_xlfn.CEILING.MATH((HDRAGS_MAX_DRAGON_BLD_16/$G10)*C11),"")</f>
        <v/>
      </c>
      <c r="D33" s="184" t="str">
        <f>IF(HDRAG_HAS_REC_HZOD,_xlfn.CEILING.MATH((HDRAGS_MAX_DRAGON_BLD_16/$G10)*D11),"")</f>
        <v/>
      </c>
      <c r="E33" s="184" t="str">
        <f>IF(HDRAG_HAS_REC_HZOD,_xlfn.CEILING.MATH((HDRAGS_MAX_DRAGON_BLD_16/$G10)*E11),"")</f>
        <v/>
      </c>
      <c r="F33" s="184" t="str">
        <f>IF(HDRAG_HAS_REC_HZOD,_xlfn.CEILING.MATH((HDRAGS_MAX_DRAGON_BLD_16/$G10)*F11),"")</f>
        <v/>
      </c>
      <c r="G33" s="189" t="str">
        <f>IF(HDRAG_HAS_REC_HZOD,SUM(C33:F33),"")</f>
        <v/>
      </c>
    </row>
    <row r="34" spans="1:7" x14ac:dyDescent="0.2">
      <c r="A34" s="23"/>
      <c r="B34" s="74" t="s">
        <v>42</v>
      </c>
      <c r="C34" s="74"/>
      <c r="D34" s="74"/>
      <c r="E34" s="74"/>
      <c r="F34" s="74"/>
      <c r="G34" s="74"/>
    </row>
    <row r="35" spans="1:7" x14ac:dyDescent="0.2">
      <c r="A35" s="23"/>
      <c r="B35" s="23"/>
      <c r="C35" s="121">
        <v>2</v>
      </c>
      <c r="D35" s="121">
        <v>3</v>
      </c>
      <c r="E35" s="121">
        <v>4</v>
      </c>
      <c r="F35" s="121">
        <v>5</v>
      </c>
      <c r="G35" s="121" t="s">
        <v>45</v>
      </c>
    </row>
    <row r="36" spans="1:7" x14ac:dyDescent="0.2">
      <c r="A36" s="23"/>
      <c r="B36" s="112" t="s">
        <v>34</v>
      </c>
      <c r="C36" s="180">
        <f>IF(HDRAG_HAS_REC_HBRUN,_xlfn.CEILING.MATH((HDRAGS_MAX_ALL/$G2)*C3),"")</f>
        <v>369</v>
      </c>
      <c r="D36" s="180">
        <f>IF(HDRAG_HAS_REC_HBRUN,_xlfn.CEILING.MATH((HDRAGS_MAX_ALL/$G2)*D3),"")</f>
        <v>124</v>
      </c>
      <c r="E36" s="180">
        <f>IF(HDRAG_HAS_REC_HBRUN,_xlfn.CEILING.MATH((HDRAGS_MAX_ALL/$G2)*E3),"")</f>
        <v>24</v>
      </c>
      <c r="F36" s="180">
        <f>IF(HDRAG_HAS_REC_HBRUN,_xlfn.CEILING.MATH((HDRAGS_MAX_ALL/$G2)*F3),"")</f>
        <v>20</v>
      </c>
      <c r="G36" s="185">
        <f>IF(HDRAG_HAS_REC_HBRUN,SUM(C36:F36),"")</f>
        <v>537</v>
      </c>
    </row>
    <row r="37" spans="1:7" x14ac:dyDescent="0.2">
      <c r="A37" s="23"/>
      <c r="B37" s="176" t="s">
        <v>46</v>
      </c>
      <c r="C37" s="181" t="str">
        <f>IF(HDRAG_HAS_REC_HMERC,_xlfn.CEILING.MATH((HDRAGS_MAX_ALL/$G4)*C5),"")</f>
        <v/>
      </c>
      <c r="D37" s="181" t="str">
        <f>IF(HDRAG_HAS_REC_HMERC,_xlfn.CEILING.MATH((HDRAGS_MAX_ALL/$G4)*D5),"")</f>
        <v/>
      </c>
      <c r="E37" s="181" t="str">
        <f>IF(HDRAG_HAS_REC_HMERC,_xlfn.CEILING.MATH((HDRAGS_MAX_ALL/$G4)*E5),"")</f>
        <v/>
      </c>
      <c r="F37" s="181" t="str">
        <f>IF(HDRAG_HAS_REC_HMERC,_xlfn.CEILING.MATH((HDRAGS_MAX_ALL/$G4)*F5),"")</f>
        <v/>
      </c>
      <c r="G37" s="186" t="str">
        <f>IF(HDRAG_HAS_REC_HMERC,SUM(C37:F37),"")</f>
        <v/>
      </c>
    </row>
    <row r="38" spans="1:7" x14ac:dyDescent="0.2">
      <c r="A38" s="23"/>
      <c r="B38" s="177" t="s">
        <v>35</v>
      </c>
      <c r="C38" s="182">
        <f>IF(HDRAG_HAS_REC_HMID,_xlfn.CEILING.MATH((HDRAGS_MAX_ALL/$G6)*C7),"")</f>
        <v>331</v>
      </c>
      <c r="D38" s="182">
        <f>IF(HDRAG_HAS_REC_HMID,_xlfn.CEILING.MATH((HDRAGS_MAX_ALL/$G6)*D7),"")</f>
        <v>109</v>
      </c>
      <c r="E38" s="182">
        <f>IF(HDRAG_HAS_REC_HMID,_xlfn.CEILING.MATH((HDRAGS_MAX_ALL/$G6)*E7),"")</f>
        <v>40</v>
      </c>
      <c r="F38" s="182">
        <f>IF(HDRAG_HAS_REC_HMID,_xlfn.CEILING.MATH((HDRAGS_MAX_ALL/$G6)*F7),"")</f>
        <v>32</v>
      </c>
      <c r="G38" s="187">
        <f>IF(HDRAG_HAS_REC_HMID,SUM(C38:F38),"")</f>
        <v>512</v>
      </c>
    </row>
    <row r="39" spans="1:7" x14ac:dyDescent="0.2">
      <c r="A39" s="23"/>
      <c r="B39" s="178" t="s">
        <v>47</v>
      </c>
      <c r="C39" s="183" t="str">
        <f>IF(HDRAG_HAS_REC_HJUP,_xlfn.CEILING.MATH((HDRAGS_MAX_ALL/$G8)*C9),"")</f>
        <v/>
      </c>
      <c r="D39" s="183" t="str">
        <f>IF(HDRAG_HAS_REC_HJUP,_xlfn.CEILING.MATH((HDRAGS_MAX_ALL/$G8)*D9),"")</f>
        <v/>
      </c>
      <c r="E39" s="183" t="str">
        <f>IF(HDRAG_HAS_REC_HJUP,_xlfn.CEILING.MATH((HDRAGS_MAX_ALL/$G8)*E9),"")</f>
        <v/>
      </c>
      <c r="F39" s="183" t="str">
        <f>IF(HDRAG_HAS_REC_HJUP,_xlfn.CEILING.MATH((HDRAGS_MAX_ALL/$G8)*F9),"")</f>
        <v/>
      </c>
      <c r="G39" s="188" t="str">
        <f>IF(HDRAG_HAS_REC_HJUP,SUM(C39:F39),"")</f>
        <v/>
      </c>
    </row>
    <row r="40" spans="1:7" x14ac:dyDescent="0.2">
      <c r="A40" s="23"/>
      <c r="B40" s="116" t="s">
        <v>48</v>
      </c>
      <c r="C40" s="184" t="str">
        <f>IF(HDRAG_HAS_REC_HZOD,_xlfn.CEILING.MATH((HDRAGS_MAX_ALL/$G10)*C11),"")</f>
        <v/>
      </c>
      <c r="D40" s="184" t="str">
        <f>IF(HDRAG_HAS_REC_HZOD,_xlfn.CEILING.MATH((HDRAGS_MAX_ALL/$G10)*D11),"")</f>
        <v/>
      </c>
      <c r="E40" s="184" t="str">
        <f>IF(HDRAG_HAS_REC_HZOD,_xlfn.CEILING.MATH((HDRAGS_MAX_ALL/$G10)*E11),"")</f>
        <v/>
      </c>
      <c r="F40" s="184" t="str">
        <f>IF(HDRAG_HAS_REC_HZOD,_xlfn.CEILING.MATH((HDRAGS_MAX_ALL/$G10)*F11),"")</f>
        <v/>
      </c>
      <c r="G40" s="189" t="str">
        <f>IF(HDRAG_HAS_REC_HZOD,SUM(C40:F40),"")</f>
        <v/>
      </c>
    </row>
    <row r="41" spans="1:7" x14ac:dyDescent="0.2">
      <c r="A41" s="23"/>
      <c r="B41" s="23"/>
    </row>
    <row r="42" spans="1:7" x14ac:dyDescent="0.2">
      <c r="A42" s="23"/>
      <c r="B42" s="23"/>
    </row>
    <row r="43" spans="1:7" x14ac:dyDescent="0.2">
      <c r="A43" s="23"/>
      <c r="B43" s="23"/>
    </row>
  </sheetData>
  <mergeCells count="25">
    <mergeCell ref="O1:O2"/>
    <mergeCell ref="J1:J2"/>
    <mergeCell ref="K1:L1"/>
    <mergeCell ref="M1:N1"/>
    <mergeCell ref="B13:G13"/>
    <mergeCell ref="B27:G27"/>
    <mergeCell ref="B20:G20"/>
    <mergeCell ref="P1:T1"/>
    <mergeCell ref="U1:W1"/>
    <mergeCell ref="G10:G11"/>
    <mergeCell ref="G8:G9"/>
    <mergeCell ref="G6:G7"/>
    <mergeCell ref="G4:G5"/>
    <mergeCell ref="B34:G34"/>
    <mergeCell ref="A10:A11"/>
    <mergeCell ref="B10:B11"/>
    <mergeCell ref="A8:A9"/>
    <mergeCell ref="B8:B9"/>
    <mergeCell ref="A6:A7"/>
    <mergeCell ref="B6:B7"/>
    <mergeCell ref="A4:A5"/>
    <mergeCell ref="B4:B5"/>
    <mergeCell ref="A2:A3"/>
    <mergeCell ref="B2:B3"/>
    <mergeCell ref="G2:G3"/>
  </mergeCells>
  <conditionalFormatting sqref="K1">
    <cfRule type="dataBar" priority="6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{0056DFAE-24A5-405B-A2E1-A2F499662CCA}</x14:id>
        </ext>
      </extLst>
    </cfRule>
  </conditionalFormatting>
  <conditionalFormatting sqref="M1">
    <cfRule type="dataBar" priority="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{71A13B54-27C1-4A68-9DA5-5272B5C9C1A6}</x14:id>
        </ext>
      </extLst>
    </cfRule>
  </conditionalFormatting>
  <conditionalFormatting sqref="O1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{E76542C4-A65B-46E7-A44A-52024589876F}</x14:id>
        </ext>
      </extLst>
    </cfRule>
  </conditionalFormatting>
  <conditionalFormatting sqref="U3:W3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{180D55D6-69FA-411D-A793-6D974A034317}</x14:id>
        </ext>
      </extLst>
    </cfRule>
  </conditionalFormatting>
  <conditionalFormatting sqref="U4:W4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{A688F774-7739-43AF-B6DF-D58ACEE232CA}</x14:id>
        </ext>
      </extLst>
    </cfRule>
  </conditionalFormatting>
  <conditionalFormatting sqref="U5:W5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{EB4AD01C-E76D-42AE-9233-2CC3C02A3571}</x14:id>
        </ext>
      </extLst>
    </cfRule>
  </conditionalFormatting>
  <conditionalFormatting sqref="U6:W6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{B331CDED-E6DC-4642-B38C-805ACD8F6793}</x14:id>
        </ext>
      </extLst>
    </cfRule>
  </conditionalFormatting>
  <conditionalFormatting sqref="U7:W7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{63D294E8-9400-4F6F-868B-B48804566345}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56DFAE-24A5-405B-A2E1-A2F499662C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71A13B54-27C1-4A68-9DA5-5272B5C9C1A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E76542C4-A65B-46E7-A44A-52024589876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O1</xm:sqref>
        </x14:conditionalFormatting>
        <x14:conditionalFormatting xmlns:xm="http://schemas.microsoft.com/office/excel/2006/main">
          <x14:cfRule type="dataBar" id="{180D55D6-69FA-411D-A793-6D974A03431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U3:W3</xm:sqref>
        </x14:conditionalFormatting>
        <x14:conditionalFormatting xmlns:xm="http://schemas.microsoft.com/office/excel/2006/main">
          <x14:cfRule type="dataBar" id="{A688F774-7739-43AF-B6DF-D58ACEE232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U4:W4</xm:sqref>
        </x14:conditionalFormatting>
        <x14:conditionalFormatting xmlns:xm="http://schemas.microsoft.com/office/excel/2006/main">
          <x14:cfRule type="dataBar" id="{EB4AD01C-E76D-42AE-9233-2CC3C02A357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U5:W5</xm:sqref>
        </x14:conditionalFormatting>
        <x14:conditionalFormatting xmlns:xm="http://schemas.microsoft.com/office/excel/2006/main">
          <x14:cfRule type="dataBar" id="{B331CDED-E6DC-4642-B38C-805ACD8F679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U6:W6</xm:sqref>
        </x14:conditionalFormatting>
        <x14:conditionalFormatting xmlns:xm="http://schemas.microsoft.com/office/excel/2006/main">
          <x14:cfRule type="dataBar" id="{63D294E8-9400-4F6F-868B-B4880456634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U7:W7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P12"/>
  <sheetViews>
    <sheetView zoomScaleNormal="60" zoomScaleSheetLayoutView="100" workbookViewId="0" xr3:uid="{D916B8ED-7262-54C8-ADEA-51CB34CD5452}"/>
  </sheetViews>
  <sheetFormatPr defaultRowHeight="25.5" customHeight="1" x14ac:dyDescent="0.2"/>
  <cols>
    <col min="1" max="1" width="8.609375" style="99"/>
    <col min="2" max="2" width="16.27734375" style="99" customWidth="1"/>
    <col min="3" max="5" width="8.609375" style="99"/>
    <col min="6" max="6" width="14.796875" style="99" customWidth="1"/>
    <col min="7" max="7" width="8.609375" style="99"/>
    <col min="8" max="8" width="3.2265625" style="99" customWidth="1"/>
    <col min="9" max="10" width="8.609375" style="99"/>
    <col min="11" max="12" width="12.10546875" style="99" customWidth="1"/>
    <col min="13" max="15" width="8.609375" style="99"/>
    <col min="16" max="16" width="14.66015625" style="99" customWidth="1"/>
    <col min="17" max="16384" width="8.609375" style="99"/>
  </cols>
  <sheetData>
    <row r="1" spans="1:16" ht="25.5" customHeight="1" x14ac:dyDescent="0.2">
      <c r="A1" s="66" t="s">
        <v>118</v>
      </c>
      <c r="B1" s="66"/>
      <c r="C1" s="66"/>
      <c r="D1" s="66"/>
      <c r="E1" s="66"/>
      <c r="F1" s="66"/>
      <c r="G1" s="66"/>
      <c r="J1" s="33"/>
      <c r="K1" s="32" t="s">
        <v>31</v>
      </c>
      <c r="L1" s="32" t="s">
        <v>56</v>
      </c>
      <c r="M1" s="32" t="s">
        <v>59</v>
      </c>
      <c r="N1" s="32" t="s">
        <v>60</v>
      </c>
      <c r="O1" s="32" t="s">
        <v>61</v>
      </c>
      <c r="P1" s="32" t="s">
        <v>62</v>
      </c>
    </row>
    <row r="2" spans="1:16" ht="25.5" customHeight="1" x14ac:dyDescent="0.2">
      <c r="A2" s="149" t="s">
        <v>65</v>
      </c>
      <c r="B2" s="149"/>
      <c r="C2" s="153" t="s">
        <v>67</v>
      </c>
      <c r="D2" s="153"/>
      <c r="E2" s="147" t="s">
        <v>69</v>
      </c>
      <c r="F2" s="147"/>
      <c r="G2" s="147"/>
      <c r="J2" s="32" t="s">
        <v>57</v>
      </c>
      <c r="K2" s="52">
        <v>247964</v>
      </c>
      <c r="L2" s="52">
        <v>9</v>
      </c>
      <c r="M2" s="52">
        <v>9603</v>
      </c>
      <c r="N2" s="50">
        <v>322</v>
      </c>
      <c r="O2" s="50">
        <v>44</v>
      </c>
      <c r="P2" s="50">
        <f>M2*DRAGEXP_S+N2*DRAGEXP_M+O2*DRAGEXP_L</f>
        <v>1916450</v>
      </c>
    </row>
    <row r="3" spans="1:16" ht="25.5" customHeight="1" x14ac:dyDescent="0.2">
      <c r="A3" s="150" t="s">
        <v>59</v>
      </c>
      <c r="B3" s="151">
        <v>7672</v>
      </c>
      <c r="C3" s="192" t="s">
        <v>71</v>
      </c>
      <c r="D3" s="193">
        <v>0</v>
      </c>
      <c r="E3" s="109" t="s">
        <v>70</v>
      </c>
      <c r="F3" s="218">
        <f>_xlfn.FLOOR.MATH(B7/MAX(DATA_DRAG_ACCU_EXP))</f>
        <v>8</v>
      </c>
      <c r="G3" s="218"/>
      <c r="J3" s="32" t="s">
        <v>58</v>
      </c>
      <c r="K3" s="52">
        <v>247864</v>
      </c>
      <c r="L3" s="52">
        <v>1</v>
      </c>
      <c r="M3" s="52">
        <v>9734</v>
      </c>
      <c r="N3" s="50">
        <v>342</v>
      </c>
      <c r="O3" s="50">
        <v>44</v>
      </c>
      <c r="P3" s="50">
        <f>M3*DRAGEXP_S+N3*DRAGEXP_M+O3*DRAGEXP_L</f>
        <v>1956100</v>
      </c>
    </row>
    <row r="4" spans="1:16" ht="25.5" customHeight="1" x14ac:dyDescent="0.2">
      <c r="A4" s="150" t="s">
        <v>60</v>
      </c>
      <c r="B4" s="151">
        <v>2038</v>
      </c>
      <c r="C4" s="154" t="s">
        <v>50</v>
      </c>
      <c r="D4" s="155">
        <v>99</v>
      </c>
      <c r="E4" s="148" t="s">
        <v>50</v>
      </c>
      <c r="F4" s="218">
        <f>MATCH(B10,DATA_DRAG_ACCU_EXP,0)</f>
        <v>97</v>
      </c>
      <c r="G4" s="218"/>
      <c r="J4" s="20"/>
      <c r="K4" s="20"/>
      <c r="L4" s="20"/>
      <c r="M4" s="20"/>
      <c r="N4" s="20"/>
      <c r="O4" s="20"/>
      <c r="P4" s="1"/>
    </row>
    <row r="5" spans="1:16" ht="25.5" customHeight="1" x14ac:dyDescent="0.2">
      <c r="A5" s="150" t="s">
        <v>61</v>
      </c>
      <c r="B5" s="151">
        <v>2590</v>
      </c>
      <c r="C5" s="154" t="s">
        <v>68</v>
      </c>
      <c r="D5" s="155">
        <v>32600</v>
      </c>
      <c r="E5" s="148" t="s">
        <v>68</v>
      </c>
      <c r="F5" s="218">
        <f>INDEX(DATA_DRAG_LV_EXP,F4)-(B9-B10)</f>
        <v>36940</v>
      </c>
      <c r="G5" s="218"/>
      <c r="J5" s="30" t="s">
        <v>77</v>
      </c>
      <c r="K5" s="50">
        <f>P3-P2</f>
        <v>39650</v>
      </c>
      <c r="L5" s="50"/>
      <c r="M5" s="30" t="s">
        <v>64</v>
      </c>
      <c r="N5" s="87">
        <f>IF(K6&gt;0,K5/K6,"")</f>
        <v>2478.125</v>
      </c>
      <c r="O5" s="87"/>
      <c r="P5" s="1"/>
    </row>
    <row r="6" spans="1:16" ht="25.5" customHeight="1" x14ac:dyDescent="0.2">
      <c r="A6" s="150" t="s">
        <v>66</v>
      </c>
      <c r="B6" s="152">
        <f>B3*DRAGEXP_S+B4*DRAGEXP_M+B5*DRAGEXP_L</f>
        <v>12253800</v>
      </c>
      <c r="J6" s="30" t="s">
        <v>29</v>
      </c>
      <c r="K6" s="52">
        <f>(K2-K3)/WINGS_RECOVER_DIAMS*6 + (L2-L3)/WINGS_CONSUME_DRAGON</f>
        <v>16</v>
      </c>
      <c r="L6" s="52"/>
      <c r="M6" s="1"/>
      <c r="N6" s="1"/>
      <c r="O6" s="1"/>
      <c r="P6" s="1"/>
    </row>
    <row r="7" spans="1:16" ht="25.5" customHeight="1" x14ac:dyDescent="0.2">
      <c r="A7" s="145" t="s">
        <v>116</v>
      </c>
      <c r="B7" s="146">
        <f>B6-B8</f>
        <v>11046380</v>
      </c>
      <c r="E7" s="74" t="s">
        <v>80</v>
      </c>
      <c r="F7" s="74"/>
      <c r="G7" s="74"/>
      <c r="J7" s="1"/>
      <c r="K7" s="1"/>
      <c r="L7" s="1"/>
      <c r="M7" s="1"/>
      <c r="N7" s="1"/>
      <c r="O7" s="1"/>
      <c r="P7" s="1"/>
    </row>
    <row r="8" spans="1:16" ht="25.5" customHeight="1" x14ac:dyDescent="0.2">
      <c r="A8" s="194" t="s">
        <v>117</v>
      </c>
      <c r="B8" s="194">
        <f>D3*DRAGON_MAX_EXP+INDEX(DATA_DRAG_ACCU_EXP,D4)+(INDEX(DATA_DRAG_LV_EXP,D4)-D5)</f>
        <v>1207420</v>
      </c>
      <c r="E8" s="74" t="s">
        <v>64</v>
      </c>
      <c r="F8" s="86">
        <f>IF(G9 &gt; 0,SUM(DATA_DRAGON_EXP)/G9,0)</f>
        <v>2673.9277652370201</v>
      </c>
      <c r="G8" s="121" t="s">
        <v>33</v>
      </c>
      <c r="M8" s="1"/>
      <c r="N8" s="1"/>
      <c r="O8" s="1"/>
      <c r="P8" s="1"/>
    </row>
    <row r="9" spans="1:16" ht="25.5" customHeight="1" x14ac:dyDescent="0.2">
      <c r="A9" s="194" t="s">
        <v>112</v>
      </c>
      <c r="B9" s="194">
        <f>MOD(B7,DRAGON_MAX_EXP)</f>
        <v>1126220</v>
      </c>
      <c r="E9" s="74"/>
      <c r="F9" s="86"/>
      <c r="G9" s="142">
        <f>SUM(DATA_DRAGON_PLAYS)</f>
        <v>443</v>
      </c>
      <c r="M9" s="1"/>
      <c r="N9" s="1"/>
      <c r="O9" s="1"/>
      <c r="P9" s="1"/>
    </row>
    <row r="10" spans="1:16" ht="25.5" customHeight="1" x14ac:dyDescent="0.2">
      <c r="A10" s="144" t="s">
        <v>73</v>
      </c>
      <c r="B10" s="194">
        <f>SMALL(DATA_DRAG_ACCU_EXP,COUNTIF(DATA_DRAG_ACCU_EXP,"&lt;"&amp;B9))</f>
        <v>1126080</v>
      </c>
      <c r="E10" s="191">
        <v>60</v>
      </c>
      <c r="F10" s="142">
        <f>IF($F$8&gt;0,_xlfn.CEILING.MATH(INDEX(DATA_DRAG_ACCU_EXP,E10)/$F$8),"")</f>
        <v>104</v>
      </c>
      <c r="G10" s="121" t="s">
        <v>30</v>
      </c>
    </row>
    <row r="11" spans="1:16" ht="25.5" customHeight="1" x14ac:dyDescent="0.2">
      <c r="A11" s="143"/>
      <c r="E11" s="191">
        <v>80</v>
      </c>
      <c r="F11" s="52">
        <f>IF($F$8&gt;0,_xlfn.CEILING.MATH(INDEX(DATA_DRAG_ACCU_EXP,E11)/$F$8),"")</f>
        <v>234</v>
      </c>
      <c r="G11" s="121" t="s">
        <v>30</v>
      </c>
    </row>
    <row r="12" spans="1:16" ht="25.5" customHeight="1" x14ac:dyDescent="0.2">
      <c r="A12" s="143"/>
      <c r="E12" s="191">
        <v>100</v>
      </c>
      <c r="F12" s="52">
        <f>IF($F$8&gt;0,_xlfn.CEILING.MATH(INDEX(DATA_DRAG_ACCU_EXP,E12)/$F$8),"")</f>
        <v>464</v>
      </c>
      <c r="G12" s="121" t="s">
        <v>30</v>
      </c>
    </row>
  </sheetData>
  <mergeCells count="11">
    <mergeCell ref="F5:G5"/>
    <mergeCell ref="E8:E9"/>
    <mergeCell ref="F8:F9"/>
    <mergeCell ref="A1:G1"/>
    <mergeCell ref="N5:O5"/>
    <mergeCell ref="E2:G2"/>
    <mergeCell ref="E7:G7"/>
    <mergeCell ref="F3:G3"/>
    <mergeCell ref="F4:G4"/>
    <mergeCell ref="A2:B2"/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K10"/>
  <sheetViews>
    <sheetView zoomScaleNormal="60" zoomScaleSheetLayoutView="100" workbookViewId="0" xr3:uid="{6AA2C1B1-AEB3-5B80-AE1A-1034A0729ABD}"/>
  </sheetViews>
  <sheetFormatPr defaultRowHeight="18" customHeight="1" x14ac:dyDescent="0.2"/>
  <cols>
    <col min="1" max="2" width="8.609375" style="49"/>
    <col min="3" max="3" width="9.28125" style="49" bestFit="1" customWidth="1"/>
    <col min="4" max="16384" width="8.609375" style="49"/>
  </cols>
  <sheetData>
    <row r="1" spans="1:11" ht="18" customHeight="1" x14ac:dyDescent="0.2">
      <c r="A1" s="51" t="s">
        <v>33</v>
      </c>
      <c r="B1" s="85">
        <v>376</v>
      </c>
      <c r="C1" s="85"/>
      <c r="E1" s="33"/>
      <c r="F1" s="32" t="s">
        <v>31</v>
      </c>
      <c r="G1" s="32" t="s">
        <v>56</v>
      </c>
      <c r="H1" s="32" t="s">
        <v>78</v>
      </c>
      <c r="I1" s="32" t="s">
        <v>79</v>
      </c>
      <c r="J1" s="32" t="s">
        <v>86</v>
      </c>
      <c r="K1" s="32" t="s">
        <v>82</v>
      </c>
    </row>
    <row r="2" spans="1:11" ht="18" customHeight="1" x14ac:dyDescent="0.2">
      <c r="E2" s="32" t="s">
        <v>57</v>
      </c>
      <c r="F2" s="28">
        <v>126399</v>
      </c>
      <c r="G2" s="28">
        <v>8</v>
      </c>
      <c r="H2" s="28">
        <v>1</v>
      </c>
      <c r="I2" s="28">
        <v>430</v>
      </c>
      <c r="J2" s="28">
        <v>12</v>
      </c>
      <c r="K2" s="28">
        <v>3</v>
      </c>
    </row>
    <row r="3" spans="1:11" ht="18" customHeight="1" x14ac:dyDescent="0.2">
      <c r="A3" s="51"/>
      <c r="B3" s="51" t="s">
        <v>83</v>
      </c>
      <c r="C3" s="51" t="s">
        <v>85</v>
      </c>
      <c r="E3" s="32" t="s">
        <v>58</v>
      </c>
      <c r="F3" s="28">
        <v>126399</v>
      </c>
      <c r="G3" s="28">
        <v>6</v>
      </c>
      <c r="H3" s="28">
        <v>1</v>
      </c>
      <c r="I3" s="28">
        <v>435</v>
      </c>
      <c r="J3" s="28">
        <v>13</v>
      </c>
      <c r="K3" s="28">
        <v>3</v>
      </c>
    </row>
    <row r="4" spans="1:11" ht="18" customHeight="1" x14ac:dyDescent="0.2">
      <c r="A4" s="36" t="s">
        <v>78</v>
      </c>
      <c r="B4" s="210">
        <f>VOID_TOTAL_GOLD/VOID_TOTAL_GAMES</f>
        <v>5.8510638297872342E-2</v>
      </c>
      <c r="C4" s="211">
        <f>VOID_TOTAL_GAMES/VOID_TOTAL_GOLD</f>
        <v>17.09090909090909</v>
      </c>
    </row>
    <row r="5" spans="1:11" ht="18" customHeight="1" x14ac:dyDescent="0.2">
      <c r="A5" s="37" t="s">
        <v>79</v>
      </c>
      <c r="B5" s="212">
        <f>VOID_TOTAL_SILVER/VOID_TOTAL_GAMES</f>
        <v>2.3191489361702127</v>
      </c>
      <c r="C5" s="213">
        <f>VOID_TOTAL_GAMES/VOID_TOTAL_SILVER</f>
        <v>0.43119266055045874</v>
      </c>
      <c r="E5" s="49" t="s">
        <v>29</v>
      </c>
      <c r="H5" s="49" t="s">
        <v>78</v>
      </c>
      <c r="I5" s="49" t="s">
        <v>79</v>
      </c>
      <c r="J5" s="49" t="s">
        <v>86</v>
      </c>
      <c r="K5" s="49" t="s">
        <v>82</v>
      </c>
    </row>
    <row r="6" spans="1:11" ht="18" customHeight="1" x14ac:dyDescent="0.2">
      <c r="A6" s="39" t="s">
        <v>86</v>
      </c>
      <c r="B6" s="214">
        <f>VOID_TOTAL_SILVER2/VOID_TOTAL_SILVER2_GAMES</f>
        <v>3.2965116279069768</v>
      </c>
      <c r="C6" s="215">
        <f>VOID_TOTAL_SILVER2_GAMES/VOID_TOTAL_SILVER2</f>
        <v>0.30335097001763667</v>
      </c>
      <c r="E6" s="28">
        <f>(F2-F3)/WINGS_RECOVER_DIAMS*6 + (G2-G3)/WINGS_CONSUME_VOID</f>
        <v>1</v>
      </c>
      <c r="G6" s="49" t="s">
        <v>80</v>
      </c>
      <c r="H6" s="28">
        <f>H3-H2</f>
        <v>0</v>
      </c>
      <c r="I6" s="28">
        <f>I3-I2</f>
        <v>5</v>
      </c>
      <c r="J6" s="28">
        <f>J3-J2</f>
        <v>1</v>
      </c>
      <c r="K6" s="28">
        <f>K3-K2</f>
        <v>0</v>
      </c>
    </row>
    <row r="7" spans="1:11" ht="18" customHeight="1" x14ac:dyDescent="0.2">
      <c r="A7" s="38" t="s">
        <v>84</v>
      </c>
      <c r="B7" s="216">
        <f>VOID_TOTAL_SPECIAL/VOID_TOTAL_GAMES</f>
        <v>8.5106382978723402E-2</v>
      </c>
      <c r="C7" s="217">
        <f>VOID_TOTAL_GAMES/VOID_TOTAL_SPECIAL</f>
        <v>11.75</v>
      </c>
      <c r="G7" s="49" t="s">
        <v>81</v>
      </c>
      <c r="H7" s="28">
        <f>IFERROR(H6/$E$6,"")</f>
        <v>0</v>
      </c>
      <c r="I7" s="28">
        <f>IFERROR(I6/$E$6,"")</f>
        <v>5</v>
      </c>
      <c r="J7" s="28">
        <f>IFERROR(J6/$E$6,"")</f>
        <v>1</v>
      </c>
      <c r="K7" s="28">
        <f>IFERROR(K6/$E$6,"")</f>
        <v>0</v>
      </c>
    </row>
    <row r="10" spans="1:11" ht="18" customHeight="1" x14ac:dyDescent="0.2">
      <c r="J10" s="209"/>
      <c r="K10" s="209"/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00B050"/>
  </sheetPr>
  <dimension ref="A1:L100"/>
  <sheetViews>
    <sheetView workbookViewId="0" xr3:uid="{61AD33D8-FF30-531F-BD76-293457F7F7A0}">
      <selection activeCell="B39" sqref="B39"/>
    </sheetView>
  </sheetViews>
  <sheetFormatPr defaultColWidth="9.14453125" defaultRowHeight="15" x14ac:dyDescent="0.2"/>
  <cols>
    <col min="1" max="1" width="13.98828125" style="47" customWidth="1"/>
    <col min="2" max="3" width="9.14453125" style="40"/>
    <col min="4" max="5" width="9.14453125" style="29"/>
    <col min="6" max="9" width="9.14453125" style="1"/>
    <col min="10" max="10" width="6.58984375" style="1" customWidth="1"/>
    <col min="11" max="12" width="11.1640625" style="1" customWidth="1"/>
    <col min="13" max="16384" width="9.14453125" style="1"/>
  </cols>
  <sheetData>
    <row r="1" spans="1:12" x14ac:dyDescent="0.2">
      <c r="A1" s="44" t="s">
        <v>88</v>
      </c>
      <c r="B1" s="91">
        <v>43523.916666666664</v>
      </c>
      <c r="C1" s="91"/>
      <c r="D1" s="46" t="s">
        <v>102</v>
      </c>
      <c r="E1" s="46" t="s">
        <v>90</v>
      </c>
      <c r="F1" s="74" t="s">
        <v>91</v>
      </c>
      <c r="G1" s="74"/>
      <c r="H1" s="74"/>
    </row>
    <row r="2" spans="1:12" x14ac:dyDescent="0.2">
      <c r="A2" s="44" t="s">
        <v>89</v>
      </c>
      <c r="B2" s="91">
        <v>43535.916666666664</v>
      </c>
      <c r="C2" s="91"/>
      <c r="D2" s="48" t="str">
        <f ca="1">IF(RAID_TIME_END-NOW()&lt;0,"",RAID_TIME_END-NOW())</f>
        <v/>
      </c>
      <c r="E2" s="41">
        <f>B2-B1</f>
        <v>12</v>
      </c>
      <c r="F2" s="92" t="str">
        <f ca="1">IF(NOW() &gt; $B$2,"",(NOW()-$B$1)/($B$2-$B$1))</f>
        <v/>
      </c>
      <c r="G2" s="92"/>
      <c r="H2" s="92"/>
    </row>
    <row r="4" spans="1:12" x14ac:dyDescent="0.2">
      <c r="A4" s="44"/>
      <c r="B4" s="45" t="s">
        <v>92</v>
      </c>
      <c r="C4" s="45" t="s">
        <v>94</v>
      </c>
      <c r="D4" s="45" t="s">
        <v>99</v>
      </c>
      <c r="E4" s="45" t="s">
        <v>93</v>
      </c>
      <c r="F4" s="88" t="s">
        <v>92</v>
      </c>
      <c r="G4" s="88"/>
      <c r="H4" s="30" t="s">
        <v>95</v>
      </c>
      <c r="I4" s="30" t="s">
        <v>96</v>
      </c>
      <c r="J4" s="30"/>
    </row>
    <row r="5" spans="1:12" x14ac:dyDescent="0.2">
      <c r="A5" s="44" t="s">
        <v>97</v>
      </c>
      <c r="B5" s="40">
        <f>LOOKUP(2,1/(NOT(ISBLANK(B:B))),B:B)</f>
        <v>139176</v>
      </c>
      <c r="C5" s="40">
        <f ca="1">$E$5*(NOW()-$B$1)/$E$2</f>
        <v>501039.95515046339</v>
      </c>
      <c r="D5" s="40">
        <f ca="1">B5*$E$2/(NOW()-$B$1)</f>
        <v>41666.138170020342</v>
      </c>
      <c r="E5" s="40">
        <v>150000</v>
      </c>
      <c r="F5" s="89">
        <f>B5/E5</f>
        <v>0.92784</v>
      </c>
      <c r="G5" s="89"/>
      <c r="H5" s="43">
        <f ca="1">B5 - (E5*(NOW()-$B$1)/$E$2)</f>
        <v>-361863.95515046339</v>
      </c>
      <c r="I5" s="43">
        <f ca="1">D5-RAID_GOAL_EMBLEM</f>
        <v>-108333.86182997967</v>
      </c>
      <c r="J5" s="29"/>
    </row>
    <row r="6" spans="1:12" x14ac:dyDescent="0.2">
      <c r="A6" s="44" t="s">
        <v>98</v>
      </c>
      <c r="B6" s="40">
        <f>LOOKUP(2,1/(NOT(ISBLANK(C:C))),C:C)</f>
        <v>121735</v>
      </c>
      <c r="C6" s="40">
        <f ca="1">$E$6*(NOW()-$B$1)/$E$2</f>
        <v>334026.63676697557</v>
      </c>
      <c r="D6" s="40">
        <f ca="1">B6*$E$2/(NOW()-$B$1)</f>
        <v>36444.698296598741</v>
      </c>
      <c r="E6" s="40">
        <v>100000</v>
      </c>
      <c r="F6" s="89">
        <f>B6/E6</f>
        <v>1.2173499999999999</v>
      </c>
      <c r="G6" s="89"/>
      <c r="H6" s="43">
        <f ca="1">B6 - (E6*(NOW()-$B$1)/$E$2)</f>
        <v>-212291.63676697557</v>
      </c>
      <c r="I6" s="43">
        <f ca="1">D6-RAID_GOAL_BLAZON</f>
        <v>-63555.301703401259</v>
      </c>
      <c r="J6" s="29"/>
    </row>
    <row r="8" spans="1:12" x14ac:dyDescent="0.2">
      <c r="A8" s="44"/>
      <c r="B8" s="90" t="s">
        <v>92</v>
      </c>
      <c r="C8" s="90"/>
      <c r="D8" s="88" t="s">
        <v>94</v>
      </c>
      <c r="E8" s="88"/>
      <c r="F8" s="88" t="s">
        <v>99</v>
      </c>
      <c r="G8" s="88"/>
      <c r="H8" s="74" t="s">
        <v>96</v>
      </c>
      <c r="I8" s="74"/>
      <c r="J8" s="74" t="s">
        <v>101</v>
      </c>
      <c r="K8" s="74"/>
      <c r="L8" s="74"/>
    </row>
    <row r="9" spans="1:12" x14ac:dyDescent="0.2">
      <c r="A9" s="44" t="s">
        <v>25</v>
      </c>
      <c r="B9" s="46" t="s">
        <v>97</v>
      </c>
      <c r="C9" s="46" t="s">
        <v>98</v>
      </c>
      <c r="D9" s="46" t="s">
        <v>97</v>
      </c>
      <c r="E9" s="46" t="s">
        <v>98</v>
      </c>
      <c r="F9" s="46" t="s">
        <v>97</v>
      </c>
      <c r="G9" s="46" t="s">
        <v>98</v>
      </c>
      <c r="H9" s="46" t="s">
        <v>97</v>
      </c>
      <c r="I9" s="46" t="s">
        <v>98</v>
      </c>
      <c r="J9" s="46" t="s">
        <v>100</v>
      </c>
      <c r="K9" s="46" t="s">
        <v>97</v>
      </c>
      <c r="L9" s="46" t="s">
        <v>98</v>
      </c>
    </row>
    <row r="10" spans="1:12" x14ac:dyDescent="0.2">
      <c r="A10" s="47">
        <v>43523.916666666664</v>
      </c>
      <c r="B10" s="40">
        <v>0</v>
      </c>
      <c r="C10" s="40">
        <v>0</v>
      </c>
      <c r="D10" s="42">
        <f t="shared" ref="D10:D44" si="0">$E$5*($A10-$B$1)/$E$2</f>
        <v>0</v>
      </c>
      <c r="E10" s="42">
        <f t="shared" ref="E10:E44" si="1">$E$6*($A10-$B$1)/$E$2</f>
        <v>0</v>
      </c>
      <c r="F10" s="42" t="str">
        <f>IFERROR(B10*$E$2/($A10-$B$1),"")</f>
        <v/>
      </c>
      <c r="G10" s="42" t="str">
        <f>IFERROR(C10*$E$2/($A10-$B$1),"")</f>
        <v/>
      </c>
      <c r="H10" s="43" t="str">
        <f>IFERROR(F10 - RAID_GOAL_EMBLEM,"")</f>
        <v/>
      </c>
      <c r="I10" s="43" t="str">
        <f>IFERROR(G10 - RAID_GOAL_BLAZON,"")</f>
        <v/>
      </c>
      <c r="J10" s="29"/>
    </row>
    <row r="11" spans="1:12" x14ac:dyDescent="0.2">
      <c r="A11" s="47">
        <v>43527.209027777775</v>
      </c>
      <c r="B11" s="40">
        <v>35443</v>
      </c>
      <c r="C11" s="40">
        <v>33148</v>
      </c>
      <c r="D11" s="42">
        <f t="shared" si="0"/>
        <v>41154.513888886868</v>
      </c>
      <c r="E11" s="42">
        <f t="shared" si="1"/>
        <v>27436.342592591245</v>
      </c>
      <c r="F11" s="42">
        <f>IFERROR(B11*$E$2/($A11-$B$1),"")</f>
        <v>129182.67032272308</v>
      </c>
      <c r="G11" s="42">
        <f>IFERROR(C11*$E$2/($A11-$B$1),"")</f>
        <v>120817.85277368237</v>
      </c>
      <c r="H11" s="43">
        <f>IFERROR(F11 - RAID_GOAL_EMBLEM,"")</f>
        <v>-20817.329677276924</v>
      </c>
      <c r="I11" s="43">
        <f>IFERROR(G11 - RAID_GOAL_BLAZON,"")</f>
        <v>20817.852773682374</v>
      </c>
      <c r="J11" s="29"/>
      <c r="K11" s="47" t="str">
        <f ca="1">IFERROR(IF(AND(INDIRECT("H" &amp; $J11)&lt;0,H11-INDIRECT("H" &amp; $J11)&gt;0),((-H11*($A11-INDIRECT("$A" &amp; $J11)))/(H11-INDIRECT("H" &amp; $J11)))+INDIRECT("$A" &amp; $J11),""),"")</f>
        <v/>
      </c>
      <c r="L11" s="47" t="str">
        <f ca="1">IFERROR(IF(AND(INDIRECT("I" &amp; $J11)&lt;0,I11-INDIRECT("I" &amp; $J11)&gt;0),((-I11*($A11-INDIRECT("$A" &amp; $J11)))/(I11-INDIRECT("I" &amp; $J11)))+INDIRECT("$A" &amp; $J11),""),"")</f>
        <v/>
      </c>
    </row>
    <row r="12" spans="1:12" x14ac:dyDescent="0.2">
      <c r="A12" s="47">
        <v>43527.445138888892</v>
      </c>
      <c r="B12" s="40">
        <v>41400</v>
      </c>
      <c r="C12" s="40">
        <v>37937</v>
      </c>
      <c r="D12" s="42">
        <f t="shared" si="0"/>
        <v>44105.902777846495</v>
      </c>
      <c r="E12" s="42">
        <f t="shared" si="1"/>
        <v>29403.935185230996</v>
      </c>
      <c r="F12" s="42">
        <f>IFERROR(B12*$E$2/($A12-$B$1),"")</f>
        <v>140797.48081064463</v>
      </c>
      <c r="G12" s="42">
        <f>IFERROR(C12*$E$2/($A12-$B$1),"")</f>
        <v>129020.14564042092</v>
      </c>
      <c r="H12" s="43">
        <f>IFERROR(F12 - RAID_GOAL_EMBLEM,"")</f>
        <v>-9202.5191893553711</v>
      </c>
      <c r="I12" s="43">
        <f>IFERROR(G12 - RAID_GOAL_BLAZON,"")</f>
        <v>29020.145640420917</v>
      </c>
      <c r="J12" s="29"/>
      <c r="K12" s="47" t="str">
        <f ca="1">IFERROR(IF(AND(INDIRECT("H" &amp; $J12)&lt;0,H12-INDIRECT("H" &amp; $J12)&gt;0),((-H12*($A12-INDIRECT("$A" &amp; $J12)))/(H12-INDIRECT("H" &amp; $J12)))+INDIRECT("$A" &amp; $J12),""),"")</f>
        <v/>
      </c>
      <c r="L12" s="47" t="str">
        <f ca="1">IFERROR(IF(AND(INDIRECT("I" &amp; $J12)&lt;0,I12-INDIRECT("I" &amp; $J12)&gt;0),((-I12*($A12-INDIRECT("$A" &amp; $J12)))/(I12-INDIRECT("I" &amp; $J12)))+INDIRECT("$A" &amp; $J12),""),"")</f>
        <v/>
      </c>
    </row>
    <row r="13" spans="1:12" x14ac:dyDescent="0.2">
      <c r="A13" s="47">
        <v>43527.46875</v>
      </c>
      <c r="B13" s="40">
        <v>41929</v>
      </c>
      <c r="C13" s="40">
        <v>38415</v>
      </c>
      <c r="D13" s="42">
        <f t="shared" si="0"/>
        <v>44401.041666696983</v>
      </c>
      <c r="E13" s="42">
        <f t="shared" si="1"/>
        <v>29600.694444464654</v>
      </c>
      <c r="F13" s="42">
        <f>IFERROR(B13*$E$2/($A13-$B$1),"")</f>
        <v>141648.70381221999</v>
      </c>
      <c r="G13" s="42">
        <f>IFERROR(C13*$E$2/($A13-$B$1),"")</f>
        <v>129777.36070372371</v>
      </c>
      <c r="H13" s="43">
        <f>IFERROR(F13 - RAID_GOAL_EMBLEM,"")</f>
        <v>-8351.2961877800117</v>
      </c>
      <c r="I13" s="43">
        <f>IFERROR(G13 - RAID_GOAL_BLAZON,"")</f>
        <v>29777.360703723709</v>
      </c>
      <c r="J13" s="29"/>
      <c r="K13" s="47" t="str">
        <f ca="1">IFERROR(IF(AND(INDIRECT("H" &amp; $J13)&lt;0,H13-INDIRECT("H" &amp; $J13)&gt;0),((-H13*($A13-INDIRECT("$A" &amp; $J13)))/(H13-INDIRECT("H" &amp; $J13)))+INDIRECT("$A" &amp; $J13),""),"")</f>
        <v/>
      </c>
      <c r="L13" s="47" t="str">
        <f ca="1">IFERROR(IF(AND(INDIRECT("I" &amp; $J13)&lt;0,I13-INDIRECT("I" &amp; $J13)&gt;0),((-I13*($A13-INDIRECT("$A" &amp; $J13)))/(I13-INDIRECT("I" &amp; $J13)))+INDIRECT("$A" &amp; $J13),""),"")</f>
        <v/>
      </c>
    </row>
    <row r="14" spans="1:12" x14ac:dyDescent="0.2">
      <c r="A14" s="47">
        <v>43527.868055555555</v>
      </c>
      <c r="B14" s="40">
        <v>43438</v>
      </c>
      <c r="C14" s="40">
        <v>39551</v>
      </c>
      <c r="D14" s="42">
        <f t="shared" si="0"/>
        <v>49392.361111131322</v>
      </c>
      <c r="E14" s="42">
        <f t="shared" si="1"/>
        <v>32928.240740754212</v>
      </c>
      <c r="F14" s="42">
        <f>IFERROR(B14*$E$2/($A14-$B$1),"")</f>
        <v>131917.15992964726</v>
      </c>
      <c r="G14" s="42">
        <f>IFERROR(C14*$E$2/($A14-$B$1),"")</f>
        <v>120112.70298764856</v>
      </c>
      <c r="H14" s="43">
        <f>IFERROR(F14 - RAID_GOAL_EMBLEM,"")</f>
        <v>-18082.840070352744</v>
      </c>
      <c r="I14" s="43">
        <f>IFERROR(G14 - RAID_GOAL_BLAZON,"")</f>
        <v>20112.702987648561</v>
      </c>
      <c r="J14" s="29"/>
      <c r="K14" s="47" t="str">
        <f ca="1">IFERROR(IF(AND(INDIRECT("H" &amp; $J14)&lt;0,H14-INDIRECT("H" &amp; $J14)&gt;0),((-H14*($A14-INDIRECT("$A" &amp; $J14)))/(H14-INDIRECT("H" &amp; $J14)))+INDIRECT("$A" &amp; $J14),""),"")</f>
        <v/>
      </c>
      <c r="L14" s="47" t="str">
        <f ca="1">IFERROR(IF(AND(INDIRECT("I" &amp; $J14)&lt;0,I14-INDIRECT("I" &amp; $J14)&gt;0),((-I14*($A14-INDIRECT("$A" &amp; $J14)))/(I14-INDIRECT("I" &amp; $J14)))+INDIRECT("$A" &amp; $J14),""),"")</f>
        <v/>
      </c>
    </row>
    <row r="15" spans="1:12" x14ac:dyDescent="0.2">
      <c r="A15" s="47">
        <v>43527.994444444441</v>
      </c>
      <c r="B15" s="40">
        <v>44772</v>
      </c>
      <c r="C15" s="40">
        <v>40959</v>
      </c>
      <c r="D15" s="42">
        <f t="shared" si="0"/>
        <v>50972.222222208075</v>
      </c>
      <c r="E15" s="42">
        <f t="shared" si="1"/>
        <v>33981.481481472052</v>
      </c>
      <c r="F15" s="42">
        <f>IFERROR(B15*$E$2/($A15-$B$1),"")</f>
        <v>131754.11444145345</v>
      </c>
      <c r="G15" s="42">
        <f>IFERROR(C15*$E$2/($A15-$B$1),"")</f>
        <v>120533.29700275825</v>
      </c>
      <c r="H15" s="43">
        <f>IFERROR(F15 - RAID_GOAL_EMBLEM,"")</f>
        <v>-18245.88555854655</v>
      </c>
      <c r="I15" s="43">
        <f>IFERROR(G15 - RAID_GOAL_BLAZON,"")</f>
        <v>20533.297002758249</v>
      </c>
      <c r="J15" s="29"/>
      <c r="K15" s="47" t="str">
        <f ca="1">IFERROR(IF(AND(INDIRECT("H" &amp; $J15)&lt;0,H15-INDIRECT("H" &amp; $J15)&gt;0),((-H15*($A15-INDIRECT("$A" &amp; $J15)))/(H15-INDIRECT("H" &amp; $J15)))+INDIRECT("$A" &amp; $J15),""),"")</f>
        <v/>
      </c>
      <c r="L15" s="47" t="str">
        <f ca="1">IFERROR(IF(AND(INDIRECT("I" &amp; $J15)&lt;0,I15-INDIRECT("I" &amp; $J15)&gt;0),((-I15*($A15-INDIRECT("$A" &amp; $J15)))/(I15-INDIRECT("I" &amp; $J15)))+INDIRECT("$A" &amp; $J15),""),"")</f>
        <v/>
      </c>
    </row>
    <row r="16" spans="1:12" x14ac:dyDescent="0.2">
      <c r="A16" s="47">
        <v>43528.058333333334</v>
      </c>
      <c r="B16" s="40">
        <v>46140</v>
      </c>
      <c r="C16" s="40">
        <v>42221</v>
      </c>
      <c r="D16" s="42">
        <f t="shared" si="0"/>
        <v>51770.833333375776</v>
      </c>
      <c r="E16" s="42">
        <f t="shared" si="1"/>
        <v>34513.888888917187</v>
      </c>
      <c r="F16" s="42">
        <f>IFERROR(B16*$E$2/($A16-$B$1),"")</f>
        <v>133685.31187111777</v>
      </c>
      <c r="G16" s="42">
        <f>IFERROR(C16*$E$2/($A16-$B$1),"")</f>
        <v>122330.46277655967</v>
      </c>
      <c r="H16" s="43">
        <f>IFERROR(F16 - RAID_GOAL_EMBLEM,"")</f>
        <v>-16314.688128882233</v>
      </c>
      <c r="I16" s="43">
        <f>IFERROR(G16 - RAID_GOAL_BLAZON,"")</f>
        <v>22330.462776559667</v>
      </c>
      <c r="J16" s="29"/>
      <c r="K16" s="47" t="str">
        <f ca="1">IFERROR(IF(AND(INDIRECT("H" &amp; $J16)&lt;0,H16-INDIRECT("H" &amp; $J16)&gt;0),((-H16*($A16-INDIRECT("$A" &amp; $J16)))/(H16-INDIRECT("H" &amp; $J16)))+INDIRECT("$A" &amp; $J16),""),"")</f>
        <v/>
      </c>
      <c r="L16" s="47" t="str">
        <f ca="1">IFERROR(IF(AND(INDIRECT("I" &amp; $J16)&lt;0,I16-INDIRECT("I" &amp; $J16)&gt;0),((-I16*($A16-INDIRECT("$A" &amp; $J16)))/(I16-INDIRECT("I" &amp; $J16)))+INDIRECT("$A" &amp; $J16),""),"")</f>
        <v/>
      </c>
    </row>
    <row r="17" spans="1:12" x14ac:dyDescent="0.2">
      <c r="A17" s="47">
        <v>43528.272222222222</v>
      </c>
      <c r="B17" s="40">
        <v>48207</v>
      </c>
      <c r="C17" s="40">
        <v>43929</v>
      </c>
      <c r="D17" s="42">
        <f t="shared" si="0"/>
        <v>54444.444444470719</v>
      </c>
      <c r="E17" s="42">
        <f t="shared" si="1"/>
        <v>36296.296296313812</v>
      </c>
      <c r="F17" s="42">
        <f>IFERROR(B17*$E$2/($A17-$B$1),"")</f>
        <v>132815.20408156855</v>
      </c>
      <c r="G17" s="42">
        <f>IFERROR(C17*$E$2/($A17-$B$1),"")</f>
        <v>121028.877550962</v>
      </c>
      <c r="H17" s="43">
        <f>IFERROR(F17 - RAID_GOAL_EMBLEM,"")</f>
        <v>-17184.795918431453</v>
      </c>
      <c r="I17" s="43">
        <f>IFERROR(G17 - RAID_GOAL_BLAZON,"")</f>
        <v>21028.877550962003</v>
      </c>
      <c r="J17" s="29"/>
      <c r="K17" s="47" t="str">
        <f ca="1">IFERROR(IF(AND(INDIRECT("H" &amp; $J17)&lt;0,H17-INDIRECT("H" &amp; $J17)&gt;0),((-H17*($A17-INDIRECT("$A" &amp; $J17)))/(H17-INDIRECT("H" &amp; $J17)))+INDIRECT("$A" &amp; $J17),""),"")</f>
        <v/>
      </c>
      <c r="L17" s="47" t="str">
        <f ca="1">IFERROR(IF(AND(INDIRECT("I" &amp; $J17)&lt;0,I17-INDIRECT("I" &amp; $J17)&gt;0),((-I17*($A17-INDIRECT("$A" &amp; $J17)))/(I17-INDIRECT("I" &amp; $J17)))+INDIRECT("$A" &amp; $J17),""),"")</f>
        <v/>
      </c>
    </row>
    <row r="18" spans="1:12" x14ac:dyDescent="0.2">
      <c r="A18" s="47">
        <v>43528.572222222225</v>
      </c>
      <c r="B18" s="40">
        <v>51946</v>
      </c>
      <c r="C18" s="40">
        <v>47141</v>
      </c>
      <c r="D18" s="42">
        <f t="shared" si="0"/>
        <v>58194.444444507099</v>
      </c>
      <c r="E18" s="42">
        <f t="shared" si="1"/>
        <v>38796.296296338063</v>
      </c>
      <c r="F18" s="42">
        <f>IFERROR(B18*$E$2/($A18-$B$1),"")</f>
        <v>133894.22434353127</v>
      </c>
      <c r="G18" s="42">
        <f>IFERROR(C18*$E$2/($A18-$B$1),"")</f>
        <v>121509.02147958278</v>
      </c>
      <c r="H18" s="43">
        <f>IFERROR(F18 - RAID_GOAL_EMBLEM,"")</f>
        <v>-16105.77565646873</v>
      </c>
      <c r="I18" s="43">
        <f>IFERROR(G18 - RAID_GOAL_BLAZON,"")</f>
        <v>21509.021479582778</v>
      </c>
      <c r="J18" s="29"/>
      <c r="K18" s="47" t="str">
        <f ca="1">IFERROR(IF(AND(INDIRECT("H" &amp; $J18)&lt;0,H18-INDIRECT("H" &amp; $J18)&gt;0),((-H18*($A18-INDIRECT("$A" &amp; $J18)))/(H18-INDIRECT("H" &amp; $J18)))+INDIRECT("$A" &amp; $J18),""),"")</f>
        <v/>
      </c>
      <c r="L18" s="47" t="str">
        <f ca="1">IFERROR(IF(AND(INDIRECT("I" &amp; $J18)&lt;0,I18-INDIRECT("I" &amp; $J18)&gt;0),((-I18*($A18-INDIRECT("$A" &amp; $J18)))/(I18-INDIRECT("I" &amp; $J18)))+INDIRECT("$A" &amp; $J18),""),"")</f>
        <v/>
      </c>
    </row>
    <row r="19" spans="1:12" x14ac:dyDescent="0.2">
      <c r="A19" s="47">
        <v>43528.772916666669</v>
      </c>
      <c r="B19" s="40">
        <v>55757</v>
      </c>
      <c r="C19" s="40">
        <v>50060</v>
      </c>
      <c r="D19" s="42">
        <f t="shared" si="0"/>
        <v>60703.12500005457</v>
      </c>
      <c r="E19" s="42">
        <f t="shared" si="1"/>
        <v>40468.75000003638</v>
      </c>
      <c r="F19" s="42">
        <f>IFERROR(B19*$E$2/($A19-$B$1),"")</f>
        <v>137777.91505779119</v>
      </c>
      <c r="G19" s="42">
        <f>IFERROR(C19*$E$2/($A19-$B$1),"")</f>
        <v>123700.3861002749</v>
      </c>
      <c r="H19" s="43">
        <f>IFERROR(F19 - RAID_GOAL_EMBLEM,"")</f>
        <v>-12222.084942208807</v>
      </c>
      <c r="I19" s="43">
        <f>IFERROR(G19 - RAID_GOAL_BLAZON,"")</f>
        <v>23700.386100274904</v>
      </c>
      <c r="J19" s="29"/>
      <c r="K19" s="47" t="str">
        <f ca="1">IFERROR(IF(AND(INDIRECT("H" &amp; $J19)&lt;0,H19-INDIRECT("H" &amp; $J19)&gt;0),((-H19*($A19-INDIRECT("$A" &amp; $J19)))/(H19-INDIRECT("H" &amp; $J19)))+INDIRECT("$A" &amp; $J19),""),"")</f>
        <v/>
      </c>
      <c r="L19" s="47" t="str">
        <f ca="1">IFERROR(IF(AND(INDIRECT("I" &amp; $J19)&lt;0,I19-INDIRECT("I" &amp; $J19)&gt;0),((-I19*($A19-INDIRECT("$A" &amp; $J19)))/(I19-INDIRECT("I" &amp; $J19)))+INDIRECT("$A" &amp; $J19),""),"")</f>
        <v/>
      </c>
    </row>
    <row r="20" spans="1:12" x14ac:dyDescent="0.2">
      <c r="A20" s="47">
        <v>43529.173611111109</v>
      </c>
      <c r="B20" s="40">
        <v>56596</v>
      </c>
      <c r="C20" s="40">
        <v>51008</v>
      </c>
      <c r="D20" s="42">
        <f t="shared" si="0"/>
        <v>65711.805555565661</v>
      </c>
      <c r="E20" s="42">
        <f t="shared" si="1"/>
        <v>43807.87037037711</v>
      </c>
      <c r="F20" s="42">
        <f>IFERROR(B20*$E$2/($A20-$B$1),"")</f>
        <v>129191.397622173</v>
      </c>
      <c r="G20" s="42">
        <f>IFERROR(C20*$E$2/($A20-$B$1),"")</f>
        <v>116435.69881107853</v>
      </c>
      <c r="H20" s="43">
        <f>IFERROR(F20 - RAID_GOAL_EMBLEM,"")</f>
        <v>-20808.602377827003</v>
      </c>
      <c r="I20" s="43">
        <f>IFERROR(G20 - RAID_GOAL_BLAZON,"")</f>
        <v>16435.698811078531</v>
      </c>
      <c r="J20" s="29"/>
      <c r="K20" s="47" t="str">
        <f ca="1">IFERROR(IF(AND(INDIRECT("H" &amp; $J20)&lt;0,H20-INDIRECT("H" &amp; $J20)&gt;0),((-H20*($A20-INDIRECT("$A" &amp; $J20)))/(H20-INDIRECT("H" &amp; $J20)))+INDIRECT("$A" &amp; $J20),""),"")</f>
        <v/>
      </c>
      <c r="L20" s="47" t="str">
        <f ca="1">IFERROR(IF(AND(INDIRECT("I" &amp; $J20)&lt;0,I20-INDIRECT("I" &amp; $J20)&gt;0),((-I20*($A20-INDIRECT("$A" &amp; $J20)))/(I20-INDIRECT("I" &amp; $J20)))+INDIRECT("$A" &amp; $J20),""),"")</f>
        <v/>
      </c>
    </row>
    <row r="21" spans="1:12" x14ac:dyDescent="0.2">
      <c r="A21" s="47">
        <v>43529.252083333333</v>
      </c>
      <c r="B21" s="40">
        <v>58035</v>
      </c>
      <c r="C21" s="40">
        <v>52216</v>
      </c>
      <c r="D21" s="42">
        <f t="shared" si="0"/>
        <v>66692.708333357587</v>
      </c>
      <c r="E21" s="42">
        <f t="shared" si="1"/>
        <v>44461.805555571722</v>
      </c>
      <c r="F21" s="42">
        <f>IFERROR(B21*$E$2/($A21-$B$1),"")</f>
        <v>130527.76259268975</v>
      </c>
      <c r="G21" s="42">
        <f>IFERROR(C21*$E$2/($A21-$B$1),"")</f>
        <v>117440.12495114823</v>
      </c>
      <c r="H21" s="43">
        <f>IFERROR(F21 - RAID_GOAL_EMBLEM,"")</f>
        <v>-19472.237407310255</v>
      </c>
      <c r="I21" s="43">
        <f>IFERROR(G21 - RAID_GOAL_BLAZON,"")</f>
        <v>17440.124951148231</v>
      </c>
      <c r="J21" s="29"/>
      <c r="K21" s="47" t="str">
        <f ca="1">IFERROR(IF(AND(INDIRECT("H" &amp; $J21)&lt;0,H21-INDIRECT("H" &amp; $J21)&gt;0),((-H21*($A21-INDIRECT("$A" &amp; $J21)))/(H21-INDIRECT("H" &amp; $J21)))+INDIRECT("$A" &amp; $J21),""),"")</f>
        <v/>
      </c>
      <c r="L21" s="47" t="str">
        <f ca="1">IFERROR(IF(AND(INDIRECT("I" &amp; $J21)&lt;0,I21-INDIRECT("I" &amp; $J21)&gt;0),((-I21*($A21-INDIRECT("$A" &amp; $J21)))/(I21-INDIRECT("I" &amp; $J21)))+INDIRECT("$A" &amp; $J21),""),"")</f>
        <v/>
      </c>
    </row>
    <row r="22" spans="1:12" x14ac:dyDescent="0.2">
      <c r="A22" s="47">
        <v>43529.332638888889</v>
      </c>
      <c r="B22" s="40">
        <v>58777</v>
      </c>
      <c r="C22" s="40">
        <v>52824</v>
      </c>
      <c r="D22" s="42">
        <f t="shared" si="0"/>
        <v>67699.652777810115</v>
      </c>
      <c r="E22" s="42">
        <f t="shared" si="1"/>
        <v>45133.101851873413</v>
      </c>
      <c r="F22" s="42">
        <f>IFERROR(B22*$E$2/($A22-$B$1),"")</f>
        <v>130230.35773810935</v>
      </c>
      <c r="G22" s="42">
        <f>IFERROR(C22*$E$2/($A22-$B$1),"")</f>
        <v>117040.48211303551</v>
      </c>
      <c r="H22" s="43">
        <f>IFERROR(F22 - RAID_GOAL_EMBLEM,"")</f>
        <v>-19769.642261890651</v>
      </c>
      <c r="I22" s="43">
        <f>IFERROR(G22 - RAID_GOAL_BLAZON,"")</f>
        <v>17040.482113035512</v>
      </c>
      <c r="J22" s="29"/>
      <c r="K22" s="47" t="str">
        <f ca="1">IFERROR(IF(AND(INDIRECT("H" &amp; $J22)&lt;0,H22-INDIRECT("H" &amp; $J22)&gt;0),((-H22*($A22-INDIRECT("$A" &amp; $J22)))/(H22-INDIRECT("H" &amp; $J22)))+INDIRECT("$A" &amp; $J22),""),"")</f>
        <v/>
      </c>
      <c r="L22" s="47" t="str">
        <f ca="1">IFERROR(IF(AND(INDIRECT("I" &amp; $J22)&lt;0,I22-INDIRECT("I" &amp; $J22)&gt;0),((-I22*($A22-INDIRECT("$A" &amp; $J22)))/(I22-INDIRECT("I" &amp; $J22)))+INDIRECT("$A" &amp; $J22),""),"")</f>
        <v/>
      </c>
    </row>
    <row r="23" spans="1:12" x14ac:dyDescent="0.2">
      <c r="A23" s="47">
        <v>43529.574999999997</v>
      </c>
      <c r="B23" s="40">
        <v>62350</v>
      </c>
      <c r="C23" s="40">
        <v>55746</v>
      </c>
      <c r="D23" s="42">
        <f t="shared" si="0"/>
        <v>70729.166666660603</v>
      </c>
      <c r="E23" s="42">
        <f t="shared" si="1"/>
        <v>47152.777777773736</v>
      </c>
      <c r="F23" s="42">
        <f>IFERROR(B23*$E$2/($A23-$B$1),"")</f>
        <v>132229.74963182284</v>
      </c>
      <c r="G23" s="42">
        <f>IFERROR(C23*$E$2/($A23-$B$1),"")</f>
        <v>118224.21207659335</v>
      </c>
      <c r="H23" s="43">
        <f>IFERROR(F23 - RAID_GOAL_EMBLEM,"")</f>
        <v>-17770.250368177163</v>
      </c>
      <c r="I23" s="43">
        <f>IFERROR(G23 - RAID_GOAL_BLAZON,"")</f>
        <v>18224.212076593351</v>
      </c>
      <c r="J23" s="29"/>
      <c r="K23" s="47" t="str">
        <f ca="1">IFERROR(IF(AND(INDIRECT("H" &amp; $J23)&lt;0,H23-INDIRECT("H" &amp; $J23)&gt;0),((-H23*($A23-INDIRECT("$A" &amp; $J23)))/(H23-INDIRECT("H" &amp; $J23)))+INDIRECT("$A" &amp; $J23),""),"")</f>
        <v/>
      </c>
      <c r="L23" s="47" t="str">
        <f ca="1">IFERROR(IF(AND(INDIRECT("I" &amp; $J23)&lt;0,I23-INDIRECT("I" &amp; $J23)&gt;0),((-I23*($A23-INDIRECT("$A" &amp; $J23)))/(I23-INDIRECT("I" &amp; $J23)))+INDIRECT("$A" &amp; $J23),""),"")</f>
        <v/>
      </c>
    </row>
    <row r="24" spans="1:12" x14ac:dyDescent="0.2">
      <c r="A24" s="47">
        <v>43529.856249999997</v>
      </c>
      <c r="B24" s="40">
        <v>67839</v>
      </c>
      <c r="C24" s="40">
        <v>60364</v>
      </c>
      <c r="D24" s="42">
        <f t="shared" si="0"/>
        <v>74244.791666660603</v>
      </c>
      <c r="E24" s="42">
        <f t="shared" si="1"/>
        <v>49496.527777773736</v>
      </c>
      <c r="F24" s="42">
        <f>IFERROR(B24*$E$2/($A24-$B$1),"")</f>
        <v>137058.09891267342</v>
      </c>
      <c r="G24" s="42">
        <f>IFERROR(C24*$E$2/($A24-$B$1),"")</f>
        <v>121956.02946335616</v>
      </c>
      <c r="H24" s="43">
        <f>IFERROR(F24 - RAID_GOAL_EMBLEM,"")</f>
        <v>-12941.90108732658</v>
      </c>
      <c r="I24" s="43">
        <f>IFERROR(G24 - RAID_GOAL_BLAZON,"")</f>
        <v>21956.029463356157</v>
      </c>
      <c r="J24" s="29"/>
      <c r="K24" s="47" t="str">
        <f ca="1">IFERROR(IF(AND(INDIRECT("H" &amp; $J24)&lt;0,H24-INDIRECT("H" &amp; $J24)&gt;0),((-H24*($A24-INDIRECT("$A" &amp; $J24)))/(H24-INDIRECT("H" &amp; $J24)))+INDIRECT("$A" &amp; $J24),""),"")</f>
        <v/>
      </c>
      <c r="L24" s="47" t="str">
        <f ca="1">IFERROR(IF(AND(INDIRECT("I" &amp; $J24)&lt;0,I24-INDIRECT("I" &amp; $J24)&gt;0),((-I24*($A24-INDIRECT("$A" &amp; $J24)))/(I24-INDIRECT("I" &amp; $J24)))+INDIRECT("$A" &amp; $J24),""),"")</f>
        <v/>
      </c>
    </row>
    <row r="25" spans="1:12" x14ac:dyDescent="0.2">
      <c r="A25" s="47">
        <v>43530.330555555556</v>
      </c>
      <c r="B25" s="40">
        <v>70607</v>
      </c>
      <c r="C25" s="40">
        <v>62967</v>
      </c>
      <c r="D25" s="42">
        <f t="shared" si="0"/>
        <v>80173.611111149512</v>
      </c>
      <c r="E25" s="42">
        <f t="shared" si="1"/>
        <v>53449.074074099677</v>
      </c>
      <c r="F25" s="42">
        <f>IFERROR(B25*$E$2/($A25-$B$1),"")</f>
        <v>132101.44651357899</v>
      </c>
      <c r="G25" s="42">
        <f>IFERROR(C25*$E$2/($A25-$B$1),"")</f>
        <v>117807.46643563002</v>
      </c>
      <c r="H25" s="43">
        <f>IFERROR(F25 - RAID_GOAL_EMBLEM,"")</f>
        <v>-17898.553486421006</v>
      </c>
      <c r="I25" s="43">
        <f>IFERROR(G25 - RAID_GOAL_BLAZON,"")</f>
        <v>17807.46643563002</v>
      </c>
      <c r="J25" s="29"/>
      <c r="K25" s="47" t="str">
        <f ca="1">IFERROR(IF(AND(INDIRECT("H" &amp; $J25)&lt;0,H25-INDIRECT("H" &amp; $J25)&gt;0),((-H25*($A25-INDIRECT("$A" &amp; $J25)))/(H25-INDIRECT("H" &amp; $J25)))+INDIRECT("$A" &amp; $J25),""),"")</f>
        <v/>
      </c>
      <c r="L25" s="47" t="str">
        <f ca="1">IFERROR(IF(AND(INDIRECT("I" &amp; $J25)&lt;0,I25-INDIRECT("I" &amp; $J25)&gt;0),((-I25*($A25-INDIRECT("$A" &amp; $J25)))/(I25-INDIRECT("I" &amp; $J25)))+INDIRECT("$A" &amp; $J25),""),"")</f>
        <v/>
      </c>
    </row>
    <row r="26" spans="1:12" x14ac:dyDescent="0.2">
      <c r="A26" s="47">
        <v>43530.547222222223</v>
      </c>
      <c r="B26" s="40">
        <v>74563</v>
      </c>
      <c r="C26" s="40">
        <v>66120</v>
      </c>
      <c r="D26" s="42">
        <f t="shared" si="0"/>
        <v>82881.944444488909</v>
      </c>
      <c r="E26" s="42">
        <f t="shared" si="1"/>
        <v>55254.62962965927</v>
      </c>
      <c r="F26" s="42">
        <f>IFERROR(B26*$E$2/($A26-$B$1),"")</f>
        <v>134944.34855459875</v>
      </c>
      <c r="G26" s="42">
        <f>IFERROR(C26*$E$2/($A26-$B$1),"")</f>
        <v>119664.18098024582</v>
      </c>
      <c r="H26" s="43">
        <f>IFERROR(F26 - RAID_GOAL_EMBLEM,"")</f>
        <v>-15055.65144540125</v>
      </c>
      <c r="I26" s="43">
        <f>IFERROR(G26 - RAID_GOAL_BLAZON,"")</f>
        <v>19664.180980245816</v>
      </c>
      <c r="J26" s="29">
        <v>23</v>
      </c>
      <c r="K26" s="47">
        <f ca="1">IFERROR(IF(AND(INDIRECT("H" &amp; $J26)&lt;0,H26-INDIRECT("H" &amp; $J26)&gt;0),((-H26*($A26-INDIRECT("$A" &amp; $J26)))/(H26-INDIRECT("H" &amp; $J26)))+INDIRECT("$A" &amp; $J26),""),"")</f>
        <v>43534.967118438748</v>
      </c>
      <c r="L26" s="47" t="str">
        <f ca="1">IFERROR(IF(AND(INDIRECT("I" &amp; $J26)&lt;0,I26-INDIRECT("I" &amp; $J26)&gt;0),((-I26*($A26-INDIRECT("$A" &amp; $J26)))/(I26-INDIRECT("I" &amp; $J26)))+INDIRECT("$A" &amp; $J26),""),"")</f>
        <v/>
      </c>
    </row>
    <row r="27" spans="1:12" x14ac:dyDescent="0.2">
      <c r="A27" s="47">
        <v>43530.617361111108</v>
      </c>
      <c r="B27" s="40">
        <v>75335</v>
      </c>
      <c r="C27" s="40">
        <v>67021</v>
      </c>
      <c r="D27" s="42">
        <f t="shared" si="0"/>
        <v>83758.680555547471</v>
      </c>
      <c r="E27" s="42">
        <f t="shared" si="1"/>
        <v>55839.120370364981</v>
      </c>
      <c r="F27" s="42">
        <f>IFERROR(B27*$E$2/($A27-$B$1),"")</f>
        <v>134914.37454659815</v>
      </c>
      <c r="G27" s="42">
        <f>IFERROR(C27*$E$2/($A27-$B$1),"")</f>
        <v>120025.17152037639</v>
      </c>
      <c r="H27" s="43">
        <f>IFERROR(F27 - RAID_GOAL_EMBLEM,"")</f>
        <v>-15085.625453401852</v>
      </c>
      <c r="I27" s="43">
        <f>IFERROR(G27 - RAID_GOAL_BLAZON,"")</f>
        <v>20025.171520376389</v>
      </c>
      <c r="J27" s="29">
        <v>20</v>
      </c>
      <c r="K27" s="47">
        <f ca="1">IFERROR(IF(AND(INDIRECT("H" &amp; $J27)&lt;0,H27-INDIRECT("H" &amp; $J27)&gt;0),((-H27*($A27-INDIRECT("$A" &amp; $J27)))/(H27-INDIRECT("H" &amp; $J27)))+INDIRECT("$A" &amp; $J27),""),"")</f>
        <v>43532.979300359199</v>
      </c>
      <c r="L27" s="47" t="str">
        <f ca="1">IFERROR(IF(AND(INDIRECT("I" &amp; $J27)&lt;0,I27-INDIRECT("I" &amp; $J27)&gt;0),((-I27*($A27-INDIRECT("$A" &amp; $J27)))/(I27-INDIRECT("I" &amp; $J27)))+INDIRECT("$A" &amp; $J27),""),"")</f>
        <v/>
      </c>
    </row>
    <row r="28" spans="1:12" x14ac:dyDescent="0.2">
      <c r="A28" s="47">
        <v>43530.895138888889</v>
      </c>
      <c r="B28" s="40">
        <v>76314</v>
      </c>
      <c r="C28" s="40">
        <v>67874</v>
      </c>
      <c r="D28" s="42">
        <f t="shared" si="0"/>
        <v>87230.902777810115</v>
      </c>
      <c r="E28" s="42">
        <f t="shared" si="1"/>
        <v>58153.935185206741</v>
      </c>
      <c r="F28" s="42">
        <f>IFERROR(B28*$E$2/($A28-$B$1),"")</f>
        <v>131227.57687327208</v>
      </c>
      <c r="G28" s="42">
        <f>IFERROR(C28*$E$2/($A28-$B$1),"")</f>
        <v>116714.37157921835</v>
      </c>
      <c r="H28" s="43">
        <f>IFERROR(F28 - RAID_GOAL_EMBLEM,"")</f>
        <v>-18772.423126727925</v>
      </c>
      <c r="I28" s="43">
        <f>IFERROR(G28 - RAID_GOAL_BLAZON,"")</f>
        <v>16714.37157921835</v>
      </c>
      <c r="J28" s="29">
        <v>20</v>
      </c>
      <c r="K28" s="47">
        <f ca="1">IFERROR(IF(AND(INDIRECT("H" &amp; $J28)&lt;0,H28-INDIRECT("H" &amp; $J28)&gt;0),((-H28*($A28-INDIRECT("$A" &amp; $J28)))/(H28-INDIRECT("H" &amp; $J28)))+INDIRECT("$A" &amp; $J28),""),"")</f>
        <v>43545.045125297031</v>
      </c>
      <c r="L28" s="47" t="str">
        <f ca="1">IFERROR(IF(AND(INDIRECT("I" &amp; $J28)&lt;0,I28-INDIRECT("I" &amp; $J28)&gt;0),((-I28*($A28-INDIRECT("$A" &amp; $J28)))/(I28-INDIRECT("I" &amp; $J28)))+INDIRECT("$A" &amp; $J28),""),"")</f>
        <v/>
      </c>
    </row>
    <row r="29" spans="1:12" x14ac:dyDescent="0.2">
      <c r="A29" s="47">
        <v>43531.416666666664</v>
      </c>
      <c r="B29" s="40">
        <v>82871</v>
      </c>
      <c r="C29" s="40">
        <v>73536</v>
      </c>
      <c r="D29" s="42">
        <f t="shared" si="0"/>
        <v>93750</v>
      </c>
      <c r="E29" s="42">
        <f t="shared" si="1"/>
        <v>62500</v>
      </c>
      <c r="F29" s="42">
        <f>IFERROR(B29*$E$2/($A29-$B$1),"")</f>
        <v>132593.60000000001</v>
      </c>
      <c r="G29" s="42">
        <f>IFERROR(C29*$E$2/($A29-$B$1),"")</f>
        <v>117657.60000000001</v>
      </c>
      <c r="H29" s="43">
        <f>IFERROR(F29 - RAID_GOAL_EMBLEM,"")</f>
        <v>-17406.399999999994</v>
      </c>
      <c r="I29" s="43">
        <f>IFERROR(G29 - RAID_GOAL_BLAZON,"")</f>
        <v>17657.600000000006</v>
      </c>
      <c r="J29" s="29">
        <v>20</v>
      </c>
      <c r="K29" s="47">
        <f ca="1">IFERROR(IF(AND(INDIRECT("H" &amp; $J29)&lt;0,H29-INDIRECT("H" &amp; $J29)&gt;0),((-H29*($A29-INDIRECT("$A" &amp; $J29)))/(H29-INDIRECT("H" &amp; $J29)))+INDIRECT("$A" &amp; $J29),""),"")</f>
        <v>43540.649566356064</v>
      </c>
      <c r="L29" s="47" t="str">
        <f ca="1">IFERROR(IF(AND(INDIRECT("I" &amp; $J29)&lt;0,I29-INDIRECT("I" &amp; $J29)&gt;0),((-I29*($A29-INDIRECT("$A" &amp; $J29)))/(I29-INDIRECT("I" &amp; $J29)))+INDIRECT("$A" &amp; $J29),""),"")</f>
        <v/>
      </c>
    </row>
    <row r="30" spans="1:12" x14ac:dyDescent="0.2">
      <c r="A30" s="47">
        <v>43531.775694444441</v>
      </c>
      <c r="B30" s="40">
        <v>85079</v>
      </c>
      <c r="C30" s="40">
        <v>75412</v>
      </c>
      <c r="D30" s="42">
        <f t="shared" si="0"/>
        <v>98237.847222208089</v>
      </c>
      <c r="E30" s="42">
        <f t="shared" si="1"/>
        <v>65491.898148138716</v>
      </c>
      <c r="F30" s="42">
        <f>IFERROR(B30*$E$2/($A30-$B$1),"")</f>
        <v>129907.67164444744</v>
      </c>
      <c r="G30" s="42">
        <f>IFERROR(C30*$E$2/($A30-$B$1),"")</f>
        <v>115147.06724398583</v>
      </c>
      <c r="H30" s="43">
        <f>IFERROR(F30 - RAID_GOAL_EMBLEM,"")</f>
        <v>-20092.328355552556</v>
      </c>
      <c r="I30" s="43">
        <f>IFERROR(G30 - RAID_GOAL_BLAZON,"")</f>
        <v>15147.067243985832</v>
      </c>
      <c r="J30" s="29">
        <v>20</v>
      </c>
      <c r="K30" s="47">
        <f ca="1">IFERROR(IF(AND(INDIRECT("H" &amp; $J30)&lt;0,H30-INDIRECT("H" &amp; $J30)&gt;0),((-H30*($A30-INDIRECT("$A" &amp; $J30)))/(H30-INDIRECT("H" &amp; $J30)))+INDIRECT("$A" &amp; $J30),""),"")</f>
        <v>43602.16510754398</v>
      </c>
      <c r="L30" s="47" t="str">
        <f ca="1">IFERROR(IF(AND(INDIRECT("I" &amp; $J30)&lt;0,I30-INDIRECT("I" &amp; $J30)&gt;0),((-I30*($A30-INDIRECT("$A" &amp; $J30)))/(I30-INDIRECT("I" &amp; $J30)))+INDIRECT("$A" &amp; $J30),""),"")</f>
        <v/>
      </c>
    </row>
    <row r="31" spans="1:12" x14ac:dyDescent="0.2">
      <c r="A31" s="47">
        <v>43533.052777777775</v>
      </c>
      <c r="B31" s="40">
        <v>100956</v>
      </c>
      <c r="C31" s="40">
        <v>89048</v>
      </c>
      <c r="D31" s="42">
        <f t="shared" si="0"/>
        <v>114201.38888888685</v>
      </c>
      <c r="E31" s="42">
        <f t="shared" si="1"/>
        <v>76134.259259257917</v>
      </c>
      <c r="F31" s="42">
        <f>IFERROR(B31*$E$2/($A31-$B$1),"")</f>
        <v>132602.59045302757</v>
      </c>
      <c r="G31" s="42">
        <f>IFERROR(C31*$E$2/($A31-$B$1),"")</f>
        <v>116961.79993919331</v>
      </c>
      <c r="H31" s="43">
        <f>IFERROR(F31 - RAID_GOAL_EMBLEM,"")</f>
        <v>-17397.409546972427</v>
      </c>
      <c r="I31" s="43">
        <f>IFERROR(G31 - RAID_GOAL_BLAZON,"")</f>
        <v>16961.799939193312</v>
      </c>
      <c r="J31" s="29">
        <v>30</v>
      </c>
      <c r="K31" s="47">
        <f ca="1">IFERROR(IF(AND(INDIRECT("H" &amp; $J31)&lt;0,H31-INDIRECT("H" &amp; $J31)&gt;0),((-H31*($A31-INDIRECT("$A" &amp; $J31)))/(H31-INDIRECT("H" &amp; $J31)))+INDIRECT("$A" &amp; $J31),""),"")</f>
        <v>43540.020077059933</v>
      </c>
      <c r="L31" s="47" t="str">
        <f ca="1">IFERROR(IF(AND(INDIRECT("I" &amp; $J31)&lt;0,I31-INDIRECT("I" &amp; $J31)&gt;0),((-I31*($A31-INDIRECT("$A" &amp; $J31)))/(I31-INDIRECT("I" &amp; $J31)))+INDIRECT("$A" &amp; $J31),""),"")</f>
        <v/>
      </c>
    </row>
    <row r="32" spans="1:12" x14ac:dyDescent="0.2">
      <c r="A32" s="47">
        <v>43533.246527777781</v>
      </c>
      <c r="B32" s="40">
        <v>105020</v>
      </c>
      <c r="C32" s="40">
        <v>92512</v>
      </c>
      <c r="D32" s="42">
        <f t="shared" si="0"/>
        <v>116623.26388895961</v>
      </c>
      <c r="E32" s="42">
        <f t="shared" si="1"/>
        <v>77748.842592639747</v>
      </c>
      <c r="F32" s="42">
        <f>IFERROR(B32*$E$2/($A32-$B$1),"")</f>
        <v>135075.9657609899</v>
      </c>
      <c r="G32" s="42">
        <f>IFERROR(C32*$E$2/($A32-$B$1),"")</f>
        <v>118988.26646810795</v>
      </c>
      <c r="H32" s="43">
        <f>IFERROR(F32 - RAID_GOAL_EMBLEM,"")</f>
        <v>-14924.0342390101</v>
      </c>
      <c r="I32" s="43">
        <f>IFERROR(G32 - RAID_GOAL_BLAZON,"")</f>
        <v>18988.266468107948</v>
      </c>
      <c r="J32" s="29">
        <v>31</v>
      </c>
      <c r="K32" s="47">
        <f ca="1">IFERROR(IF(AND(INDIRECT("H" &amp; $J32)&lt;0,H32-INDIRECT("H" &amp; $J32)&gt;0),((-H32*($A32-INDIRECT("$A" &amp; $J32)))/(H32-INDIRECT("H" &amp; $J32)))+INDIRECT("$A" &amp; $J32),""),"")</f>
        <v>43534.221840808597</v>
      </c>
      <c r="L32" s="47" t="str">
        <f ca="1">IFERROR(IF(AND(INDIRECT("I" &amp; $J32)&lt;0,I32-INDIRECT("I" &amp; $J32)&gt;0),((-I32*($A32-INDIRECT("$A" &amp; $J32)))/(I32-INDIRECT("I" &amp; $J32)))+INDIRECT("$A" &amp; $J32),""),"")</f>
        <v/>
      </c>
    </row>
    <row r="33" spans="1:12" x14ac:dyDescent="0.2">
      <c r="A33" s="47">
        <v>43533.673611111109</v>
      </c>
      <c r="B33" s="40">
        <v>113822</v>
      </c>
      <c r="C33" s="40">
        <v>99777</v>
      </c>
      <c r="D33" s="42">
        <f t="shared" si="0"/>
        <v>121961.80555556568</v>
      </c>
      <c r="E33" s="42">
        <f t="shared" si="1"/>
        <v>81307.870370377103</v>
      </c>
      <c r="F33" s="42">
        <f>IFERROR(B33*$E$2/($A33-$B$1),"")</f>
        <v>139988.90818504177</v>
      </c>
      <c r="G33" s="42">
        <f>IFERROR(C33*$E$2/($A33-$B$1),"")</f>
        <v>122715.05765123539</v>
      </c>
      <c r="H33" s="43">
        <f>IFERROR(F33 - RAID_GOAL_EMBLEM,"")</f>
        <v>-10011.091814958228</v>
      </c>
      <c r="I33" s="43">
        <f>IFERROR(G33 - RAID_GOAL_BLAZON,"")</f>
        <v>22715.057651235387</v>
      </c>
      <c r="J33" s="29">
        <v>31</v>
      </c>
      <c r="K33" s="47">
        <f ca="1">IFERROR(IF(AND(INDIRECT("H" &amp; $J33)&lt;0,H33-INDIRECT("H" &amp; $J33)&gt;0),((-H33*($A33-INDIRECT("$A" &amp; $J33)))/(H33-INDIRECT("H" &amp; $J33)))+INDIRECT("$A" &amp; $J33),""),"")</f>
        <v>43533.894228108955</v>
      </c>
      <c r="L33" s="47" t="str">
        <f ca="1">IFERROR(IF(AND(INDIRECT("I" &amp; $J33)&lt;0,I33-INDIRECT("I" &amp; $J33)&gt;0),((-I33*($A33-INDIRECT("$A" &amp; $J33)))/(I33-INDIRECT("I" &amp; $J33)))+INDIRECT("$A" &amp; $J33),""),"")</f>
        <v/>
      </c>
    </row>
    <row r="34" spans="1:12" x14ac:dyDescent="0.2">
      <c r="A34" s="47">
        <v>43534.036111111112</v>
      </c>
      <c r="B34" s="40">
        <v>117115</v>
      </c>
      <c r="C34" s="40">
        <v>102551</v>
      </c>
      <c r="D34" s="42">
        <f t="shared" si="0"/>
        <v>126493.05555560203</v>
      </c>
      <c r="E34" s="42">
        <f t="shared" si="1"/>
        <v>84328.703703734689</v>
      </c>
      <c r="F34" s="42">
        <f>IFERROR(B34*$E$2/($A34-$B$1),"")</f>
        <v>138879.16552286962</v>
      </c>
      <c r="G34" s="42">
        <f>IFERROR(C34*$E$2/($A34-$B$1),"")</f>
        <v>121608.65220967258</v>
      </c>
      <c r="H34" s="43">
        <f>IFERROR(F34 - RAID_GOAL_EMBLEM,"")</f>
        <v>-11120.834477130382</v>
      </c>
      <c r="I34" s="43">
        <f>IFERROR(G34 - RAID_GOAL_BLAZON,"")</f>
        <v>21608.652209672582</v>
      </c>
      <c r="J34" s="29">
        <v>31</v>
      </c>
      <c r="K34" s="47">
        <f ca="1">IFERROR(IF(AND(INDIRECT("H" &amp; $J34)&lt;0,H34-INDIRECT("H" &amp; $J34)&gt;0),((-H34*($A34-INDIRECT("$A" &amp; $J34)))/(H34-INDIRECT("H" &amp; $J34)))+INDIRECT("$A" &amp; $J34),""),"")</f>
        <v>43534.795047584827</v>
      </c>
      <c r="L34" s="47" t="str">
        <f ca="1">IFERROR(IF(AND(INDIRECT("I" &amp; $J34)&lt;0,I34-INDIRECT("I" &amp; $J34)&gt;0),((-I34*($A34-INDIRECT("$A" &amp; $J34)))/(I34-INDIRECT("I" &amp; $J34)))+INDIRECT("$A" &amp; $J34),""),"")</f>
        <v/>
      </c>
    </row>
    <row r="35" spans="1:12" x14ac:dyDescent="0.2">
      <c r="A35" s="47">
        <v>43534.129166666666</v>
      </c>
      <c r="B35" s="40">
        <v>117115</v>
      </c>
      <c r="C35" s="40">
        <v>102859</v>
      </c>
      <c r="D35" s="42">
        <f t="shared" si="0"/>
        <v>127656.2500000182</v>
      </c>
      <c r="E35" s="42">
        <f t="shared" si="1"/>
        <v>85104.166666678793</v>
      </c>
      <c r="F35" s="42">
        <f>IFERROR(B35*$E$2/($A35-$B$1),"")</f>
        <v>137613.70869031086</v>
      </c>
      <c r="G35" s="42">
        <f>IFERROR(C35*$E$2/($A35-$B$1),"")</f>
        <v>120862.47246020309</v>
      </c>
      <c r="H35" s="43">
        <f>IFERROR(F35 - RAID_GOAL_EMBLEM,"")</f>
        <v>-12386.291309689143</v>
      </c>
      <c r="I35" s="43">
        <f>IFERROR(G35 - RAID_GOAL_BLAZON,"")</f>
        <v>20862.472460203091</v>
      </c>
      <c r="J35" s="29">
        <v>31</v>
      </c>
      <c r="K35" s="47">
        <f ca="1">IFERROR(IF(AND(INDIRECT("H" &amp; $J35)&lt;0,H35-INDIRECT("H" &amp; $J35)&gt;0),((-H35*($A35-INDIRECT("$A" &amp; $J35)))/(H35-INDIRECT("H" &amp; $J35)))+INDIRECT("$A" &amp; $J35),""),"")</f>
        <v>43535.713354860374</v>
      </c>
      <c r="L35" s="47" t="str">
        <f ca="1">IFERROR(IF(AND(INDIRECT("I" &amp; $J35)&lt;0,I35-INDIRECT("I" &amp; $J35)&gt;0),((-I35*($A35-INDIRECT("$A" &amp; $J35)))/(I35-INDIRECT("I" &amp; $J35)))+INDIRECT("$A" &amp; $J35),""),"")</f>
        <v/>
      </c>
    </row>
    <row r="36" spans="1:12" x14ac:dyDescent="0.2">
      <c r="A36" s="47">
        <v>43534.231944444444</v>
      </c>
      <c r="B36" s="40">
        <v>119175</v>
      </c>
      <c r="C36" s="40">
        <v>104678</v>
      </c>
      <c r="D36" s="42">
        <f t="shared" si="0"/>
        <v>128940.97222224444</v>
      </c>
      <c r="E36" s="42">
        <f t="shared" si="1"/>
        <v>85960.648148162974</v>
      </c>
      <c r="F36" s="42">
        <f>IFERROR(B36*$E$2/($A36-$B$1),"")</f>
        <v>138639.01979262455</v>
      </c>
      <c r="G36" s="42">
        <f>IFERROR(C36*$E$2/($A36-$B$1),"")</f>
        <v>121774.32610742481</v>
      </c>
      <c r="H36" s="43">
        <f>IFERROR(F36 - RAID_GOAL_EMBLEM,"")</f>
        <v>-11360.980207375454</v>
      </c>
      <c r="I36" s="43">
        <f>IFERROR(G36 - RAID_GOAL_BLAZON,"")</f>
        <v>21774.326107424815</v>
      </c>
      <c r="J36" s="29">
        <v>31</v>
      </c>
      <c r="K36" s="47">
        <f ca="1">IFERROR(IF(AND(INDIRECT("H" &amp; $J36)&lt;0,H36-INDIRECT("H" &amp; $J36)&gt;0),((-H36*($A36-INDIRECT("$A" &amp; $J36)))/(H36-INDIRECT("H" &amp; $J36)))+INDIRECT("$A" &amp; $J36),""),"")</f>
        <v>43535.272051525142</v>
      </c>
      <c r="L36" s="47" t="str">
        <f ca="1">IFERROR(IF(AND(INDIRECT("I" &amp; $J36)&lt;0,I36-INDIRECT("I" &amp; $J36)&gt;0),((-I36*($A36-INDIRECT("$A" &amp; $J36)))/(I36-INDIRECT("I" &amp; $J36)))+INDIRECT("$A" &amp; $J36),""),"")</f>
        <v/>
      </c>
    </row>
    <row r="37" spans="1:12" x14ac:dyDescent="0.2">
      <c r="A37" s="47">
        <v>43534.314583333333</v>
      </c>
      <c r="B37" s="40">
        <v>119175</v>
      </c>
      <c r="C37" s="40">
        <v>104678</v>
      </c>
      <c r="D37" s="42">
        <f t="shared" si="0"/>
        <v>129973.95833335759</v>
      </c>
      <c r="E37" s="42">
        <f t="shared" si="1"/>
        <v>86649.305555571729</v>
      </c>
      <c r="F37" s="42">
        <f>IFERROR(B37*$E$2/($A37-$B$1),"")</f>
        <v>137537.1669003951</v>
      </c>
      <c r="G37" s="42">
        <f>IFERROR(C37*$E$2/($A37-$B$1),"")</f>
        <v>120806.50771386245</v>
      </c>
      <c r="H37" s="43">
        <f>IFERROR(F37 - RAID_GOAL_EMBLEM,"")</f>
        <v>-12462.833099604904</v>
      </c>
      <c r="I37" s="43">
        <f>IFERROR(G37 - RAID_GOAL_BLAZON,"")</f>
        <v>20806.507713862447</v>
      </c>
      <c r="J37" s="29">
        <v>31</v>
      </c>
      <c r="K37" s="47">
        <f ca="1">IFERROR(IF(AND(INDIRECT("H" &amp; $J37)&lt;0,H37-INDIRECT("H" &amp; $J37)&gt;0),((-H37*($A37-INDIRECT("$A" &amp; $J37)))/(H37-INDIRECT("H" &amp; $J37)))+INDIRECT("$A" &amp; $J37),""),"")</f>
        <v>43536.239610976285</v>
      </c>
      <c r="L37" s="47" t="str">
        <f ca="1">IFERROR(IF(AND(INDIRECT("I" &amp; $J37)&lt;0,I37-INDIRECT("I" &amp; $J37)&gt;0),((-I37*($A37-INDIRECT("$A" &amp; $J37)))/(I37-INDIRECT("I" &amp; $J37)))+INDIRECT("$A" &amp; $J37),""),"")</f>
        <v/>
      </c>
    </row>
    <row r="38" spans="1:12" x14ac:dyDescent="0.2">
      <c r="A38" s="47">
        <v>43534.486805555556</v>
      </c>
      <c r="B38" s="40">
        <v>122906</v>
      </c>
      <c r="C38" s="40">
        <v>107941</v>
      </c>
      <c r="D38" s="42">
        <f t="shared" si="0"/>
        <v>132126.73611114951</v>
      </c>
      <c r="E38" s="42">
        <f t="shared" si="1"/>
        <v>88084.490740766341</v>
      </c>
      <c r="F38" s="42">
        <f>IFERROR(B38*$E$2/($A38-$B$1),"")</f>
        <v>139531.94139671393</v>
      </c>
      <c r="G38" s="42">
        <f>IFERROR(C38*$E$2/($A38-$B$1),"")</f>
        <v>122542.57144730687</v>
      </c>
      <c r="H38" s="43">
        <f>IFERROR(F38 - RAID_GOAL_EMBLEM,"")</f>
        <v>-10468.058603286074</v>
      </c>
      <c r="I38" s="43">
        <f>IFERROR(G38 - RAID_GOAL_BLAZON,"")</f>
        <v>22542.571447306866</v>
      </c>
      <c r="J38" s="29">
        <v>31</v>
      </c>
      <c r="K38" s="47">
        <f ca="1">IFERROR(IF(AND(INDIRECT("H" &amp; $J38)&lt;0,H38-INDIRECT("H" &amp; $J38)&gt;0),((-H38*($A38-INDIRECT("$A" &amp; $J38)))/(H38-INDIRECT("H" &amp; $J38)))+INDIRECT("$A" &amp; $J38),""),"")</f>
        <v>43535.219140390742</v>
      </c>
      <c r="L38" s="47" t="str">
        <f ca="1">IFERROR(IF(AND(INDIRECT("I" &amp; $J38)&lt;0,I38-INDIRECT("I" &amp; $J38)&gt;0),((-I38*($A38-INDIRECT("$A" &amp; $J38)))/(I38-INDIRECT("I" &amp; $J38)))+INDIRECT("$A" &amp; $J38),""),"")</f>
        <v/>
      </c>
    </row>
    <row r="39" spans="1:12" x14ac:dyDescent="0.2">
      <c r="A39" s="47">
        <v>43535.138888888891</v>
      </c>
      <c r="B39" s="40">
        <v>125282</v>
      </c>
      <c r="C39" s="40">
        <v>110340</v>
      </c>
      <c r="D39" s="42">
        <f t="shared" si="0"/>
        <v>140277.77777782831</v>
      </c>
      <c r="E39" s="42">
        <f t="shared" si="1"/>
        <v>93518.518518552199</v>
      </c>
      <c r="F39" s="42">
        <f>IFERROR(B39*$E$2/($A39-$B$1),"")</f>
        <v>133964.91089104087</v>
      </c>
      <c r="G39" s="42">
        <f>IFERROR(C39*$E$2/($A39-$B$1),"")</f>
        <v>117987.32673263077</v>
      </c>
      <c r="H39" s="43">
        <f>IFERROR(F39 - RAID_GOAL_EMBLEM,"")</f>
        <v>-16035.089108959131</v>
      </c>
      <c r="I39" s="43">
        <f>IFERROR(G39 - RAID_GOAL_BLAZON,"")</f>
        <v>17987.326732630769</v>
      </c>
      <c r="J39" s="29"/>
      <c r="K39" s="47" t="str">
        <f ca="1">IFERROR(IF(AND(INDIRECT("H" &amp; $J39)&lt;0,H39-INDIRECT("H" &amp; $J39)&gt;0),((-H39*($A39-INDIRECT("$A" &amp; $J39)))/(H39-INDIRECT("H" &amp; $J39)))+INDIRECT("$A" &amp; $J39),""),"")</f>
        <v/>
      </c>
      <c r="L39" s="47" t="str">
        <f ca="1">IFERROR(IF(AND(INDIRECT("I" &amp; $J39)&lt;0,I39-INDIRECT("I" &amp; $J39)&gt;0),((-I39*($A39-INDIRECT("$A" &amp; $J39)))/(I39-INDIRECT("I" &amp; $J39)))+INDIRECT("$A" &amp; $J39),""),"")</f>
        <v/>
      </c>
    </row>
    <row r="40" spans="1:12" x14ac:dyDescent="0.2">
      <c r="A40" s="47">
        <v>43535.189583333333</v>
      </c>
      <c r="B40" s="40">
        <v>126683</v>
      </c>
      <c r="C40" s="40">
        <v>111358</v>
      </c>
      <c r="D40" s="42">
        <f t="shared" si="0"/>
        <v>140911.45833335759</v>
      </c>
      <c r="E40" s="42">
        <f t="shared" si="1"/>
        <v>93940.972222238386</v>
      </c>
      <c r="F40" s="42">
        <f>IFERROR(B40*$E$2/($A40-$B$1),"")</f>
        <v>134853.831084804</v>
      </c>
      <c r="G40" s="42">
        <f>IFERROR(C40*$E$2/($A40-$B$1),"")</f>
        <v>118540.39549064676</v>
      </c>
      <c r="H40" s="43">
        <f>IFERROR(F40 - RAID_GOAL_EMBLEM,"")</f>
        <v>-15146.168915196002</v>
      </c>
      <c r="I40" s="43">
        <f>IFERROR(G40 - RAID_GOAL_BLAZON,"")</f>
        <v>18540.395490646755</v>
      </c>
      <c r="J40" s="29">
        <v>39</v>
      </c>
      <c r="K40" s="47">
        <f ca="1">IFERROR(IF(AND(INDIRECT("H" &amp; $J40)&lt;0,H40-INDIRECT("H" &amp; $J40)&gt;0),((-H40*($A40-INDIRECT("$A" &amp; $J40)))/(H40-INDIRECT("H" &amp; $J40)))+INDIRECT("$A" &amp; $J40),""),"")</f>
        <v>43536.002663414401</v>
      </c>
      <c r="L40" s="47" t="str">
        <f ca="1">IFERROR(IF(AND(INDIRECT("I" &amp; $J40)&lt;0,I40-INDIRECT("I" &amp; $J40)&gt;0),((-I40*($A40-INDIRECT("$A" &amp; $J40)))/(I40-INDIRECT("I" &amp; $J40)))+INDIRECT("$A" &amp; $J40),""),"")</f>
        <v/>
      </c>
    </row>
    <row r="41" spans="1:12" x14ac:dyDescent="0.2">
      <c r="A41" s="47">
        <v>43535.3125</v>
      </c>
      <c r="B41" s="40">
        <v>129105</v>
      </c>
      <c r="C41" s="40">
        <v>113395</v>
      </c>
      <c r="D41" s="42">
        <f t="shared" si="0"/>
        <v>142447.91666669698</v>
      </c>
      <c r="E41" s="42">
        <f t="shared" si="1"/>
        <v>94965.277777797994</v>
      </c>
      <c r="F41" s="42">
        <f>IFERROR(B41*$E$2/($A41-$B$1),"")</f>
        <v>135949.68921386503</v>
      </c>
      <c r="G41" s="42">
        <f>IFERROR(C41*$E$2/($A41-$B$1),"")</f>
        <v>119406.80073123601</v>
      </c>
      <c r="H41" s="43">
        <f>IFERROR(F41 - RAID_GOAL_EMBLEM,"")</f>
        <v>-14050.310786134971</v>
      </c>
      <c r="I41" s="43">
        <f>IFERROR(G41 - RAID_GOAL_BLAZON,"")</f>
        <v>19406.800731236013</v>
      </c>
      <c r="J41" s="29">
        <v>39</v>
      </c>
      <c r="K41" s="47">
        <f ca="1">IFERROR(IF(AND(INDIRECT("H" &amp; $J41)&lt;0,H41-INDIRECT("H" &amp; $J41)&gt;0),((-H41*($A41-INDIRECT("$A" &amp; $J41)))/(H41-INDIRECT("H" &amp; $J41)))+INDIRECT("$A" &amp; $J41),""),"")</f>
        <v>43536.367887633467</v>
      </c>
      <c r="L41" s="47" t="str">
        <f ca="1">IFERROR(IF(AND(INDIRECT("I" &amp; $J41)&lt;0,I41-INDIRECT("I" &amp; $J41)&gt;0),((-I41*($A41-INDIRECT("$A" &amp; $J41)))/(I41-INDIRECT("I" &amp; $J41)))+INDIRECT("$A" &amp; $J41),""),"")</f>
        <v/>
      </c>
    </row>
    <row r="42" spans="1:12" x14ac:dyDescent="0.2">
      <c r="A42" s="47">
        <v>43535.543055555558</v>
      </c>
      <c r="B42" s="40">
        <v>134214</v>
      </c>
      <c r="C42" s="40">
        <v>117529</v>
      </c>
      <c r="D42" s="42">
        <f t="shared" si="0"/>
        <v>145329.8611111677</v>
      </c>
      <c r="E42" s="42">
        <f t="shared" si="1"/>
        <v>96886.574074111806</v>
      </c>
      <c r="F42" s="42">
        <f>IFERROR(B42*$E$2/($A42-$B$1),"")</f>
        <v>138526.93346070344</v>
      </c>
      <c r="G42" s="42">
        <f>IFERROR(C42*$E$2/($A42-$B$1),"")</f>
        <v>121305.76514151291</v>
      </c>
      <c r="H42" s="43">
        <f>IFERROR(F42 - RAID_GOAL_EMBLEM,"")</f>
        <v>-11473.06653929656</v>
      </c>
      <c r="I42" s="43">
        <f>IFERROR(G42 - RAID_GOAL_BLAZON,"")</f>
        <v>21305.765141512908</v>
      </c>
      <c r="J42" s="29">
        <v>39</v>
      </c>
      <c r="K42" s="47">
        <f ca="1">IFERROR(IF(AND(INDIRECT("H" &amp; $J42)&lt;0,H42-INDIRECT("H" &amp; $J42)&gt;0),((-H42*($A42-INDIRECT("$A" &amp; $J42)))/(H42-INDIRECT("H" &amp; $J42)))+INDIRECT("$A" &amp; $J42),""),"")</f>
        <v>43536.15533082639</v>
      </c>
      <c r="L42" s="47" t="str">
        <f ca="1">IFERROR(IF(AND(INDIRECT("I" &amp; $J42)&lt;0,I42-INDIRECT("I" &amp; $J42)&gt;0),((-I42*($A42-INDIRECT("$A" &amp; $J42)))/(I42-INDIRECT("I" &amp; $J42)))+INDIRECT("$A" &amp; $J42),""),"")</f>
        <v/>
      </c>
    </row>
    <row r="43" spans="1:12" x14ac:dyDescent="0.2">
      <c r="A43" s="47">
        <v>43535.70416666667</v>
      </c>
      <c r="B43" s="40">
        <v>137350</v>
      </c>
      <c r="C43" s="40">
        <v>120226</v>
      </c>
      <c r="D43" s="42">
        <f t="shared" si="0"/>
        <v>147343.75000007276</v>
      </c>
      <c r="E43" s="42">
        <f t="shared" si="1"/>
        <v>98229.166666715173</v>
      </c>
      <c r="F43" s="42">
        <f>IFERROR(B43*$E$2/($A43-$B$1),"")</f>
        <v>139826.08695645269</v>
      </c>
      <c r="G43" s="42">
        <f>IFERROR(C43*$E$2/($A43-$B$1),"")</f>
        <v>122393.38282072429</v>
      </c>
      <c r="H43" s="43">
        <f>IFERROR(F43 - RAID_GOAL_EMBLEM,"")</f>
        <v>-10173.913043547305</v>
      </c>
      <c r="I43" s="43">
        <f>IFERROR(G43 - RAID_GOAL_BLAZON,"")</f>
        <v>22393.382820724291</v>
      </c>
      <c r="J43" s="29">
        <v>39</v>
      </c>
      <c r="K43" s="47">
        <f ca="1">IFERROR(IF(AND(INDIRECT("H" &amp; $J43)&lt;0,H43-INDIRECT("H" &amp; $J43)&gt;0),((-H43*($A43-INDIRECT("$A" &amp; $J43)))/(H43-INDIRECT("H" &amp; $J43)))+INDIRECT("$A" &amp; $J43),""),"")</f>
        <v>43536.120106121132</v>
      </c>
      <c r="L43" s="47" t="str">
        <f ca="1">IFERROR(IF(AND(INDIRECT("I" &amp; $J43)&lt;0,I43-INDIRECT("I" &amp; $J43)&gt;0),((-I43*($A43-INDIRECT("$A" &amp; $J43)))/(I43-INDIRECT("I" &amp; $J43)))+INDIRECT("$A" &amp; $J43),""),"")</f>
        <v/>
      </c>
    </row>
    <row r="44" spans="1:12" x14ac:dyDescent="0.2">
      <c r="A44" s="47">
        <v>43535.788194444445</v>
      </c>
      <c r="B44" s="40">
        <v>139176</v>
      </c>
      <c r="C44" s="40">
        <v>121735</v>
      </c>
      <c r="D44" s="42">
        <f t="shared" si="0"/>
        <v>148394.09722226264</v>
      </c>
      <c r="E44" s="42">
        <f t="shared" si="1"/>
        <v>98929.398148175096</v>
      </c>
      <c r="F44" s="42">
        <f>IFERROR(B44*$E$2/($A44-$B$1),"")</f>
        <v>140682.14565658642</v>
      </c>
      <c r="G44" s="42">
        <f>IFERROR(C44*$E$2/($A44-$B$1),"")</f>
        <v>123052.40128689248</v>
      </c>
      <c r="H44" s="43">
        <f>IFERROR(F44 - RAID_GOAL_EMBLEM,"")</f>
        <v>-9317.854343413579</v>
      </c>
      <c r="I44" s="43">
        <f>IFERROR(G44 - RAID_GOAL_BLAZON,"")</f>
        <v>23052.401286892476</v>
      </c>
      <c r="J44" s="29">
        <v>39</v>
      </c>
      <c r="K44" s="47">
        <f ca="1">IFERROR(IF(AND(INDIRECT("H" &amp; $J44)&lt;0,H44-INDIRECT("H" &amp; $J44)&gt;0),((-H44*($A44-INDIRECT("$A" &amp; $J44)))/(H44-INDIRECT("H" &amp; $J44)))+INDIRECT("$A" &amp; $J44),""),"")</f>
        <v>43536.039577163487</v>
      </c>
      <c r="L44" s="47" t="str">
        <f ca="1">IFERROR(IF(AND(INDIRECT("I" &amp; $J44)&lt;0,I44-INDIRECT("I" &amp; $J44)&gt;0),((-I44*($A44-INDIRECT("$A" &amp; $J44)))/(I44-INDIRECT("I" &amp; $J44)))+INDIRECT("$A" &amp; $J44),""),"")</f>
        <v/>
      </c>
    </row>
    <row r="45" spans="1:12" x14ac:dyDescent="0.2">
      <c r="D45" s="42"/>
      <c r="E45" s="42"/>
    </row>
    <row r="46" spans="1:12" x14ac:dyDescent="0.2">
      <c r="D46" s="42"/>
      <c r="E46" s="42"/>
    </row>
    <row r="47" spans="1:12" x14ac:dyDescent="0.2">
      <c r="D47" s="42"/>
      <c r="E47" s="42"/>
    </row>
    <row r="48" spans="1:12" x14ac:dyDescent="0.2">
      <c r="D48" s="42"/>
      <c r="E48" s="42"/>
    </row>
    <row r="49" spans="4:5" x14ac:dyDescent="0.2">
      <c r="D49" s="42"/>
      <c r="E49" s="42"/>
    </row>
    <row r="50" spans="4:5" x14ac:dyDescent="0.2">
      <c r="D50" s="42"/>
      <c r="E50" s="42"/>
    </row>
    <row r="51" spans="4:5" x14ac:dyDescent="0.2">
      <c r="D51" s="42"/>
      <c r="E51" s="42"/>
    </row>
    <row r="52" spans="4:5" x14ac:dyDescent="0.2">
      <c r="D52" s="42"/>
      <c r="E52" s="42"/>
    </row>
    <row r="53" spans="4:5" x14ac:dyDescent="0.2">
      <c r="D53" s="42"/>
      <c r="E53" s="42"/>
    </row>
    <row r="54" spans="4:5" x14ac:dyDescent="0.2">
      <c r="D54" s="42"/>
      <c r="E54" s="42"/>
    </row>
    <row r="55" spans="4:5" x14ac:dyDescent="0.2">
      <c r="D55" s="42"/>
      <c r="E55" s="42"/>
    </row>
    <row r="56" spans="4:5" x14ac:dyDescent="0.2">
      <c r="D56" s="42"/>
      <c r="E56" s="42"/>
    </row>
    <row r="57" spans="4:5" x14ac:dyDescent="0.2">
      <c r="D57" s="42"/>
      <c r="E57" s="42"/>
    </row>
    <row r="58" spans="4:5" x14ac:dyDescent="0.2">
      <c r="D58" s="42"/>
      <c r="E58" s="42"/>
    </row>
    <row r="59" spans="4:5" x14ac:dyDescent="0.2">
      <c r="D59" s="42"/>
      <c r="E59" s="42"/>
    </row>
    <row r="60" spans="4:5" x14ac:dyDescent="0.2">
      <c r="D60" s="42"/>
      <c r="E60" s="42"/>
    </row>
    <row r="61" spans="4:5" x14ac:dyDescent="0.2">
      <c r="D61" s="42"/>
      <c r="E61" s="42"/>
    </row>
    <row r="62" spans="4:5" x14ac:dyDescent="0.2">
      <c r="D62" s="42"/>
      <c r="E62" s="42"/>
    </row>
    <row r="63" spans="4:5" x14ac:dyDescent="0.2">
      <c r="D63" s="42"/>
      <c r="E63" s="42"/>
    </row>
    <row r="64" spans="4:5" x14ac:dyDescent="0.2">
      <c r="D64" s="42"/>
      <c r="E64" s="42"/>
    </row>
    <row r="65" spans="4:5" x14ac:dyDescent="0.2">
      <c r="D65" s="42"/>
      <c r="E65" s="42"/>
    </row>
    <row r="66" spans="4:5" x14ac:dyDescent="0.2">
      <c r="D66" s="42"/>
      <c r="E66" s="42"/>
    </row>
    <row r="67" spans="4:5" x14ac:dyDescent="0.2">
      <c r="D67" s="42"/>
      <c r="E67" s="42"/>
    </row>
    <row r="68" spans="4:5" x14ac:dyDescent="0.2">
      <c r="D68" s="42"/>
      <c r="E68" s="42"/>
    </row>
    <row r="69" spans="4:5" x14ac:dyDescent="0.2">
      <c r="D69" s="42"/>
      <c r="E69" s="42"/>
    </row>
    <row r="70" spans="4:5" x14ac:dyDescent="0.2">
      <c r="D70" s="42"/>
      <c r="E70" s="42"/>
    </row>
    <row r="71" spans="4:5" x14ac:dyDescent="0.2">
      <c r="D71" s="42"/>
      <c r="E71" s="42"/>
    </row>
    <row r="72" spans="4:5" x14ac:dyDescent="0.2">
      <c r="D72" s="42"/>
      <c r="E72" s="42"/>
    </row>
    <row r="73" spans="4:5" x14ac:dyDescent="0.2">
      <c r="D73" s="42"/>
      <c r="E73" s="42"/>
    </row>
    <row r="74" spans="4:5" x14ac:dyDescent="0.2">
      <c r="D74" s="42"/>
      <c r="E74" s="42"/>
    </row>
    <row r="75" spans="4:5" x14ac:dyDescent="0.2">
      <c r="D75" s="42"/>
      <c r="E75" s="42"/>
    </row>
    <row r="76" spans="4:5" x14ac:dyDescent="0.2">
      <c r="D76" s="42"/>
      <c r="E76" s="42"/>
    </row>
    <row r="77" spans="4:5" x14ac:dyDescent="0.2">
      <c r="D77" s="42"/>
      <c r="E77" s="42"/>
    </row>
    <row r="78" spans="4:5" x14ac:dyDescent="0.2">
      <c r="D78" s="42"/>
      <c r="E78" s="42"/>
    </row>
    <row r="79" spans="4:5" x14ac:dyDescent="0.2">
      <c r="D79" s="42"/>
      <c r="E79" s="42"/>
    </row>
    <row r="80" spans="4:5" x14ac:dyDescent="0.2">
      <c r="D80" s="42"/>
      <c r="E80" s="42"/>
    </row>
    <row r="81" spans="4:5" x14ac:dyDescent="0.2">
      <c r="D81" s="42"/>
      <c r="E81" s="42"/>
    </row>
    <row r="82" spans="4:5" x14ac:dyDescent="0.2">
      <c r="D82" s="42"/>
      <c r="E82" s="42"/>
    </row>
    <row r="83" spans="4:5" x14ac:dyDescent="0.2">
      <c r="D83" s="42"/>
      <c r="E83" s="42"/>
    </row>
    <row r="84" spans="4:5" x14ac:dyDescent="0.2">
      <c r="D84" s="42"/>
      <c r="E84" s="42"/>
    </row>
    <row r="85" spans="4:5" x14ac:dyDescent="0.2">
      <c r="D85" s="42"/>
      <c r="E85" s="42"/>
    </row>
    <row r="86" spans="4:5" x14ac:dyDescent="0.2">
      <c r="D86" s="42"/>
      <c r="E86" s="42"/>
    </row>
    <row r="87" spans="4:5" x14ac:dyDescent="0.2">
      <c r="D87" s="42"/>
      <c r="E87" s="42"/>
    </row>
    <row r="88" spans="4:5" x14ac:dyDescent="0.2">
      <c r="D88" s="42"/>
      <c r="E88" s="42"/>
    </row>
    <row r="89" spans="4:5" x14ac:dyDescent="0.2">
      <c r="D89" s="42"/>
      <c r="E89" s="42"/>
    </row>
    <row r="90" spans="4:5" x14ac:dyDescent="0.2">
      <c r="D90" s="42"/>
      <c r="E90" s="42"/>
    </row>
    <row r="91" spans="4:5" x14ac:dyDescent="0.2">
      <c r="D91" s="42"/>
      <c r="E91" s="42"/>
    </row>
    <row r="92" spans="4:5" x14ac:dyDescent="0.2">
      <c r="D92" s="42"/>
      <c r="E92" s="42"/>
    </row>
    <row r="93" spans="4:5" x14ac:dyDescent="0.2">
      <c r="D93" s="42"/>
      <c r="E93" s="42"/>
    </row>
    <row r="94" spans="4:5" x14ac:dyDescent="0.2">
      <c r="D94" s="42"/>
      <c r="E94" s="42"/>
    </row>
    <row r="95" spans="4:5" x14ac:dyDescent="0.2">
      <c r="D95" s="42"/>
      <c r="E95" s="42"/>
    </row>
    <row r="96" spans="4:5" x14ac:dyDescent="0.2">
      <c r="D96" s="42"/>
      <c r="E96" s="42"/>
    </row>
    <row r="97" spans="4:5" x14ac:dyDescent="0.2">
      <c r="D97" s="42"/>
      <c r="E97" s="42"/>
    </row>
    <row r="98" spans="4:5" x14ac:dyDescent="0.2">
      <c r="D98" s="42"/>
      <c r="E98" s="42"/>
    </row>
    <row r="99" spans="4:5" x14ac:dyDescent="0.2">
      <c r="D99" s="42"/>
      <c r="E99" s="42"/>
    </row>
    <row r="100" spans="4:5" x14ac:dyDescent="0.2">
      <c r="D100" s="42"/>
      <c r="E100" s="42"/>
    </row>
  </sheetData>
  <mergeCells count="12">
    <mergeCell ref="B8:C8"/>
    <mergeCell ref="D8:E8"/>
    <mergeCell ref="F8:G8"/>
    <mergeCell ref="B1:C1"/>
    <mergeCell ref="B2:C2"/>
    <mergeCell ref="F1:H1"/>
    <mergeCell ref="F2:H2"/>
    <mergeCell ref="J8:L8"/>
    <mergeCell ref="H8:I8"/>
    <mergeCell ref="F4:G4"/>
    <mergeCell ref="F5:G5"/>
    <mergeCell ref="F6:G6"/>
  </mergeCells>
  <conditionalFormatting sqref="F2">
    <cfRule type="dataBar" priority="36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F5:F6">
    <cfRule type="dataBar" priority="37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{908A6850-7554-40D8-BEA2-7C68B02FD618}</x14:id>
        </ext>
      </extLst>
    </cfRule>
  </conditionalFormatting>
  <conditionalFormatting sqref="B10:B36 B38:B900">
    <cfRule type="dataBar" priority="33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10:C36 C38:C900">
    <cfRule type="dataBar" priority="32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K1:L8 K10:L18 K45:L1048576">
    <cfRule type="cellIs" dxfId="26" priority="29" operator="greaterThan">
      <formula>RAID_TIME_END</formula>
    </cfRule>
  </conditionalFormatting>
  <conditionalFormatting sqref="K19:L19">
    <cfRule type="cellIs" dxfId="25" priority="28" operator="greaterThan">
      <formula>RAID_TIME_END</formula>
    </cfRule>
  </conditionalFormatting>
  <conditionalFormatting sqref="K20:L20">
    <cfRule type="cellIs" dxfId="24" priority="27" operator="greaterThan">
      <formula>RAID_TIME_END</formula>
    </cfRule>
  </conditionalFormatting>
  <conditionalFormatting sqref="K21:L21">
    <cfRule type="cellIs" dxfId="23" priority="26" operator="greaterThan">
      <formula>RAID_TIME_END</formula>
    </cfRule>
  </conditionalFormatting>
  <conditionalFormatting sqref="K22:L22">
    <cfRule type="cellIs" dxfId="22" priority="25" operator="greaterThan">
      <formula>RAID_TIME_END</formula>
    </cfRule>
  </conditionalFormatting>
  <conditionalFormatting sqref="K23:L23">
    <cfRule type="cellIs" dxfId="21" priority="24" operator="greaterThan">
      <formula>RAID_TIME_END</formula>
    </cfRule>
  </conditionalFormatting>
  <conditionalFormatting sqref="K24:L24">
    <cfRule type="cellIs" dxfId="20" priority="23" operator="greaterThan">
      <formula>RAID_TIME_END</formula>
    </cfRule>
  </conditionalFormatting>
  <conditionalFormatting sqref="K25:L25">
    <cfRule type="cellIs" dxfId="19" priority="22" operator="greaterThan">
      <formula>RAID_TIME_END</formula>
    </cfRule>
  </conditionalFormatting>
  <conditionalFormatting sqref="K26:L26">
    <cfRule type="cellIs" dxfId="18" priority="21" operator="greaterThan">
      <formula>RAID_TIME_END</formula>
    </cfRule>
  </conditionalFormatting>
  <conditionalFormatting sqref="K27:L27">
    <cfRule type="cellIs" dxfId="17" priority="20" operator="greaterThan">
      <formula>RAID_TIME_END</formula>
    </cfRule>
  </conditionalFormatting>
  <conditionalFormatting sqref="K28:L28">
    <cfRule type="cellIs" dxfId="16" priority="19" operator="greaterThan">
      <formula>RAID_TIME_END</formula>
    </cfRule>
  </conditionalFormatting>
  <conditionalFormatting sqref="K29:L29">
    <cfRule type="cellIs" dxfId="15" priority="18" operator="greaterThan">
      <formula>RAID_TIME_END</formula>
    </cfRule>
  </conditionalFormatting>
  <conditionalFormatting sqref="K30:L30">
    <cfRule type="cellIs" dxfId="14" priority="17" operator="greaterThan">
      <formula>RAID_TIME_END</formula>
    </cfRule>
  </conditionalFormatting>
  <conditionalFormatting sqref="K31:L31">
    <cfRule type="cellIs" dxfId="13" priority="16" operator="greaterThan">
      <formula>RAID_TIME_END</formula>
    </cfRule>
  </conditionalFormatting>
  <conditionalFormatting sqref="K32:L32">
    <cfRule type="cellIs" dxfId="12" priority="15" operator="greaterThan">
      <formula>RAID_TIME_END</formula>
    </cfRule>
  </conditionalFormatting>
  <conditionalFormatting sqref="K33:L33">
    <cfRule type="cellIs" dxfId="11" priority="14" operator="greaterThan">
      <formula>RAID_TIME_END</formula>
    </cfRule>
  </conditionalFormatting>
  <conditionalFormatting sqref="K34:L34">
    <cfRule type="cellIs" dxfId="10" priority="13" operator="greaterThan">
      <formula>RAID_TIME_END</formula>
    </cfRule>
  </conditionalFormatting>
  <conditionalFormatting sqref="K35:L35">
    <cfRule type="cellIs" dxfId="9" priority="12" operator="greaterThan">
      <formula>RAID_TIME_END</formula>
    </cfRule>
  </conditionalFormatting>
  <conditionalFormatting sqref="K36:L36">
    <cfRule type="cellIs" dxfId="8" priority="11" operator="greaterThan">
      <formula>RAID_TIME_END</formula>
    </cfRule>
  </conditionalFormatting>
  <conditionalFormatting sqref="B37">
    <cfRule type="dataBar" priority="10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7">
    <cfRule type="dataBar" priority="9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K37:L37">
    <cfRule type="cellIs" dxfId="7" priority="8" operator="greaterThan">
      <formula>RAID_TIME_END</formula>
    </cfRule>
  </conditionalFormatting>
  <conditionalFormatting sqref="K38:L38">
    <cfRule type="cellIs" dxfId="6" priority="7" operator="greaterThan">
      <formula>RAID_TIME_END</formula>
    </cfRule>
  </conditionalFormatting>
  <conditionalFormatting sqref="K39:L39">
    <cfRule type="cellIs" dxfId="5" priority="6" operator="greaterThan">
      <formula>RAID_TIME_END</formula>
    </cfRule>
  </conditionalFormatting>
  <conditionalFormatting sqref="K40:L40">
    <cfRule type="cellIs" dxfId="4" priority="5" operator="greaterThan">
      <formula>RAID_TIME_END</formula>
    </cfRule>
  </conditionalFormatting>
  <conditionalFormatting sqref="K41:L41">
    <cfRule type="cellIs" dxfId="3" priority="4" operator="greaterThan">
      <formula>RAID_TIME_END</formula>
    </cfRule>
  </conditionalFormatting>
  <conditionalFormatting sqref="K42:L42">
    <cfRule type="cellIs" dxfId="2" priority="3" operator="greaterThan">
      <formula>RAID_TIME_END</formula>
    </cfRule>
  </conditionalFormatting>
  <conditionalFormatting sqref="K43:L43">
    <cfRule type="cellIs" dxfId="1" priority="2" operator="greaterThan">
      <formula>RAID_TIME_END</formula>
    </cfRule>
  </conditionalFormatting>
  <conditionalFormatting sqref="K44:L44">
    <cfRule type="cellIs" dxfId="0" priority="1" operator="greaterThan">
      <formula>RAID_TIME_END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908A6850-7554-40D8-BEA2-7C68B02FD61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F5:F6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B10:B36 B38:B900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C10:C36 C38:C900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G101"/>
  <sheetViews>
    <sheetView workbookViewId="0" xr3:uid="{40E40DA1-7451-5A08-8006-E67175B1F7CF}">
      <selection activeCell="B2" sqref="B2:B17"/>
    </sheetView>
  </sheetViews>
  <sheetFormatPr defaultColWidth="9.14453125" defaultRowHeight="15" x14ac:dyDescent="0.2"/>
  <cols>
    <col min="1" max="2" width="9.14453125" style="20"/>
    <col min="3" max="3" width="9.14453125" style="35"/>
    <col min="4" max="16384" width="9.14453125" style="20"/>
  </cols>
  <sheetData>
    <row r="1" spans="1:7" x14ac:dyDescent="0.2">
      <c r="A1" s="20" t="s">
        <v>63</v>
      </c>
      <c r="B1" s="20" t="s">
        <v>29</v>
      </c>
      <c r="C1" s="35" t="s">
        <v>32</v>
      </c>
      <c r="E1" s="20" t="s">
        <v>50</v>
      </c>
      <c r="F1" s="20" t="s">
        <v>73</v>
      </c>
      <c r="G1" s="20" t="s">
        <v>74</v>
      </c>
    </row>
    <row r="2" spans="1:7" x14ac:dyDescent="0.2">
      <c r="A2" s="20">
        <v>15850</v>
      </c>
      <c r="B2" s="20">
        <v>7</v>
      </c>
      <c r="C2" s="35">
        <f>IF(ISBLANK(A2),"",A2/B2)</f>
        <v>2264.2857142857142</v>
      </c>
      <c r="E2" s="21">
        <v>1</v>
      </c>
      <c r="F2" s="21">
        <v>240</v>
      </c>
      <c r="G2" s="21">
        <v>0</v>
      </c>
    </row>
    <row r="3" spans="1:7" x14ac:dyDescent="0.2">
      <c r="A3" s="20">
        <v>46200</v>
      </c>
      <c r="B3" s="20">
        <v>19</v>
      </c>
      <c r="C3" s="35">
        <f t="shared" ref="C3:C66" si="0">IF(ISBLANK(A3),"",A3/B3)</f>
        <v>2431.5789473684213</v>
      </c>
      <c r="E3" s="21">
        <v>2</v>
      </c>
      <c r="F3" s="21">
        <v>300</v>
      </c>
      <c r="G3" s="21">
        <v>240</v>
      </c>
    </row>
    <row r="4" spans="1:7" x14ac:dyDescent="0.2">
      <c r="A4" s="20">
        <v>115100</v>
      </c>
      <c r="B4" s="20">
        <v>36</v>
      </c>
      <c r="C4" s="35">
        <f t="shared" si="0"/>
        <v>3197.2222222222222</v>
      </c>
      <c r="E4" s="21">
        <v>3</v>
      </c>
      <c r="F4" s="21">
        <v>360</v>
      </c>
      <c r="G4" s="21">
        <v>540</v>
      </c>
    </row>
    <row r="5" spans="1:7" x14ac:dyDescent="0.2">
      <c r="A5" s="20">
        <v>14900</v>
      </c>
      <c r="B5" s="20">
        <v>6</v>
      </c>
      <c r="C5" s="35">
        <f t="shared" si="0"/>
        <v>2483.3333333333335</v>
      </c>
      <c r="E5" s="21">
        <v>4</v>
      </c>
      <c r="F5" s="21">
        <v>420</v>
      </c>
      <c r="G5" s="21">
        <v>900</v>
      </c>
    </row>
    <row r="6" spans="1:7" x14ac:dyDescent="0.2">
      <c r="A6" s="20">
        <v>149500</v>
      </c>
      <c r="B6" s="20">
        <v>57</v>
      </c>
      <c r="C6" s="35">
        <f t="shared" si="0"/>
        <v>2622.8070175438597</v>
      </c>
      <c r="E6" s="21">
        <v>5</v>
      </c>
      <c r="F6" s="21">
        <v>480</v>
      </c>
      <c r="G6" s="21">
        <v>1320</v>
      </c>
    </row>
    <row r="7" spans="1:7" x14ac:dyDescent="0.2">
      <c r="A7" s="20">
        <v>14300</v>
      </c>
      <c r="B7" s="20">
        <v>5</v>
      </c>
      <c r="C7" s="35">
        <f t="shared" si="0"/>
        <v>2860</v>
      </c>
      <c r="E7" s="21">
        <v>6</v>
      </c>
      <c r="F7" s="21">
        <v>540</v>
      </c>
      <c r="G7" s="21">
        <v>1800</v>
      </c>
    </row>
    <row r="8" spans="1:7" x14ac:dyDescent="0.2">
      <c r="A8" s="20">
        <v>6400</v>
      </c>
      <c r="B8" s="20">
        <v>2</v>
      </c>
      <c r="C8" s="35">
        <f t="shared" si="0"/>
        <v>3200</v>
      </c>
      <c r="E8" s="21">
        <v>7</v>
      </c>
      <c r="F8" s="21">
        <v>600</v>
      </c>
      <c r="G8" s="21">
        <v>2340</v>
      </c>
    </row>
    <row r="9" spans="1:7" x14ac:dyDescent="0.2">
      <c r="A9" s="20">
        <v>364050</v>
      </c>
      <c r="B9" s="20">
        <v>145</v>
      </c>
      <c r="C9" s="35">
        <f t="shared" si="0"/>
        <v>2510.6896551724139</v>
      </c>
      <c r="E9" s="21">
        <v>8</v>
      </c>
      <c r="F9" s="21">
        <v>660</v>
      </c>
      <c r="G9" s="21">
        <v>2940</v>
      </c>
    </row>
    <row r="10" spans="1:7" x14ac:dyDescent="0.2">
      <c r="A10" s="20">
        <v>17400</v>
      </c>
      <c r="B10" s="20">
        <v>7</v>
      </c>
      <c r="C10" s="35">
        <f t="shared" si="0"/>
        <v>2485.7142857142858</v>
      </c>
      <c r="E10" s="21">
        <v>9</v>
      </c>
      <c r="F10" s="21">
        <v>720</v>
      </c>
      <c r="G10" s="21">
        <v>3600</v>
      </c>
    </row>
    <row r="11" spans="1:7" x14ac:dyDescent="0.2">
      <c r="A11" s="20">
        <v>12300</v>
      </c>
      <c r="B11" s="20">
        <v>5</v>
      </c>
      <c r="C11" s="35">
        <f t="shared" si="0"/>
        <v>2460</v>
      </c>
      <c r="E11" s="21">
        <v>10</v>
      </c>
      <c r="F11" s="21">
        <v>780</v>
      </c>
      <c r="G11" s="21">
        <v>4320</v>
      </c>
    </row>
    <row r="12" spans="1:7" x14ac:dyDescent="0.2">
      <c r="A12" s="20">
        <v>13150</v>
      </c>
      <c r="B12" s="20">
        <v>5</v>
      </c>
      <c r="C12" s="35">
        <f t="shared" si="0"/>
        <v>2630</v>
      </c>
      <c r="E12" s="21">
        <v>11</v>
      </c>
      <c r="F12" s="21">
        <v>900</v>
      </c>
      <c r="G12" s="21">
        <v>5100</v>
      </c>
    </row>
    <row r="13" spans="1:7" x14ac:dyDescent="0.2">
      <c r="A13" s="20">
        <v>62700</v>
      </c>
      <c r="B13" s="20">
        <v>26</v>
      </c>
      <c r="C13" s="35">
        <f t="shared" si="0"/>
        <v>2411.5384615384614</v>
      </c>
      <c r="E13" s="21">
        <v>12</v>
      </c>
      <c r="F13" s="21">
        <v>1020</v>
      </c>
      <c r="G13" s="21">
        <v>6000</v>
      </c>
    </row>
    <row r="14" spans="1:7" x14ac:dyDescent="0.2">
      <c r="A14" s="20">
        <v>13800</v>
      </c>
      <c r="B14" s="20">
        <v>4</v>
      </c>
      <c r="C14" s="35">
        <f t="shared" si="0"/>
        <v>3450</v>
      </c>
      <c r="E14" s="21">
        <v>13</v>
      </c>
      <c r="F14" s="21">
        <v>1140</v>
      </c>
      <c r="G14" s="21">
        <v>7020</v>
      </c>
    </row>
    <row r="15" spans="1:7" x14ac:dyDescent="0.2">
      <c r="A15" s="20">
        <v>255900</v>
      </c>
      <c r="B15" s="20">
        <v>88</v>
      </c>
      <c r="C15" s="35">
        <f t="shared" si="0"/>
        <v>2907.9545454545455</v>
      </c>
      <c r="E15" s="21">
        <v>14</v>
      </c>
      <c r="F15" s="21">
        <v>1260</v>
      </c>
      <c r="G15" s="21">
        <v>8160</v>
      </c>
    </row>
    <row r="16" spans="1:7" x14ac:dyDescent="0.2">
      <c r="A16" s="20">
        <v>43350</v>
      </c>
      <c r="B16" s="20">
        <v>15</v>
      </c>
      <c r="C16" s="35">
        <f t="shared" si="0"/>
        <v>2890</v>
      </c>
      <c r="E16" s="21">
        <v>15</v>
      </c>
      <c r="F16" s="21">
        <v>1380</v>
      </c>
      <c r="G16" s="21">
        <v>9420</v>
      </c>
    </row>
    <row r="17" spans="1:7" x14ac:dyDescent="0.2">
      <c r="A17" s="20">
        <v>39650</v>
      </c>
      <c r="B17" s="20">
        <v>16</v>
      </c>
      <c r="C17" s="35">
        <f t="shared" si="0"/>
        <v>2478.125</v>
      </c>
      <c r="E17" s="21">
        <v>16</v>
      </c>
      <c r="F17" s="21">
        <v>1500</v>
      </c>
      <c r="G17" s="21">
        <v>10800</v>
      </c>
    </row>
    <row r="18" spans="1:7" x14ac:dyDescent="0.2">
      <c r="C18" s="35" t="str">
        <f t="shared" si="0"/>
        <v/>
      </c>
      <c r="E18" s="21">
        <v>17</v>
      </c>
      <c r="F18" s="21">
        <v>1620</v>
      </c>
      <c r="G18" s="21">
        <v>12300</v>
      </c>
    </row>
    <row r="19" spans="1:7" x14ac:dyDescent="0.2">
      <c r="C19" s="35" t="str">
        <f t="shared" si="0"/>
        <v/>
      </c>
      <c r="E19" s="21">
        <v>18</v>
      </c>
      <c r="F19" s="21">
        <v>1740</v>
      </c>
      <c r="G19" s="21">
        <v>13920</v>
      </c>
    </row>
    <row r="20" spans="1:7" x14ac:dyDescent="0.2">
      <c r="C20" s="35" t="str">
        <f t="shared" si="0"/>
        <v/>
      </c>
      <c r="E20" s="21">
        <v>19</v>
      </c>
      <c r="F20" s="21">
        <v>1860</v>
      </c>
      <c r="G20" s="21">
        <v>15660</v>
      </c>
    </row>
    <row r="21" spans="1:7" x14ac:dyDescent="0.2">
      <c r="C21" s="35" t="str">
        <f t="shared" si="0"/>
        <v/>
      </c>
      <c r="E21" s="21">
        <v>20</v>
      </c>
      <c r="F21" s="21">
        <v>1980</v>
      </c>
      <c r="G21" s="21">
        <v>17520</v>
      </c>
    </row>
    <row r="22" spans="1:7" x14ac:dyDescent="0.2">
      <c r="C22" s="35" t="str">
        <f t="shared" si="0"/>
        <v/>
      </c>
      <c r="E22" s="21">
        <v>21</v>
      </c>
      <c r="F22" s="21">
        <v>2160</v>
      </c>
      <c r="G22" s="21">
        <v>19500</v>
      </c>
    </row>
    <row r="23" spans="1:7" x14ac:dyDescent="0.2">
      <c r="C23" s="35" t="str">
        <f t="shared" si="0"/>
        <v/>
      </c>
      <c r="E23" s="21">
        <v>22</v>
      </c>
      <c r="F23" s="21">
        <v>2340</v>
      </c>
      <c r="G23" s="21">
        <v>21660</v>
      </c>
    </row>
    <row r="24" spans="1:7" x14ac:dyDescent="0.2">
      <c r="C24" s="35" t="str">
        <f t="shared" si="0"/>
        <v/>
      </c>
      <c r="E24" s="21">
        <v>23</v>
      </c>
      <c r="F24" s="21">
        <v>2520</v>
      </c>
      <c r="G24" s="21">
        <v>24000</v>
      </c>
    </row>
    <row r="25" spans="1:7" x14ac:dyDescent="0.2">
      <c r="C25" s="35" t="str">
        <f t="shared" si="0"/>
        <v/>
      </c>
      <c r="E25" s="21">
        <v>24</v>
      </c>
      <c r="F25" s="21">
        <v>2700</v>
      </c>
      <c r="G25" s="21">
        <v>26520</v>
      </c>
    </row>
    <row r="26" spans="1:7" x14ac:dyDescent="0.2">
      <c r="C26" s="35" t="str">
        <f t="shared" si="0"/>
        <v/>
      </c>
      <c r="E26" s="21">
        <v>25</v>
      </c>
      <c r="F26" s="21">
        <v>2880</v>
      </c>
      <c r="G26" s="21">
        <v>29220</v>
      </c>
    </row>
    <row r="27" spans="1:7" x14ac:dyDescent="0.2">
      <c r="C27" s="35" t="str">
        <f t="shared" si="0"/>
        <v/>
      </c>
      <c r="E27" s="21">
        <v>26</v>
      </c>
      <c r="F27" s="21">
        <v>3060</v>
      </c>
      <c r="G27" s="21">
        <v>32100</v>
      </c>
    </row>
    <row r="28" spans="1:7" x14ac:dyDescent="0.2">
      <c r="C28" s="35" t="str">
        <f t="shared" si="0"/>
        <v/>
      </c>
      <c r="E28" s="21">
        <v>27</v>
      </c>
      <c r="F28" s="21">
        <v>3240</v>
      </c>
      <c r="G28" s="21">
        <v>35160</v>
      </c>
    </row>
    <row r="29" spans="1:7" x14ac:dyDescent="0.2">
      <c r="C29" s="35" t="str">
        <f t="shared" si="0"/>
        <v/>
      </c>
      <c r="E29" s="21">
        <v>28</v>
      </c>
      <c r="F29" s="21">
        <v>3420</v>
      </c>
      <c r="G29" s="21">
        <v>38400</v>
      </c>
    </row>
    <row r="30" spans="1:7" x14ac:dyDescent="0.2">
      <c r="C30" s="35" t="str">
        <f t="shared" si="0"/>
        <v/>
      </c>
      <c r="E30" s="21">
        <v>29</v>
      </c>
      <c r="F30" s="21">
        <v>3600</v>
      </c>
      <c r="G30" s="21">
        <v>41820</v>
      </c>
    </row>
    <row r="31" spans="1:7" x14ac:dyDescent="0.2">
      <c r="C31" s="35" t="str">
        <f t="shared" si="0"/>
        <v/>
      </c>
      <c r="E31" s="21">
        <v>30</v>
      </c>
      <c r="F31" s="21">
        <v>3780</v>
      </c>
      <c r="G31" s="21">
        <v>45420</v>
      </c>
    </row>
    <row r="32" spans="1:7" x14ac:dyDescent="0.2">
      <c r="C32" s="35" t="str">
        <f t="shared" si="0"/>
        <v/>
      </c>
      <c r="E32" s="21">
        <v>31</v>
      </c>
      <c r="F32" s="21">
        <v>4020</v>
      </c>
      <c r="G32" s="21">
        <v>49200</v>
      </c>
    </row>
    <row r="33" spans="3:7" x14ac:dyDescent="0.2">
      <c r="C33" s="35" t="str">
        <f t="shared" si="0"/>
        <v/>
      </c>
      <c r="E33" s="21">
        <v>32</v>
      </c>
      <c r="F33" s="21">
        <v>4260</v>
      </c>
      <c r="G33" s="21">
        <v>53220</v>
      </c>
    </row>
    <row r="34" spans="3:7" x14ac:dyDescent="0.2">
      <c r="C34" s="35" t="str">
        <f t="shared" si="0"/>
        <v/>
      </c>
      <c r="E34" s="21">
        <v>33</v>
      </c>
      <c r="F34" s="21">
        <v>4500</v>
      </c>
      <c r="G34" s="21">
        <v>57480</v>
      </c>
    </row>
    <row r="35" spans="3:7" x14ac:dyDescent="0.2">
      <c r="C35" s="35" t="str">
        <f t="shared" si="0"/>
        <v/>
      </c>
      <c r="E35" s="21">
        <v>34</v>
      </c>
      <c r="F35" s="21">
        <v>4740</v>
      </c>
      <c r="G35" s="21">
        <v>61980</v>
      </c>
    </row>
    <row r="36" spans="3:7" x14ac:dyDescent="0.2">
      <c r="C36" s="35" t="str">
        <f t="shared" si="0"/>
        <v/>
      </c>
      <c r="E36" s="21">
        <v>35</v>
      </c>
      <c r="F36" s="21">
        <v>4980</v>
      </c>
      <c r="G36" s="21">
        <v>66720</v>
      </c>
    </row>
    <row r="37" spans="3:7" x14ac:dyDescent="0.2">
      <c r="C37" s="35" t="str">
        <f t="shared" si="0"/>
        <v/>
      </c>
      <c r="E37" s="21">
        <v>36</v>
      </c>
      <c r="F37" s="21">
        <v>5220</v>
      </c>
      <c r="G37" s="21">
        <v>71700</v>
      </c>
    </row>
    <row r="38" spans="3:7" x14ac:dyDescent="0.2">
      <c r="C38" s="35" t="str">
        <f t="shared" si="0"/>
        <v/>
      </c>
      <c r="E38" s="21">
        <v>37</v>
      </c>
      <c r="F38" s="21">
        <v>5460</v>
      </c>
      <c r="G38" s="21">
        <v>76920</v>
      </c>
    </row>
    <row r="39" spans="3:7" x14ac:dyDescent="0.2">
      <c r="C39" s="35" t="str">
        <f t="shared" si="0"/>
        <v/>
      </c>
      <c r="E39" s="21">
        <v>38</v>
      </c>
      <c r="F39" s="21">
        <v>5700</v>
      </c>
      <c r="G39" s="21">
        <v>82380</v>
      </c>
    </row>
    <row r="40" spans="3:7" x14ac:dyDescent="0.2">
      <c r="C40" s="35" t="str">
        <f t="shared" si="0"/>
        <v/>
      </c>
      <c r="E40" s="21">
        <v>39</v>
      </c>
      <c r="F40" s="21">
        <v>5940</v>
      </c>
      <c r="G40" s="21">
        <v>88080</v>
      </c>
    </row>
    <row r="41" spans="3:7" x14ac:dyDescent="0.2">
      <c r="C41" s="35" t="str">
        <f t="shared" si="0"/>
        <v/>
      </c>
      <c r="E41" s="21">
        <v>40</v>
      </c>
      <c r="F41" s="21">
        <v>6180</v>
      </c>
      <c r="G41" s="21">
        <v>94020</v>
      </c>
    </row>
    <row r="42" spans="3:7" x14ac:dyDescent="0.2">
      <c r="C42" s="35" t="str">
        <f t="shared" si="0"/>
        <v/>
      </c>
      <c r="E42" s="21">
        <v>41</v>
      </c>
      <c r="F42" s="21">
        <v>6480</v>
      </c>
      <c r="G42" s="21">
        <v>100200</v>
      </c>
    </row>
    <row r="43" spans="3:7" x14ac:dyDescent="0.2">
      <c r="C43" s="35" t="str">
        <f t="shared" si="0"/>
        <v/>
      </c>
      <c r="E43" s="21">
        <v>42</v>
      </c>
      <c r="F43" s="21">
        <v>6780</v>
      </c>
      <c r="G43" s="21">
        <v>106680</v>
      </c>
    </row>
    <row r="44" spans="3:7" x14ac:dyDescent="0.2">
      <c r="C44" s="35" t="str">
        <f t="shared" si="0"/>
        <v/>
      </c>
      <c r="E44" s="21">
        <v>43</v>
      </c>
      <c r="F44" s="21">
        <v>7080</v>
      </c>
      <c r="G44" s="21">
        <v>113460</v>
      </c>
    </row>
    <row r="45" spans="3:7" x14ac:dyDescent="0.2">
      <c r="C45" s="35" t="str">
        <f t="shared" si="0"/>
        <v/>
      </c>
      <c r="E45" s="21">
        <v>44</v>
      </c>
      <c r="F45" s="21">
        <v>7380</v>
      </c>
      <c r="G45" s="21">
        <v>120540</v>
      </c>
    </row>
    <row r="46" spans="3:7" x14ac:dyDescent="0.2">
      <c r="C46" s="35" t="str">
        <f t="shared" si="0"/>
        <v/>
      </c>
      <c r="E46" s="21">
        <v>45</v>
      </c>
      <c r="F46" s="21">
        <v>7680</v>
      </c>
      <c r="G46" s="21">
        <v>127920</v>
      </c>
    </row>
    <row r="47" spans="3:7" x14ac:dyDescent="0.2">
      <c r="C47" s="35" t="str">
        <f t="shared" si="0"/>
        <v/>
      </c>
      <c r="E47" s="21">
        <v>46</v>
      </c>
      <c r="F47" s="21">
        <v>7980</v>
      </c>
      <c r="G47" s="21">
        <v>135600</v>
      </c>
    </row>
    <row r="48" spans="3:7" x14ac:dyDescent="0.2">
      <c r="C48" s="35" t="str">
        <f t="shared" si="0"/>
        <v/>
      </c>
      <c r="E48" s="21">
        <v>47</v>
      </c>
      <c r="F48" s="21">
        <v>8280</v>
      </c>
      <c r="G48" s="21">
        <v>143580</v>
      </c>
    </row>
    <row r="49" spans="3:7" x14ac:dyDescent="0.2">
      <c r="C49" s="35" t="str">
        <f t="shared" si="0"/>
        <v/>
      </c>
      <c r="E49" s="21">
        <v>48</v>
      </c>
      <c r="F49" s="21">
        <v>8580</v>
      </c>
      <c r="G49" s="21">
        <v>151860</v>
      </c>
    </row>
    <row r="50" spans="3:7" x14ac:dyDescent="0.2">
      <c r="C50" s="35" t="str">
        <f t="shared" si="0"/>
        <v/>
      </c>
      <c r="E50" s="21">
        <v>49</v>
      </c>
      <c r="F50" s="21">
        <v>8880</v>
      </c>
      <c r="G50" s="21">
        <v>160440</v>
      </c>
    </row>
    <row r="51" spans="3:7" x14ac:dyDescent="0.2">
      <c r="C51" s="35" t="str">
        <f t="shared" si="0"/>
        <v/>
      </c>
      <c r="E51" s="21">
        <v>50</v>
      </c>
      <c r="F51" s="21">
        <v>9180</v>
      </c>
      <c r="G51" s="21">
        <v>169320</v>
      </c>
    </row>
    <row r="52" spans="3:7" x14ac:dyDescent="0.2">
      <c r="C52" s="35" t="str">
        <f t="shared" si="0"/>
        <v/>
      </c>
      <c r="E52" s="21">
        <v>51</v>
      </c>
      <c r="F52" s="21">
        <v>9540</v>
      </c>
      <c r="G52" s="21">
        <v>178500</v>
      </c>
    </row>
    <row r="53" spans="3:7" x14ac:dyDescent="0.2">
      <c r="C53" s="35" t="str">
        <f t="shared" si="0"/>
        <v/>
      </c>
      <c r="E53" s="21">
        <v>52</v>
      </c>
      <c r="F53" s="21">
        <v>9900</v>
      </c>
      <c r="G53" s="21">
        <v>188040</v>
      </c>
    </row>
    <row r="54" spans="3:7" x14ac:dyDescent="0.2">
      <c r="C54" s="35" t="str">
        <f t="shared" si="0"/>
        <v/>
      </c>
      <c r="E54" s="21">
        <v>53</v>
      </c>
      <c r="F54" s="21">
        <v>10260</v>
      </c>
      <c r="G54" s="21">
        <v>197940</v>
      </c>
    </row>
    <row r="55" spans="3:7" x14ac:dyDescent="0.2">
      <c r="C55" s="35" t="str">
        <f t="shared" si="0"/>
        <v/>
      </c>
      <c r="E55" s="21">
        <v>54</v>
      </c>
      <c r="F55" s="21">
        <v>10620</v>
      </c>
      <c r="G55" s="21">
        <v>208200</v>
      </c>
    </row>
    <row r="56" spans="3:7" x14ac:dyDescent="0.2">
      <c r="C56" s="35" t="str">
        <f t="shared" si="0"/>
        <v/>
      </c>
      <c r="E56" s="21">
        <v>55</v>
      </c>
      <c r="F56" s="21">
        <v>10980</v>
      </c>
      <c r="G56" s="21">
        <v>218820</v>
      </c>
    </row>
    <row r="57" spans="3:7" x14ac:dyDescent="0.2">
      <c r="C57" s="35" t="str">
        <f t="shared" si="0"/>
        <v/>
      </c>
      <c r="E57" s="21">
        <v>56</v>
      </c>
      <c r="F57" s="21">
        <v>11340</v>
      </c>
      <c r="G57" s="21">
        <v>229800</v>
      </c>
    </row>
    <row r="58" spans="3:7" x14ac:dyDescent="0.2">
      <c r="C58" s="35" t="str">
        <f t="shared" si="0"/>
        <v/>
      </c>
      <c r="E58" s="21">
        <v>57</v>
      </c>
      <c r="F58" s="21">
        <v>11700</v>
      </c>
      <c r="G58" s="21">
        <v>241140</v>
      </c>
    </row>
    <row r="59" spans="3:7" x14ac:dyDescent="0.2">
      <c r="C59" s="35" t="str">
        <f t="shared" si="0"/>
        <v/>
      </c>
      <c r="E59" s="21">
        <v>58</v>
      </c>
      <c r="F59" s="21">
        <v>12060</v>
      </c>
      <c r="G59" s="21">
        <v>252840</v>
      </c>
    </row>
    <row r="60" spans="3:7" x14ac:dyDescent="0.2">
      <c r="C60" s="35" t="str">
        <f t="shared" si="0"/>
        <v/>
      </c>
      <c r="E60" s="21">
        <v>59</v>
      </c>
      <c r="F60" s="21">
        <v>12420</v>
      </c>
      <c r="G60" s="21">
        <v>264900</v>
      </c>
    </row>
    <row r="61" spans="3:7" x14ac:dyDescent="0.2">
      <c r="C61" s="35" t="str">
        <f t="shared" si="0"/>
        <v/>
      </c>
      <c r="E61" s="21">
        <v>60</v>
      </c>
      <c r="F61" s="21">
        <v>12780</v>
      </c>
      <c r="G61" s="21">
        <v>277320</v>
      </c>
    </row>
    <row r="62" spans="3:7" x14ac:dyDescent="0.2">
      <c r="C62" s="35" t="str">
        <f t="shared" si="0"/>
        <v/>
      </c>
      <c r="E62" s="21">
        <v>61</v>
      </c>
      <c r="F62" s="21">
        <v>13230</v>
      </c>
      <c r="G62" s="21">
        <v>290100</v>
      </c>
    </row>
    <row r="63" spans="3:7" x14ac:dyDescent="0.2">
      <c r="C63" s="35" t="str">
        <f t="shared" si="0"/>
        <v/>
      </c>
      <c r="E63" s="21">
        <v>62</v>
      </c>
      <c r="F63" s="21">
        <v>13680</v>
      </c>
      <c r="G63" s="21">
        <v>303330</v>
      </c>
    </row>
    <row r="64" spans="3:7" x14ac:dyDescent="0.2">
      <c r="C64" s="35" t="str">
        <f t="shared" si="0"/>
        <v/>
      </c>
      <c r="E64" s="21">
        <v>63</v>
      </c>
      <c r="F64" s="21">
        <v>14130</v>
      </c>
      <c r="G64" s="21">
        <v>317010</v>
      </c>
    </row>
    <row r="65" spans="3:7" x14ac:dyDescent="0.2">
      <c r="C65" s="35" t="str">
        <f t="shared" si="0"/>
        <v/>
      </c>
      <c r="E65" s="21">
        <v>64</v>
      </c>
      <c r="F65" s="21">
        <v>14580</v>
      </c>
      <c r="G65" s="21">
        <v>331140</v>
      </c>
    </row>
    <row r="66" spans="3:7" x14ac:dyDescent="0.2">
      <c r="C66" s="35" t="str">
        <f t="shared" si="0"/>
        <v/>
      </c>
      <c r="E66" s="21">
        <v>65</v>
      </c>
      <c r="F66" s="21">
        <v>15030</v>
      </c>
      <c r="G66" s="21">
        <v>345720</v>
      </c>
    </row>
    <row r="67" spans="3:7" x14ac:dyDescent="0.2">
      <c r="C67" s="35" t="str">
        <f t="shared" ref="C67:C101" si="1">IF(ISBLANK(A67),"",A67/B67)</f>
        <v/>
      </c>
      <c r="E67" s="21">
        <v>66</v>
      </c>
      <c r="F67" s="21">
        <v>15480</v>
      </c>
      <c r="G67" s="21">
        <v>360750</v>
      </c>
    </row>
    <row r="68" spans="3:7" x14ac:dyDescent="0.2">
      <c r="C68" s="35" t="str">
        <f t="shared" si="1"/>
        <v/>
      </c>
      <c r="E68" s="21">
        <v>67</v>
      </c>
      <c r="F68" s="21">
        <v>15930</v>
      </c>
      <c r="G68" s="21">
        <v>376230</v>
      </c>
    </row>
    <row r="69" spans="3:7" x14ac:dyDescent="0.2">
      <c r="C69" s="35" t="str">
        <f t="shared" si="1"/>
        <v/>
      </c>
      <c r="E69" s="21">
        <v>68</v>
      </c>
      <c r="F69" s="21">
        <v>16380</v>
      </c>
      <c r="G69" s="21">
        <v>392160</v>
      </c>
    </row>
    <row r="70" spans="3:7" x14ac:dyDescent="0.2">
      <c r="C70" s="35" t="str">
        <f t="shared" si="1"/>
        <v/>
      </c>
      <c r="E70" s="21">
        <v>69</v>
      </c>
      <c r="F70" s="21">
        <v>16830</v>
      </c>
      <c r="G70" s="21">
        <v>408540</v>
      </c>
    </row>
    <row r="71" spans="3:7" x14ac:dyDescent="0.2">
      <c r="C71" s="35" t="str">
        <f t="shared" si="1"/>
        <v/>
      </c>
      <c r="E71" s="21">
        <v>70</v>
      </c>
      <c r="F71" s="21">
        <v>17280</v>
      </c>
      <c r="G71" s="21">
        <v>425370</v>
      </c>
    </row>
    <row r="72" spans="3:7" x14ac:dyDescent="0.2">
      <c r="C72" s="35" t="str">
        <f t="shared" si="1"/>
        <v/>
      </c>
      <c r="E72" s="21">
        <v>71</v>
      </c>
      <c r="F72" s="21">
        <v>17880</v>
      </c>
      <c r="G72" s="21">
        <v>442650</v>
      </c>
    </row>
    <row r="73" spans="3:7" x14ac:dyDescent="0.2">
      <c r="C73" s="35" t="str">
        <f t="shared" si="1"/>
        <v/>
      </c>
      <c r="E73" s="21">
        <v>72</v>
      </c>
      <c r="F73" s="21">
        <v>18480</v>
      </c>
      <c r="G73" s="21">
        <v>460530</v>
      </c>
    </row>
    <row r="74" spans="3:7" x14ac:dyDescent="0.2">
      <c r="C74" s="35" t="str">
        <f t="shared" si="1"/>
        <v/>
      </c>
      <c r="E74" s="21">
        <v>73</v>
      </c>
      <c r="F74" s="21">
        <v>19080</v>
      </c>
      <c r="G74" s="21">
        <v>479010</v>
      </c>
    </row>
    <row r="75" spans="3:7" x14ac:dyDescent="0.2">
      <c r="C75" s="35" t="str">
        <f t="shared" si="1"/>
        <v/>
      </c>
      <c r="E75" s="21">
        <v>74</v>
      </c>
      <c r="F75" s="21">
        <v>19680</v>
      </c>
      <c r="G75" s="21">
        <v>498090</v>
      </c>
    </row>
    <row r="76" spans="3:7" x14ac:dyDescent="0.2">
      <c r="C76" s="35" t="str">
        <f t="shared" si="1"/>
        <v/>
      </c>
      <c r="E76" s="21">
        <v>75</v>
      </c>
      <c r="F76" s="21">
        <v>20280</v>
      </c>
      <c r="G76" s="21">
        <v>517770</v>
      </c>
    </row>
    <row r="77" spans="3:7" x14ac:dyDescent="0.2">
      <c r="C77" s="35" t="str">
        <f t="shared" si="1"/>
        <v/>
      </c>
      <c r="E77" s="21">
        <v>76</v>
      </c>
      <c r="F77" s="21">
        <v>20880</v>
      </c>
      <c r="G77" s="21">
        <v>538050</v>
      </c>
    </row>
    <row r="78" spans="3:7" x14ac:dyDescent="0.2">
      <c r="C78" s="35" t="str">
        <f t="shared" si="1"/>
        <v/>
      </c>
      <c r="E78" s="21">
        <v>77</v>
      </c>
      <c r="F78" s="21">
        <v>21480</v>
      </c>
      <c r="G78" s="21">
        <v>558930</v>
      </c>
    </row>
    <row r="79" spans="3:7" x14ac:dyDescent="0.2">
      <c r="C79" s="35" t="str">
        <f t="shared" si="1"/>
        <v/>
      </c>
      <c r="E79" s="21">
        <v>78</v>
      </c>
      <c r="F79" s="21">
        <v>22080</v>
      </c>
      <c r="G79" s="21">
        <v>580410</v>
      </c>
    </row>
    <row r="80" spans="3:7" x14ac:dyDescent="0.2">
      <c r="C80" s="35" t="str">
        <f t="shared" si="1"/>
        <v/>
      </c>
      <c r="E80" s="21">
        <v>79</v>
      </c>
      <c r="F80" s="21">
        <v>22680</v>
      </c>
      <c r="G80" s="21">
        <v>602490</v>
      </c>
    </row>
    <row r="81" spans="3:7" x14ac:dyDescent="0.2">
      <c r="C81" s="35" t="str">
        <f t="shared" si="1"/>
        <v/>
      </c>
      <c r="E81" s="21">
        <v>80</v>
      </c>
      <c r="F81" s="21">
        <v>23280</v>
      </c>
      <c r="G81" s="21">
        <v>625170</v>
      </c>
    </row>
    <row r="82" spans="3:7" x14ac:dyDescent="0.2">
      <c r="C82" s="35" t="str">
        <f t="shared" si="1"/>
        <v/>
      </c>
      <c r="E82" s="21">
        <v>81</v>
      </c>
      <c r="F82" s="21">
        <v>24030</v>
      </c>
      <c r="G82" s="21">
        <v>648450</v>
      </c>
    </row>
    <row r="83" spans="3:7" x14ac:dyDescent="0.2">
      <c r="C83" s="35" t="str">
        <f t="shared" si="1"/>
        <v/>
      </c>
      <c r="E83" s="21">
        <v>82</v>
      </c>
      <c r="F83" s="21">
        <v>24780</v>
      </c>
      <c r="G83" s="21">
        <v>672480</v>
      </c>
    </row>
    <row r="84" spans="3:7" x14ac:dyDescent="0.2">
      <c r="C84" s="35" t="str">
        <f t="shared" si="1"/>
        <v/>
      </c>
      <c r="E84" s="21">
        <v>83</v>
      </c>
      <c r="F84" s="21">
        <v>25530</v>
      </c>
      <c r="G84" s="21">
        <v>697260</v>
      </c>
    </row>
    <row r="85" spans="3:7" x14ac:dyDescent="0.2">
      <c r="C85" s="35" t="str">
        <f t="shared" si="1"/>
        <v/>
      </c>
      <c r="E85" s="21">
        <v>84</v>
      </c>
      <c r="F85" s="21">
        <v>26280</v>
      </c>
      <c r="G85" s="21">
        <v>722790</v>
      </c>
    </row>
    <row r="86" spans="3:7" x14ac:dyDescent="0.2">
      <c r="C86" s="35" t="str">
        <f t="shared" si="1"/>
        <v/>
      </c>
      <c r="E86" s="21">
        <v>85</v>
      </c>
      <c r="F86" s="21">
        <v>27030</v>
      </c>
      <c r="G86" s="21">
        <v>749070</v>
      </c>
    </row>
    <row r="87" spans="3:7" x14ac:dyDescent="0.2">
      <c r="C87" s="35" t="str">
        <f t="shared" si="1"/>
        <v/>
      </c>
      <c r="E87" s="21">
        <v>86</v>
      </c>
      <c r="F87" s="21">
        <v>27780</v>
      </c>
      <c r="G87" s="21">
        <v>776100</v>
      </c>
    </row>
    <row r="88" spans="3:7" x14ac:dyDescent="0.2">
      <c r="C88" s="35" t="str">
        <f t="shared" si="1"/>
        <v/>
      </c>
      <c r="E88" s="21">
        <v>87</v>
      </c>
      <c r="F88" s="21">
        <v>28530</v>
      </c>
      <c r="G88" s="21">
        <v>803880</v>
      </c>
    </row>
    <row r="89" spans="3:7" x14ac:dyDescent="0.2">
      <c r="C89" s="35" t="str">
        <f t="shared" si="1"/>
        <v/>
      </c>
      <c r="E89" s="21">
        <v>88</v>
      </c>
      <c r="F89" s="21">
        <v>29280</v>
      </c>
      <c r="G89" s="21">
        <v>832410</v>
      </c>
    </row>
    <row r="90" spans="3:7" x14ac:dyDescent="0.2">
      <c r="C90" s="35" t="str">
        <f t="shared" si="1"/>
        <v/>
      </c>
      <c r="E90" s="21">
        <v>89</v>
      </c>
      <c r="F90" s="21">
        <v>30030</v>
      </c>
      <c r="G90" s="21">
        <v>861690</v>
      </c>
    </row>
    <row r="91" spans="3:7" x14ac:dyDescent="0.2">
      <c r="C91" s="35" t="str">
        <f t="shared" si="1"/>
        <v/>
      </c>
      <c r="E91" s="21">
        <v>90</v>
      </c>
      <c r="F91" s="21">
        <v>30780</v>
      </c>
      <c r="G91" s="21">
        <v>891720</v>
      </c>
    </row>
    <row r="92" spans="3:7" x14ac:dyDescent="0.2">
      <c r="C92" s="35" t="str">
        <f t="shared" si="1"/>
        <v/>
      </c>
      <c r="E92" s="21">
        <v>91</v>
      </c>
      <c r="F92" s="21">
        <v>31680</v>
      </c>
      <c r="G92" s="21">
        <v>922500</v>
      </c>
    </row>
    <row r="93" spans="3:7" x14ac:dyDescent="0.2">
      <c r="C93" s="35" t="str">
        <f t="shared" si="1"/>
        <v/>
      </c>
      <c r="E93" s="21">
        <v>92</v>
      </c>
      <c r="F93" s="21">
        <v>32580</v>
      </c>
      <c r="G93" s="21">
        <v>954180</v>
      </c>
    </row>
    <row r="94" spans="3:7" x14ac:dyDescent="0.2">
      <c r="C94" s="35" t="str">
        <f t="shared" si="1"/>
        <v/>
      </c>
      <c r="E94" s="21">
        <v>93</v>
      </c>
      <c r="F94" s="21">
        <v>33480</v>
      </c>
      <c r="G94" s="21">
        <v>986760</v>
      </c>
    </row>
    <row r="95" spans="3:7" x14ac:dyDescent="0.2">
      <c r="C95" s="35" t="str">
        <f t="shared" si="1"/>
        <v/>
      </c>
      <c r="E95" s="21">
        <v>94</v>
      </c>
      <c r="F95" s="21">
        <v>34380</v>
      </c>
      <c r="G95" s="21">
        <v>1020240</v>
      </c>
    </row>
    <row r="96" spans="3:7" x14ac:dyDescent="0.2">
      <c r="C96" s="35" t="str">
        <f t="shared" si="1"/>
        <v/>
      </c>
      <c r="E96" s="21">
        <v>95</v>
      </c>
      <c r="F96" s="21">
        <v>35280</v>
      </c>
      <c r="G96" s="21">
        <v>1054620</v>
      </c>
    </row>
    <row r="97" spans="3:7" x14ac:dyDescent="0.2">
      <c r="C97" s="35" t="str">
        <f t="shared" si="1"/>
        <v/>
      </c>
      <c r="E97" s="21">
        <v>96</v>
      </c>
      <c r="F97" s="21">
        <v>36180</v>
      </c>
      <c r="G97" s="21">
        <v>1089900</v>
      </c>
    </row>
    <row r="98" spans="3:7" x14ac:dyDescent="0.2">
      <c r="C98" s="35" t="str">
        <f t="shared" si="1"/>
        <v/>
      </c>
      <c r="E98" s="21">
        <v>97</v>
      </c>
      <c r="F98" s="21">
        <v>37080</v>
      </c>
      <c r="G98" s="21">
        <v>1126080</v>
      </c>
    </row>
    <row r="99" spans="3:7" x14ac:dyDescent="0.2">
      <c r="C99" s="35" t="str">
        <f t="shared" si="1"/>
        <v/>
      </c>
      <c r="E99" s="21">
        <v>98</v>
      </c>
      <c r="F99" s="21">
        <v>37980</v>
      </c>
      <c r="G99" s="21">
        <v>1163160</v>
      </c>
    </row>
    <row r="100" spans="3:7" x14ac:dyDescent="0.2">
      <c r="C100" s="35" t="str">
        <f t="shared" si="1"/>
        <v/>
      </c>
      <c r="E100" s="21">
        <v>99</v>
      </c>
      <c r="F100" s="21">
        <v>38880</v>
      </c>
      <c r="G100" s="21">
        <v>1201140</v>
      </c>
    </row>
    <row r="101" spans="3:7" x14ac:dyDescent="0.2">
      <c r="C101" s="35" t="str">
        <f t="shared" si="1"/>
        <v/>
      </c>
      <c r="E101" s="21">
        <v>100</v>
      </c>
      <c r="F101" s="21">
        <v>0</v>
      </c>
      <c r="G101" s="21">
        <v>1240020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theme="4" tint="0.59999389629810485"/>
  </sheetPr>
  <dimension ref="A1:AR33"/>
  <sheetViews>
    <sheetView tabSelected="1" topLeftCell="F1" workbookViewId="0" xr3:uid="{365C4FB4-C4DC-5ADC-94DC-557025A8234B}">
      <selection activeCell="N11" sqref="N11"/>
    </sheetView>
  </sheetViews>
  <sheetFormatPr defaultRowHeight="15" x14ac:dyDescent="0.2"/>
  <cols>
    <col min="1" max="1" width="6.859375" style="102" customWidth="1"/>
    <col min="2" max="2" width="4.83984375" style="242" customWidth="1"/>
    <col min="3" max="3" width="6.859375" style="102" customWidth="1"/>
    <col min="4" max="4" width="4.83984375" style="242" customWidth="1"/>
    <col min="5" max="5" width="4.83984375" style="122" customWidth="1"/>
    <col min="6" max="6" width="6.859375" style="9" customWidth="1"/>
    <col min="7" max="7" width="4.83984375" style="6" customWidth="1"/>
    <col min="8" max="8" width="6.859375" style="103" customWidth="1"/>
    <col min="9" max="9" width="4.83984375" style="249" customWidth="1"/>
    <col min="10" max="10" width="4.83984375" style="123" customWidth="1"/>
    <col min="11" max="11" width="6.859375" style="104" customWidth="1"/>
    <col min="12" max="12" width="4.83984375" style="240" customWidth="1"/>
    <col min="13" max="13" width="6.859375" style="104" customWidth="1"/>
    <col min="14" max="14" width="4.83984375" style="240" customWidth="1"/>
    <col min="15" max="15" width="4.83984375" style="124" customWidth="1"/>
    <col min="16" max="16" width="6.859375" style="105" customWidth="1"/>
    <col min="17" max="17" width="4.83984375" style="238" customWidth="1"/>
    <col min="18" max="18" width="6.859375" style="105" customWidth="1"/>
    <col min="19" max="19" width="4.83984375" style="238" customWidth="1"/>
    <col min="20" max="20" width="4.83984375" style="125" customWidth="1"/>
    <col min="21" max="21" width="6.859375" style="106" customWidth="1"/>
    <col min="22" max="22" width="4.83984375" style="251" customWidth="1"/>
    <col min="23" max="23" width="6.859375" style="106" customWidth="1"/>
    <col min="24" max="24" width="4.83984375" style="251" customWidth="1"/>
    <col min="25" max="25" width="4.83984375" style="126" customWidth="1"/>
    <col min="26" max="26" width="6.859375" style="246" customWidth="1"/>
    <col min="27" max="27" width="4.83984375" style="253" customWidth="1"/>
    <col min="28" max="28" width="4.83984375" style="223" customWidth="1"/>
    <col min="29" max="29" width="6.859375" style="227" customWidth="1"/>
    <col min="30" max="30" width="4.83984375" style="255" customWidth="1"/>
    <col min="31" max="31" width="4.83984375" style="228" customWidth="1"/>
    <col min="32" max="32" width="6.859375" style="235" customWidth="1"/>
    <col min="33" max="33" width="4.83984375" style="257" customWidth="1"/>
    <col min="34" max="34" width="4.83984375" style="236" customWidth="1"/>
    <col min="35" max="35" width="3.62890625" customWidth="1"/>
    <col min="36" max="36" width="4.3046875" style="99" customWidth="1"/>
    <col min="37" max="43" width="5.37890625" style="99" customWidth="1"/>
    <col min="44" max="44" width="9.4140625" style="99" customWidth="1"/>
    <col min="45" max="16381" width="8.609375" style="101"/>
    <col min="16382" max="16384" width="9.14453125" style="101" bestFit="1" customWidth="1"/>
  </cols>
  <sheetData>
    <row r="1" spans="1:44" x14ac:dyDescent="0.2">
      <c r="A1" s="195" t="s">
        <v>109</v>
      </c>
      <c r="B1" s="195"/>
      <c r="C1" s="196" t="s">
        <v>110</v>
      </c>
      <c r="D1" s="196"/>
      <c r="E1" s="195" t="s">
        <v>30</v>
      </c>
      <c r="F1" s="197" t="s">
        <v>109</v>
      </c>
      <c r="G1" s="197"/>
      <c r="H1" s="198" t="s">
        <v>110</v>
      </c>
      <c r="I1" s="198"/>
      <c r="J1" s="197" t="s">
        <v>30</v>
      </c>
      <c r="K1" s="199" t="s">
        <v>109</v>
      </c>
      <c r="L1" s="199"/>
      <c r="M1" s="200" t="s">
        <v>110</v>
      </c>
      <c r="N1" s="200"/>
      <c r="O1" s="199" t="s">
        <v>30</v>
      </c>
      <c r="P1" s="201" t="s">
        <v>109</v>
      </c>
      <c r="Q1" s="201"/>
      <c r="R1" s="202" t="s">
        <v>110</v>
      </c>
      <c r="S1" s="202"/>
      <c r="T1" s="201" t="s">
        <v>30</v>
      </c>
      <c r="U1" s="203" t="s">
        <v>109</v>
      </c>
      <c r="V1" s="203"/>
      <c r="W1" s="204" t="s">
        <v>110</v>
      </c>
      <c r="X1" s="204"/>
      <c r="Y1" s="203" t="s">
        <v>30</v>
      </c>
      <c r="Z1" s="220" t="s">
        <v>110</v>
      </c>
      <c r="AA1" s="220"/>
      <c r="AB1" s="221" t="s">
        <v>30</v>
      </c>
      <c r="AC1" s="224" t="s">
        <v>110</v>
      </c>
      <c r="AD1" s="224"/>
      <c r="AE1" s="225" t="s">
        <v>30</v>
      </c>
      <c r="AF1" s="232" t="s">
        <v>110</v>
      </c>
      <c r="AG1" s="232"/>
      <c r="AH1" s="233" t="s">
        <v>30</v>
      </c>
      <c r="AJ1" s="100" t="s">
        <v>72</v>
      </c>
      <c r="AK1" s="100"/>
      <c r="AL1" s="100"/>
      <c r="AM1" s="100"/>
      <c r="AN1" s="100"/>
      <c r="AO1" s="100"/>
      <c r="AP1" s="100"/>
      <c r="AQ1" s="100"/>
      <c r="AR1" s="100"/>
    </row>
    <row r="2" spans="1:44" x14ac:dyDescent="0.2">
      <c r="A2" s="244" t="s">
        <v>32</v>
      </c>
      <c r="B2" s="247" t="s">
        <v>119</v>
      </c>
      <c r="C2" s="245" t="s">
        <v>32</v>
      </c>
      <c r="D2" s="247" t="s">
        <v>119</v>
      </c>
      <c r="E2" s="195"/>
      <c r="F2" s="243" t="s">
        <v>32</v>
      </c>
      <c r="G2" s="241" t="s">
        <v>119</v>
      </c>
      <c r="H2" s="205" t="s">
        <v>32</v>
      </c>
      <c r="I2" s="248" t="s">
        <v>119</v>
      </c>
      <c r="J2" s="197"/>
      <c r="K2" s="206" t="s">
        <v>32</v>
      </c>
      <c r="L2" s="239" t="s">
        <v>119</v>
      </c>
      <c r="M2" s="206" t="s">
        <v>32</v>
      </c>
      <c r="N2" s="239" t="s">
        <v>119</v>
      </c>
      <c r="O2" s="199"/>
      <c r="P2" s="207" t="s">
        <v>32</v>
      </c>
      <c r="Q2" s="237" t="s">
        <v>119</v>
      </c>
      <c r="R2" s="207" t="s">
        <v>32</v>
      </c>
      <c r="S2" s="237" t="s">
        <v>119</v>
      </c>
      <c r="T2" s="201"/>
      <c r="U2" s="208" t="s">
        <v>32</v>
      </c>
      <c r="V2" s="250" t="s">
        <v>119</v>
      </c>
      <c r="W2" s="208" t="s">
        <v>32</v>
      </c>
      <c r="X2" s="250" t="s">
        <v>119</v>
      </c>
      <c r="Y2" s="203"/>
      <c r="Z2" s="222" t="s">
        <v>32</v>
      </c>
      <c r="AA2" s="252" t="s">
        <v>119</v>
      </c>
      <c r="AB2" s="221"/>
      <c r="AC2" s="226" t="s">
        <v>32</v>
      </c>
      <c r="AD2" s="254" t="s">
        <v>119</v>
      </c>
      <c r="AE2" s="225"/>
      <c r="AF2" s="234" t="s">
        <v>32</v>
      </c>
      <c r="AG2" s="256" t="s">
        <v>119</v>
      </c>
      <c r="AH2" s="233"/>
      <c r="AJ2" s="99" t="s">
        <v>19</v>
      </c>
      <c r="AK2" s="99" t="s">
        <v>18</v>
      </c>
      <c r="AL2" s="99" t="s">
        <v>17</v>
      </c>
      <c r="AM2" s="99" t="s">
        <v>16</v>
      </c>
      <c r="AN2" s="99" t="s">
        <v>15</v>
      </c>
      <c r="AO2" s="99" t="s">
        <v>97</v>
      </c>
      <c r="AP2" s="99" t="s">
        <v>1</v>
      </c>
      <c r="AQ2" s="99" t="s">
        <v>0</v>
      </c>
      <c r="AR2" s="99" t="s">
        <v>25</v>
      </c>
    </row>
    <row r="3" spans="1:44" x14ac:dyDescent="0.2">
      <c r="A3" s="102">
        <f>B3/E3</f>
        <v>0</v>
      </c>
      <c r="B3" s="7"/>
      <c r="C3" s="102">
        <f>D3/E3</f>
        <v>3.5363427697016068</v>
      </c>
      <c r="D3" s="242">
        <v>4622</v>
      </c>
      <c r="E3" s="122">
        <v>1307</v>
      </c>
      <c r="F3" s="9">
        <f>G3/J3</f>
        <v>0</v>
      </c>
      <c r="H3" s="103">
        <f>I3/J3</f>
        <v>3.5274390243902438</v>
      </c>
      <c r="I3" s="249">
        <v>1157</v>
      </c>
      <c r="J3" s="123">
        <v>328</v>
      </c>
      <c r="K3" s="104">
        <f>L3/O3</f>
        <v>0</v>
      </c>
      <c r="M3" s="104">
        <f>N3/O3</f>
        <v>3.5833333333333335</v>
      </c>
      <c r="N3" s="240">
        <v>172</v>
      </c>
      <c r="O3" s="124">
        <v>48</v>
      </c>
      <c r="P3" s="105">
        <f>Q3/T3</f>
        <v>0</v>
      </c>
      <c r="R3" s="105">
        <f>S3/T3</f>
        <v>3.5063291139240507</v>
      </c>
      <c r="S3" s="238">
        <v>554</v>
      </c>
      <c r="T3" s="125">
        <v>158</v>
      </c>
      <c r="U3" s="12">
        <f>V3/Y3</f>
        <v>0</v>
      </c>
      <c r="W3" s="106">
        <f>X3/Y3</f>
        <v>3.547945205479452</v>
      </c>
      <c r="X3" s="251">
        <v>518</v>
      </c>
      <c r="Y3" s="65">
        <v>146</v>
      </c>
      <c r="AJ3" s="99">
        <v>1</v>
      </c>
      <c r="AK3" s="99">
        <v>2380</v>
      </c>
      <c r="AL3" s="99">
        <v>715</v>
      </c>
      <c r="AM3" s="99">
        <v>650</v>
      </c>
      <c r="AN3" s="99">
        <v>1430</v>
      </c>
      <c r="AO3" s="99">
        <v>200</v>
      </c>
      <c r="AP3" s="99">
        <v>3</v>
      </c>
      <c r="AQ3" s="99">
        <v>3</v>
      </c>
      <c r="AR3" s="107">
        <v>25.6875</v>
      </c>
    </row>
    <row r="4" spans="1:44" x14ac:dyDescent="0.2">
      <c r="A4" s="102">
        <f>B4/E4</f>
        <v>0</v>
      </c>
      <c r="B4" s="7"/>
      <c r="C4" s="102">
        <f>D4/E4</f>
        <v>3.4642857142857144</v>
      </c>
      <c r="D4" s="242">
        <v>97</v>
      </c>
      <c r="E4" s="122">
        <v>28</v>
      </c>
      <c r="F4" s="9">
        <f>G4/J4</f>
        <v>0</v>
      </c>
      <c r="H4" s="103">
        <f>I4/J4</f>
        <v>3.625</v>
      </c>
      <c r="I4" s="249">
        <v>58</v>
      </c>
      <c r="J4" s="123">
        <v>16</v>
      </c>
      <c r="K4" s="104">
        <f>L4/O4</f>
        <v>0</v>
      </c>
      <c r="M4" s="104">
        <f>N4/O4</f>
        <v>3.4444444444444446</v>
      </c>
      <c r="N4" s="240">
        <v>93</v>
      </c>
      <c r="O4" s="124">
        <v>27</v>
      </c>
      <c r="P4" s="105">
        <f>Q4/T4</f>
        <v>0</v>
      </c>
      <c r="R4" s="105">
        <f>S4/T4</f>
        <v>3.4966442953020134</v>
      </c>
      <c r="S4" s="238">
        <v>521</v>
      </c>
      <c r="T4" s="125">
        <v>149</v>
      </c>
      <c r="U4" s="12">
        <f>V4/Y4</f>
        <v>0</v>
      </c>
      <c r="W4" s="106">
        <f>X4/Y4</f>
        <v>3.3333333333333335</v>
      </c>
      <c r="X4" s="251">
        <v>10</v>
      </c>
      <c r="Y4" s="65">
        <v>3</v>
      </c>
      <c r="AJ4" s="99">
        <v>2</v>
      </c>
      <c r="AK4" s="99">
        <v>2370</v>
      </c>
      <c r="AL4" s="99">
        <v>715</v>
      </c>
      <c r="AM4" s="99">
        <v>650</v>
      </c>
      <c r="AN4" s="99">
        <v>1430</v>
      </c>
      <c r="AO4" s="99">
        <v>200</v>
      </c>
      <c r="AP4" s="99">
        <v>3.5</v>
      </c>
      <c r="AQ4" s="99">
        <v>3</v>
      </c>
      <c r="AR4" s="107">
        <v>25.666666666666668</v>
      </c>
    </row>
    <row r="5" spans="1:44" x14ac:dyDescent="0.2">
      <c r="A5" s="102">
        <f>B5/E5</f>
        <v>0</v>
      </c>
      <c r="B5" s="7"/>
      <c r="C5" s="102">
        <f>D5/E5</f>
        <v>3.5</v>
      </c>
      <c r="D5" s="242">
        <v>7</v>
      </c>
      <c r="E5" s="122">
        <v>2</v>
      </c>
      <c r="F5" s="9">
        <f>G5/J5</f>
        <v>0</v>
      </c>
      <c r="H5" s="103">
        <f>I5/J5</f>
        <v>3.48</v>
      </c>
      <c r="I5" s="249">
        <v>87</v>
      </c>
      <c r="J5" s="123">
        <v>25</v>
      </c>
      <c r="K5" s="104">
        <f>L5/O5</f>
        <v>0</v>
      </c>
      <c r="M5" s="104">
        <f>N5/O5</f>
        <v>3.3571428571428572</v>
      </c>
      <c r="N5" s="240">
        <v>94</v>
      </c>
      <c r="O5" s="124">
        <v>28</v>
      </c>
      <c r="P5" s="105">
        <f>Q5/T5</f>
        <v>0</v>
      </c>
      <c r="R5" s="105">
        <f>S5/T5</f>
        <v>3.5</v>
      </c>
      <c r="S5" s="238">
        <v>63</v>
      </c>
      <c r="T5" s="125">
        <v>18</v>
      </c>
      <c r="U5" s="12">
        <f>V5/Y5</f>
        <v>0</v>
      </c>
      <c r="W5" s="106">
        <f>X5/Y5</f>
        <v>3.4727272727272727</v>
      </c>
      <c r="X5" s="251">
        <v>191</v>
      </c>
      <c r="Y5" s="65">
        <v>55</v>
      </c>
      <c r="AJ5" s="99">
        <v>3</v>
      </c>
      <c r="AK5" s="99">
        <v>2360</v>
      </c>
      <c r="AL5" s="99">
        <v>715</v>
      </c>
      <c r="AM5" s="99">
        <v>650</v>
      </c>
      <c r="AN5" s="99">
        <v>1430</v>
      </c>
      <c r="AO5" s="99">
        <v>200</v>
      </c>
      <c r="AP5" s="99">
        <v>3.5</v>
      </c>
      <c r="AQ5" s="99">
        <v>3.5</v>
      </c>
      <c r="AR5" s="107">
        <v>25.625</v>
      </c>
    </row>
    <row r="6" spans="1:44" x14ac:dyDescent="0.2">
      <c r="B6" s="7"/>
      <c r="C6" s="102" t="s">
        <v>111</v>
      </c>
      <c r="F6" s="9">
        <f>G6/J6</f>
        <v>0</v>
      </c>
      <c r="H6" s="103">
        <f>I6/J6</f>
        <v>3</v>
      </c>
      <c r="I6" s="249">
        <v>12</v>
      </c>
      <c r="J6" s="123">
        <v>4</v>
      </c>
      <c r="K6" s="104">
        <f>L6/O6</f>
        <v>0</v>
      </c>
      <c r="M6" s="104">
        <f>N6/O6</f>
        <v>3.3157894736842106</v>
      </c>
      <c r="N6" s="240">
        <v>63</v>
      </c>
      <c r="O6" s="124">
        <v>19</v>
      </c>
      <c r="P6" s="105">
        <f>Q6/T6</f>
        <v>0</v>
      </c>
      <c r="R6" s="105">
        <f>S6/T6</f>
        <v>3.5142857142857142</v>
      </c>
      <c r="S6" s="238">
        <v>123</v>
      </c>
      <c r="T6" s="125">
        <v>35</v>
      </c>
      <c r="U6" s="12">
        <f>V6/Y6</f>
        <v>0</v>
      </c>
      <c r="V6" s="3"/>
      <c r="W6" s="106">
        <f>X6/Y6</f>
        <v>3.6</v>
      </c>
      <c r="X6" s="251">
        <v>90</v>
      </c>
      <c r="Y6" s="65">
        <v>25</v>
      </c>
      <c r="AJ6" s="99">
        <v>4</v>
      </c>
      <c r="AK6" s="99">
        <v>2350</v>
      </c>
      <c r="AL6" s="99">
        <v>715</v>
      </c>
      <c r="AM6" s="99">
        <v>650</v>
      </c>
      <c r="AN6" s="99">
        <v>1430</v>
      </c>
      <c r="AO6" s="99">
        <v>200</v>
      </c>
      <c r="AP6" s="99">
        <v>4</v>
      </c>
      <c r="AQ6" s="99">
        <v>3.5</v>
      </c>
      <c r="AR6" s="107">
        <v>25.541666666666668</v>
      </c>
    </row>
    <row r="7" spans="1:44" x14ac:dyDescent="0.2">
      <c r="B7" s="7"/>
      <c r="C7" s="102" t="s">
        <v>111</v>
      </c>
      <c r="F7" s="9">
        <f>G7/J7</f>
        <v>0</v>
      </c>
      <c r="H7" s="103">
        <f>I7/J7</f>
        <v>3.5118110236220472</v>
      </c>
      <c r="I7" s="249">
        <v>446</v>
      </c>
      <c r="J7" s="123">
        <v>127</v>
      </c>
      <c r="K7" s="104">
        <f>L7/O7</f>
        <v>0</v>
      </c>
      <c r="M7" s="104">
        <f>N7/O7</f>
        <v>3.6842105263157894</v>
      </c>
      <c r="N7" s="240">
        <v>70</v>
      </c>
      <c r="O7" s="124">
        <v>19</v>
      </c>
      <c r="P7" s="105">
        <f>Q7/T7</f>
        <v>0</v>
      </c>
      <c r="R7" s="105">
        <f>S7/T7</f>
        <v>3.8181818181818183</v>
      </c>
      <c r="S7" s="238">
        <v>42</v>
      </c>
      <c r="T7" s="125">
        <v>11</v>
      </c>
      <c r="U7" s="12">
        <f>V7/Y7</f>
        <v>0</v>
      </c>
      <c r="W7" s="106">
        <f>X7/Y7</f>
        <v>3.5925925925925926</v>
      </c>
      <c r="X7" s="251">
        <v>194</v>
      </c>
      <c r="Y7" s="126">
        <v>54</v>
      </c>
      <c r="AJ7" s="99">
        <v>5</v>
      </c>
      <c r="AK7" s="99">
        <v>2340</v>
      </c>
      <c r="AL7" s="99">
        <v>715</v>
      </c>
      <c r="AM7" s="99">
        <v>650</v>
      </c>
      <c r="AN7" s="99">
        <v>1430</v>
      </c>
      <c r="AO7" s="99">
        <v>200</v>
      </c>
      <c r="AP7" s="99">
        <v>4</v>
      </c>
      <c r="AQ7" s="99">
        <v>4</v>
      </c>
      <c r="AR7" s="107">
        <v>25.416666666666668</v>
      </c>
    </row>
    <row r="8" spans="1:44" x14ac:dyDescent="0.2">
      <c r="B8" s="7"/>
      <c r="C8" s="102" t="s">
        <v>111</v>
      </c>
      <c r="F8" s="9">
        <f>G8/J8</f>
        <v>0</v>
      </c>
      <c r="H8" s="103">
        <f>I8/J8</f>
        <v>3.4133333333333336</v>
      </c>
      <c r="I8" s="249">
        <v>256</v>
      </c>
      <c r="J8" s="123">
        <v>75</v>
      </c>
      <c r="K8" s="104">
        <f>L8/O8</f>
        <v>0</v>
      </c>
      <c r="M8" s="104">
        <f>N8/O8</f>
        <v>4</v>
      </c>
      <c r="N8" s="240">
        <v>4</v>
      </c>
      <c r="O8" s="124">
        <v>1</v>
      </c>
      <c r="P8" s="105">
        <f>Q8/T8</f>
        <v>0</v>
      </c>
      <c r="R8" s="105">
        <f>S8/T8</f>
        <v>3.6666666666666665</v>
      </c>
      <c r="S8" s="238">
        <v>22</v>
      </c>
      <c r="T8" s="125">
        <v>6</v>
      </c>
      <c r="W8" s="106" t="s">
        <v>111</v>
      </c>
      <c r="AC8" s="227" t="s">
        <v>111</v>
      </c>
      <c r="AF8" s="235" t="s">
        <v>111</v>
      </c>
      <c r="AJ8" s="99">
        <v>6</v>
      </c>
      <c r="AK8" s="99">
        <v>2320</v>
      </c>
      <c r="AL8" s="99">
        <v>715</v>
      </c>
      <c r="AM8" s="99">
        <v>650</v>
      </c>
      <c r="AN8" s="99">
        <v>1430</v>
      </c>
      <c r="AO8" s="99">
        <v>200</v>
      </c>
      <c r="AP8" s="99">
        <v>4.5</v>
      </c>
      <c r="AQ8" s="99">
        <v>4</v>
      </c>
      <c r="AR8" s="107">
        <v>25.25</v>
      </c>
    </row>
    <row r="9" spans="1:44" x14ac:dyDescent="0.2">
      <c r="B9" s="7"/>
      <c r="C9" s="102" t="s">
        <v>111</v>
      </c>
      <c r="F9" s="9">
        <f>G9/J9</f>
        <v>0</v>
      </c>
      <c r="H9" s="103">
        <f>I9/J9</f>
        <v>3.5</v>
      </c>
      <c r="I9" s="249">
        <v>140</v>
      </c>
      <c r="J9" s="123">
        <v>40</v>
      </c>
      <c r="M9" s="104" t="s">
        <v>111</v>
      </c>
      <c r="R9" s="105" t="s">
        <v>111</v>
      </c>
      <c r="W9" s="106" t="s">
        <v>111</v>
      </c>
      <c r="AC9" s="227" t="s">
        <v>111</v>
      </c>
      <c r="AF9" s="235" t="s">
        <v>111</v>
      </c>
      <c r="AJ9" s="99">
        <v>7</v>
      </c>
      <c r="AK9" s="99">
        <v>2300</v>
      </c>
      <c r="AL9" s="99">
        <v>715</v>
      </c>
      <c r="AM9" s="99">
        <v>650</v>
      </c>
      <c r="AN9" s="99">
        <v>1430</v>
      </c>
      <c r="AO9" s="99">
        <v>200</v>
      </c>
      <c r="AP9" s="99">
        <v>4.5</v>
      </c>
      <c r="AQ9" s="99">
        <v>4.5</v>
      </c>
      <c r="AR9" s="107">
        <v>25.041666666666668</v>
      </c>
    </row>
    <row r="10" spans="1:44" x14ac:dyDescent="0.2">
      <c r="B10" s="7"/>
      <c r="C10" s="102" t="s">
        <v>111</v>
      </c>
      <c r="F10" s="9">
        <f>G10/J10</f>
        <v>0</v>
      </c>
      <c r="H10" s="103">
        <f>I10/J10</f>
        <v>3.4545454545454546</v>
      </c>
      <c r="I10" s="249">
        <v>608</v>
      </c>
      <c r="J10" s="123">
        <v>176</v>
      </c>
      <c r="M10" s="104" t="s">
        <v>111</v>
      </c>
      <c r="R10" s="105" t="s">
        <v>111</v>
      </c>
      <c r="W10" s="106" t="s">
        <v>111</v>
      </c>
      <c r="AC10" s="227" t="s">
        <v>111</v>
      </c>
      <c r="AF10" s="235" t="s">
        <v>111</v>
      </c>
      <c r="AJ10" s="99">
        <v>8</v>
      </c>
      <c r="AK10" s="99">
        <v>2280</v>
      </c>
      <c r="AL10" s="99">
        <v>715</v>
      </c>
      <c r="AM10" s="99">
        <v>650</v>
      </c>
      <c r="AN10" s="99">
        <v>1430</v>
      </c>
      <c r="AO10" s="99">
        <v>200</v>
      </c>
      <c r="AP10" s="99">
        <v>5</v>
      </c>
      <c r="AQ10" s="99">
        <v>4.5</v>
      </c>
      <c r="AR10" s="107">
        <v>24.791666666666668</v>
      </c>
    </row>
    <row r="11" spans="1:44" x14ac:dyDescent="0.2">
      <c r="B11" s="7"/>
      <c r="C11" s="102" t="s">
        <v>111</v>
      </c>
      <c r="F11" s="9">
        <f>G11/J11</f>
        <v>0</v>
      </c>
      <c r="H11" s="103">
        <f>I11/J11</f>
        <v>3.1111111111111112</v>
      </c>
      <c r="I11" s="249">
        <v>28</v>
      </c>
      <c r="J11" s="123">
        <v>9</v>
      </c>
      <c r="M11" s="104" t="s">
        <v>111</v>
      </c>
      <c r="R11" s="105" t="s">
        <v>111</v>
      </c>
      <c r="W11" s="106" t="s">
        <v>111</v>
      </c>
      <c r="AC11" s="227" t="s">
        <v>111</v>
      </c>
      <c r="AF11" s="235" t="s">
        <v>111</v>
      </c>
      <c r="AJ11" s="99">
        <v>9</v>
      </c>
      <c r="AK11" s="99">
        <v>2260</v>
      </c>
      <c r="AL11" s="99">
        <v>715</v>
      </c>
      <c r="AM11" s="99">
        <v>650</v>
      </c>
      <c r="AN11" s="99">
        <v>1430</v>
      </c>
      <c r="AO11" s="99">
        <v>200</v>
      </c>
      <c r="AP11" s="99">
        <v>5</v>
      </c>
      <c r="AQ11" s="99">
        <v>5</v>
      </c>
      <c r="AR11" s="107">
        <v>24.5</v>
      </c>
    </row>
    <row r="12" spans="1:44" x14ac:dyDescent="0.2">
      <c r="B12" s="7"/>
      <c r="C12" s="102" t="s">
        <v>111</v>
      </c>
      <c r="F12" s="9">
        <f>G12/J12</f>
        <v>0</v>
      </c>
      <c r="H12" s="103">
        <f>I12/J12</f>
        <v>3.3333333333333335</v>
      </c>
      <c r="I12" s="249">
        <v>60</v>
      </c>
      <c r="J12" s="123">
        <v>18</v>
      </c>
      <c r="M12" s="104" t="s">
        <v>111</v>
      </c>
      <c r="R12" s="105" t="s">
        <v>111</v>
      </c>
      <c r="W12" s="106" t="s">
        <v>111</v>
      </c>
      <c r="AC12" s="227" t="s">
        <v>111</v>
      </c>
      <c r="AF12" s="235" t="s">
        <v>111</v>
      </c>
      <c r="AJ12" s="99">
        <v>10</v>
      </c>
      <c r="AK12" s="99">
        <v>2240</v>
      </c>
      <c r="AL12" s="99">
        <v>715</v>
      </c>
      <c r="AM12" s="99">
        <v>650</v>
      </c>
      <c r="AN12" s="99">
        <v>1430</v>
      </c>
      <c r="AO12" s="99">
        <v>200</v>
      </c>
      <c r="AP12" s="99">
        <v>5.5</v>
      </c>
      <c r="AQ12" s="99">
        <v>5</v>
      </c>
      <c r="AR12" s="107">
        <v>24.166666666666668</v>
      </c>
    </row>
    <row r="13" spans="1:44" x14ac:dyDescent="0.2">
      <c r="B13" s="7"/>
      <c r="C13" s="102" t="s">
        <v>111</v>
      </c>
      <c r="F13" s="9">
        <f>G13/J13</f>
        <v>0</v>
      </c>
      <c r="H13" s="103">
        <f>I13/J13</f>
        <v>3.25</v>
      </c>
      <c r="I13" s="249">
        <v>13</v>
      </c>
      <c r="J13" s="123">
        <v>4</v>
      </c>
      <c r="M13" s="104" t="s">
        <v>111</v>
      </c>
      <c r="R13" s="105" t="s">
        <v>111</v>
      </c>
      <c r="W13" s="106" t="s">
        <v>111</v>
      </c>
      <c r="AC13" s="227" t="s">
        <v>111</v>
      </c>
      <c r="AF13" s="235" t="s">
        <v>111</v>
      </c>
      <c r="AJ13" s="99">
        <v>11</v>
      </c>
      <c r="AK13" s="99">
        <v>2210</v>
      </c>
      <c r="AL13" s="99">
        <v>710</v>
      </c>
      <c r="AM13" s="99">
        <v>650</v>
      </c>
      <c r="AN13" s="99">
        <v>1420</v>
      </c>
      <c r="AO13" s="99">
        <v>200</v>
      </c>
      <c r="AP13" s="99">
        <v>5.5</v>
      </c>
      <c r="AQ13" s="99">
        <v>5.5</v>
      </c>
      <c r="AR13" s="107">
        <v>23.75</v>
      </c>
    </row>
    <row r="14" spans="1:44" x14ac:dyDescent="0.2">
      <c r="B14" s="7"/>
      <c r="C14" s="102" t="s">
        <v>111</v>
      </c>
      <c r="F14" s="9">
        <f>G14/J14</f>
        <v>0</v>
      </c>
      <c r="H14" s="103">
        <f>I14/J14</f>
        <v>3.6</v>
      </c>
      <c r="I14" s="249">
        <v>18</v>
      </c>
      <c r="J14" s="123">
        <v>5</v>
      </c>
      <c r="M14" s="104" t="s">
        <v>111</v>
      </c>
      <c r="R14" s="105" t="s">
        <v>111</v>
      </c>
      <c r="W14" s="106" t="s">
        <v>111</v>
      </c>
      <c r="AC14" s="227" t="s">
        <v>111</v>
      </c>
      <c r="AF14" s="235" t="s">
        <v>111</v>
      </c>
      <c r="AJ14" s="99">
        <v>12</v>
      </c>
      <c r="AK14" s="99">
        <v>2180</v>
      </c>
      <c r="AL14" s="99">
        <v>705</v>
      </c>
      <c r="AM14" s="99">
        <v>650</v>
      </c>
      <c r="AN14" s="99">
        <v>1410</v>
      </c>
      <c r="AO14" s="99">
        <v>200</v>
      </c>
      <c r="AP14" s="99">
        <v>6</v>
      </c>
      <c r="AQ14" s="99">
        <v>5.5</v>
      </c>
      <c r="AR14" s="107">
        <v>23.25</v>
      </c>
    </row>
    <row r="15" spans="1:44" x14ac:dyDescent="0.2">
      <c r="B15" s="7"/>
      <c r="C15" s="102" t="s">
        <v>111</v>
      </c>
      <c r="F15" s="9">
        <f>G15/J15</f>
        <v>0</v>
      </c>
      <c r="H15" s="103">
        <f>I15/J15</f>
        <v>3.3529411764705883</v>
      </c>
      <c r="I15" s="249">
        <v>57</v>
      </c>
      <c r="J15" s="123">
        <v>17</v>
      </c>
      <c r="M15" s="104" t="s">
        <v>111</v>
      </c>
      <c r="R15" s="105" t="s">
        <v>111</v>
      </c>
      <c r="W15" s="106" t="s">
        <v>111</v>
      </c>
      <c r="AC15" s="227" t="s">
        <v>111</v>
      </c>
      <c r="AF15" s="235" t="s">
        <v>111</v>
      </c>
      <c r="AJ15" s="99">
        <v>13</v>
      </c>
      <c r="AK15" s="99">
        <v>2150</v>
      </c>
      <c r="AL15" s="99">
        <v>700</v>
      </c>
      <c r="AM15" s="99">
        <v>650</v>
      </c>
      <c r="AN15" s="99">
        <v>1400</v>
      </c>
      <c r="AO15" s="99">
        <v>200</v>
      </c>
      <c r="AP15" s="99">
        <v>6</v>
      </c>
      <c r="AQ15" s="99">
        <v>6</v>
      </c>
      <c r="AR15" s="107">
        <v>22.666666666666668</v>
      </c>
    </row>
    <row r="16" spans="1:44" x14ac:dyDescent="0.2">
      <c r="B16" s="7"/>
      <c r="C16" s="102" t="s">
        <v>111</v>
      </c>
      <c r="F16" s="9">
        <f>G16/J16</f>
        <v>0</v>
      </c>
      <c r="H16" s="103">
        <f>I16/J16</f>
        <v>3</v>
      </c>
      <c r="I16" s="249">
        <v>15</v>
      </c>
      <c r="J16" s="123">
        <v>5</v>
      </c>
      <c r="M16" s="104" t="s">
        <v>111</v>
      </c>
      <c r="R16" s="105" t="s">
        <v>111</v>
      </c>
      <c r="W16" s="106" t="s">
        <v>111</v>
      </c>
      <c r="AC16" s="227" t="s">
        <v>111</v>
      </c>
      <c r="AF16" s="235" t="s">
        <v>111</v>
      </c>
      <c r="AJ16" s="99">
        <v>15</v>
      </c>
      <c r="AK16" s="99">
        <v>2120</v>
      </c>
      <c r="AL16" s="99">
        <v>690</v>
      </c>
      <c r="AM16" s="99">
        <v>650</v>
      </c>
      <c r="AN16" s="99">
        <v>1380</v>
      </c>
      <c r="AO16" s="99">
        <v>200</v>
      </c>
      <c r="AP16" s="99">
        <v>6.5</v>
      </c>
      <c r="AQ16" s="99">
        <v>6</v>
      </c>
      <c r="AR16" s="107">
        <v>22</v>
      </c>
    </row>
    <row r="17" spans="2:44" x14ac:dyDescent="0.2">
      <c r="B17" s="7"/>
      <c r="C17" s="102" t="s">
        <v>111</v>
      </c>
      <c r="F17" s="9">
        <f>G17/J17</f>
        <v>0</v>
      </c>
      <c r="H17" s="103">
        <f>I17/J17</f>
        <v>3.40625</v>
      </c>
      <c r="I17" s="249">
        <v>109</v>
      </c>
      <c r="J17" s="123">
        <v>32</v>
      </c>
      <c r="M17" s="104" t="s">
        <v>111</v>
      </c>
      <c r="R17" s="105" t="s">
        <v>111</v>
      </c>
      <c r="W17" s="106" t="s">
        <v>111</v>
      </c>
      <c r="AC17" s="227" t="s">
        <v>111</v>
      </c>
      <c r="AF17" s="235" t="s">
        <v>111</v>
      </c>
      <c r="AJ17" s="99">
        <v>15</v>
      </c>
      <c r="AK17" s="99">
        <v>2120</v>
      </c>
      <c r="AL17" s="99">
        <v>690</v>
      </c>
      <c r="AM17" s="99">
        <v>650</v>
      </c>
      <c r="AN17" s="99">
        <v>1380</v>
      </c>
      <c r="AO17" s="99">
        <v>200</v>
      </c>
      <c r="AP17" s="99">
        <v>6.5</v>
      </c>
      <c r="AQ17" s="99">
        <v>6</v>
      </c>
      <c r="AR17" s="107">
        <v>21.25</v>
      </c>
    </row>
    <row r="18" spans="2:44" x14ac:dyDescent="0.2">
      <c r="B18" s="7"/>
      <c r="C18" s="102" t="s">
        <v>111</v>
      </c>
      <c r="H18" s="103" t="s">
        <v>111</v>
      </c>
      <c r="M18" s="104" t="s">
        <v>111</v>
      </c>
      <c r="R18" s="105" t="s">
        <v>111</v>
      </c>
      <c r="W18" s="106" t="s">
        <v>111</v>
      </c>
      <c r="AC18" s="227" t="s">
        <v>111</v>
      </c>
      <c r="AF18" s="235" t="s">
        <v>111</v>
      </c>
      <c r="AJ18" s="99">
        <v>16</v>
      </c>
      <c r="AK18" s="99">
        <v>2040</v>
      </c>
      <c r="AL18" s="99">
        <v>660</v>
      </c>
      <c r="AM18" s="99">
        <v>650</v>
      </c>
      <c r="AN18" s="99">
        <v>1320</v>
      </c>
      <c r="AO18" s="99">
        <v>200</v>
      </c>
      <c r="AP18" s="99">
        <v>8</v>
      </c>
      <c r="AQ18" s="99">
        <v>8</v>
      </c>
      <c r="AR18" s="107">
        <v>20.416666666666668</v>
      </c>
    </row>
    <row r="19" spans="2:44" x14ac:dyDescent="0.2">
      <c r="B19" s="7"/>
      <c r="C19" s="102" t="s">
        <v>111</v>
      </c>
      <c r="H19" s="103" t="s">
        <v>111</v>
      </c>
      <c r="M19" s="104" t="s">
        <v>111</v>
      </c>
      <c r="R19" s="105" t="s">
        <v>111</v>
      </c>
      <c r="W19" s="106" t="s">
        <v>111</v>
      </c>
      <c r="AC19" s="227" t="s">
        <v>111</v>
      </c>
      <c r="AF19" s="235" t="s">
        <v>111</v>
      </c>
      <c r="AJ19" s="99">
        <v>17</v>
      </c>
      <c r="AK19" s="99">
        <v>1990</v>
      </c>
      <c r="AL19" s="99">
        <v>640</v>
      </c>
      <c r="AM19" s="99">
        <v>650</v>
      </c>
      <c r="AN19" s="99">
        <v>1280</v>
      </c>
      <c r="AO19" s="99">
        <v>200</v>
      </c>
      <c r="AP19" s="99">
        <v>8</v>
      </c>
      <c r="AQ19" s="99">
        <v>8.5</v>
      </c>
      <c r="AR19" s="107">
        <v>19.5</v>
      </c>
    </row>
    <row r="20" spans="2:44" x14ac:dyDescent="0.2">
      <c r="B20" s="7"/>
      <c r="C20" s="102" t="s">
        <v>111</v>
      </c>
      <c r="H20" s="103" t="s">
        <v>111</v>
      </c>
      <c r="M20" s="104" t="s">
        <v>111</v>
      </c>
      <c r="R20" s="105" t="s">
        <v>111</v>
      </c>
      <c r="W20" s="106" t="s">
        <v>111</v>
      </c>
      <c r="AC20" s="227" t="s">
        <v>111</v>
      </c>
      <c r="AF20" s="235" t="s">
        <v>111</v>
      </c>
      <c r="AJ20" s="99">
        <v>18</v>
      </c>
      <c r="AK20" s="99">
        <v>1940</v>
      </c>
      <c r="AL20" s="99">
        <v>620</v>
      </c>
      <c r="AM20" s="99">
        <v>650</v>
      </c>
      <c r="AN20" s="99">
        <v>1240</v>
      </c>
      <c r="AO20" s="99">
        <v>200</v>
      </c>
      <c r="AP20" s="99">
        <v>8.5</v>
      </c>
      <c r="AQ20" s="99">
        <v>8.5</v>
      </c>
      <c r="AR20" s="107">
        <v>18.5</v>
      </c>
    </row>
    <row r="21" spans="2:44" x14ac:dyDescent="0.2">
      <c r="B21" s="7"/>
      <c r="C21" s="102" t="s">
        <v>111</v>
      </c>
      <c r="H21" s="103" t="s">
        <v>111</v>
      </c>
      <c r="M21" s="104" t="s">
        <v>111</v>
      </c>
      <c r="R21" s="105" t="s">
        <v>111</v>
      </c>
      <c r="W21" s="106" t="s">
        <v>111</v>
      </c>
      <c r="AC21" s="227" t="s">
        <v>111</v>
      </c>
      <c r="AF21" s="235" t="s">
        <v>111</v>
      </c>
      <c r="AJ21" s="99">
        <v>19</v>
      </c>
      <c r="AK21" s="99">
        <v>1870</v>
      </c>
      <c r="AL21" s="99">
        <v>590</v>
      </c>
      <c r="AM21" s="99">
        <v>650</v>
      </c>
      <c r="AN21" s="99">
        <v>1180</v>
      </c>
      <c r="AO21" s="99">
        <v>200</v>
      </c>
      <c r="AP21" s="99">
        <v>8.5</v>
      </c>
      <c r="AQ21" s="99">
        <v>9</v>
      </c>
      <c r="AR21" s="107">
        <v>17.416666666666668</v>
      </c>
    </row>
    <row r="22" spans="2:44" x14ac:dyDescent="0.2">
      <c r="B22" s="7"/>
      <c r="C22" s="102" t="s">
        <v>111</v>
      </c>
      <c r="H22" s="103" t="s">
        <v>111</v>
      </c>
      <c r="M22" s="104" t="s">
        <v>111</v>
      </c>
      <c r="R22" s="105" t="s">
        <v>111</v>
      </c>
      <c r="W22" s="106" t="s">
        <v>111</v>
      </c>
      <c r="AC22" s="227" t="s">
        <v>111</v>
      </c>
      <c r="AF22" s="235" t="s">
        <v>111</v>
      </c>
      <c r="AJ22" s="99">
        <v>20</v>
      </c>
      <c r="AK22" s="99">
        <v>1800</v>
      </c>
      <c r="AL22" s="99">
        <v>560</v>
      </c>
      <c r="AM22" s="99">
        <v>650</v>
      </c>
      <c r="AN22" s="99">
        <v>1120</v>
      </c>
      <c r="AO22" s="99">
        <v>200</v>
      </c>
      <c r="AP22" s="99">
        <v>9</v>
      </c>
      <c r="AQ22" s="99">
        <v>9</v>
      </c>
      <c r="AR22" s="107">
        <v>16.25</v>
      </c>
    </row>
    <row r="23" spans="2:44" x14ac:dyDescent="0.2">
      <c r="B23" s="7"/>
      <c r="C23" s="102" t="s">
        <v>111</v>
      </c>
      <c r="H23" s="103" t="s">
        <v>111</v>
      </c>
      <c r="M23" s="104" t="s">
        <v>111</v>
      </c>
      <c r="R23" s="105" t="s">
        <v>111</v>
      </c>
      <c r="W23" s="106" t="s">
        <v>111</v>
      </c>
      <c r="AC23" s="227" t="s">
        <v>111</v>
      </c>
      <c r="AF23" s="235" t="s">
        <v>111</v>
      </c>
      <c r="AJ23" s="99">
        <v>21</v>
      </c>
      <c r="AK23" s="99">
        <v>1700</v>
      </c>
      <c r="AL23" s="99">
        <v>520</v>
      </c>
      <c r="AM23" s="99">
        <v>630</v>
      </c>
      <c r="AN23" s="99">
        <v>1040</v>
      </c>
      <c r="AO23" s="99">
        <v>200</v>
      </c>
      <c r="AP23" s="99">
        <v>9</v>
      </c>
      <c r="AQ23" s="99">
        <v>9.5</v>
      </c>
      <c r="AR23" s="107">
        <v>15</v>
      </c>
    </row>
    <row r="24" spans="2:44" x14ac:dyDescent="0.2">
      <c r="B24" s="7"/>
      <c r="C24" s="102" t="s">
        <v>111</v>
      </c>
      <c r="H24" s="103" t="s">
        <v>111</v>
      </c>
      <c r="M24" s="104" t="s">
        <v>111</v>
      </c>
      <c r="R24" s="105" t="s">
        <v>111</v>
      </c>
      <c r="W24" s="106" t="s">
        <v>111</v>
      </c>
      <c r="AC24" s="227" t="s">
        <v>111</v>
      </c>
      <c r="AF24" s="235" t="s">
        <v>111</v>
      </c>
      <c r="AJ24" s="99">
        <v>22</v>
      </c>
      <c r="AK24" s="99">
        <v>1600</v>
      </c>
      <c r="AL24" s="99">
        <v>480</v>
      </c>
      <c r="AM24" s="99">
        <v>600</v>
      </c>
      <c r="AN24" s="99">
        <v>960</v>
      </c>
      <c r="AO24" s="99">
        <v>200</v>
      </c>
      <c r="AP24" s="99">
        <v>9.5</v>
      </c>
      <c r="AQ24" s="99">
        <v>9.5</v>
      </c>
      <c r="AR24" s="107">
        <v>13.666666666666666</v>
      </c>
    </row>
    <row r="25" spans="2:44" x14ac:dyDescent="0.2">
      <c r="B25" s="7"/>
      <c r="C25" s="102" t="s">
        <v>111</v>
      </c>
      <c r="H25" s="103" t="s">
        <v>111</v>
      </c>
      <c r="M25" s="104" t="s">
        <v>111</v>
      </c>
      <c r="R25" s="105" t="s">
        <v>111</v>
      </c>
      <c r="W25" s="106" t="s">
        <v>111</v>
      </c>
      <c r="AC25" s="227" t="s">
        <v>111</v>
      </c>
      <c r="AF25" s="235" t="s">
        <v>111</v>
      </c>
      <c r="AJ25" s="99">
        <v>23</v>
      </c>
      <c r="AK25" s="99">
        <v>1500</v>
      </c>
      <c r="AL25" s="99">
        <v>440</v>
      </c>
      <c r="AM25" s="99">
        <v>560</v>
      </c>
      <c r="AN25" s="99">
        <v>880</v>
      </c>
      <c r="AO25" s="99">
        <v>200</v>
      </c>
      <c r="AP25" s="99">
        <v>9.5</v>
      </c>
      <c r="AQ25" s="99">
        <v>10</v>
      </c>
      <c r="AR25" s="107">
        <v>12.25</v>
      </c>
    </row>
    <row r="26" spans="2:44" x14ac:dyDescent="0.2">
      <c r="B26" s="7"/>
      <c r="C26" s="102" t="s">
        <v>111</v>
      </c>
      <c r="H26" s="103" t="s">
        <v>111</v>
      </c>
      <c r="M26" s="104" t="s">
        <v>111</v>
      </c>
      <c r="R26" s="105" t="s">
        <v>111</v>
      </c>
      <c r="W26" s="106" t="s">
        <v>111</v>
      </c>
      <c r="AC26" s="227" t="s">
        <v>111</v>
      </c>
      <c r="AF26" s="235" t="s">
        <v>111</v>
      </c>
      <c r="AJ26" s="99">
        <v>24</v>
      </c>
      <c r="AK26" s="99">
        <v>1350</v>
      </c>
      <c r="AL26" s="99">
        <v>390</v>
      </c>
      <c r="AM26" s="99">
        <v>510</v>
      </c>
      <c r="AN26" s="99">
        <v>780</v>
      </c>
      <c r="AO26" s="99">
        <v>200</v>
      </c>
      <c r="AP26" s="99">
        <v>10</v>
      </c>
      <c r="AQ26" s="99">
        <v>10</v>
      </c>
      <c r="AR26" s="107">
        <v>10.75</v>
      </c>
    </row>
    <row r="27" spans="2:44" x14ac:dyDescent="0.2">
      <c r="B27" s="7"/>
      <c r="AJ27" s="99">
        <v>25</v>
      </c>
      <c r="AK27" s="99">
        <v>1200</v>
      </c>
      <c r="AL27" s="99">
        <v>340</v>
      </c>
      <c r="AM27" s="99">
        <v>450</v>
      </c>
      <c r="AN27" s="99">
        <v>680</v>
      </c>
      <c r="AO27" s="99">
        <v>200</v>
      </c>
      <c r="AP27" s="99">
        <v>10</v>
      </c>
      <c r="AQ27" s="99">
        <v>10.5</v>
      </c>
      <c r="AR27" s="107">
        <v>9.1666666666666661</v>
      </c>
    </row>
    <row r="28" spans="2:44" x14ac:dyDescent="0.2">
      <c r="B28" s="7"/>
      <c r="AJ28" s="99">
        <v>26</v>
      </c>
      <c r="AK28" s="99">
        <v>1000</v>
      </c>
      <c r="AL28" s="99">
        <v>280</v>
      </c>
      <c r="AM28" s="99">
        <v>380</v>
      </c>
      <c r="AN28" s="99">
        <v>560</v>
      </c>
      <c r="AO28" s="99">
        <v>180</v>
      </c>
      <c r="AP28" s="99">
        <v>10.5</v>
      </c>
      <c r="AQ28" s="99">
        <v>10.5</v>
      </c>
      <c r="AR28" s="107">
        <v>7.5</v>
      </c>
    </row>
    <row r="29" spans="2:44" x14ac:dyDescent="0.2">
      <c r="B29" s="7"/>
      <c r="AJ29" s="99">
        <v>27</v>
      </c>
      <c r="AK29" s="99">
        <v>800</v>
      </c>
      <c r="AL29" s="99">
        <v>220</v>
      </c>
      <c r="AM29" s="99">
        <v>300</v>
      </c>
      <c r="AN29" s="99">
        <v>440</v>
      </c>
      <c r="AO29" s="99">
        <v>150</v>
      </c>
      <c r="AP29" s="99">
        <v>10.5</v>
      </c>
      <c r="AQ29" s="99">
        <v>11</v>
      </c>
      <c r="AR29" s="107">
        <v>5.75</v>
      </c>
    </row>
    <row r="30" spans="2:44" x14ac:dyDescent="0.2">
      <c r="B30" s="7"/>
      <c r="AJ30" s="99">
        <v>28</v>
      </c>
      <c r="AK30" s="99">
        <v>600</v>
      </c>
      <c r="AL30" s="99">
        <v>160</v>
      </c>
      <c r="AM30" s="99">
        <v>210</v>
      </c>
      <c r="AN30" s="99">
        <v>320</v>
      </c>
      <c r="AO30" s="99">
        <v>110</v>
      </c>
      <c r="AP30" s="99">
        <v>11</v>
      </c>
      <c r="AQ30" s="99">
        <v>11</v>
      </c>
      <c r="AR30" s="107">
        <v>3.9166666666666665</v>
      </c>
    </row>
    <row r="31" spans="2:44" x14ac:dyDescent="0.2">
      <c r="B31" s="7"/>
      <c r="AJ31" s="99">
        <v>29</v>
      </c>
      <c r="AK31" s="99">
        <v>300</v>
      </c>
      <c r="AL31" s="99">
        <v>80</v>
      </c>
      <c r="AM31" s="99">
        <v>110</v>
      </c>
      <c r="AN31" s="99">
        <v>160</v>
      </c>
      <c r="AO31" s="99">
        <v>60</v>
      </c>
      <c r="AP31" s="99">
        <v>11</v>
      </c>
      <c r="AQ31" s="99">
        <v>11.5</v>
      </c>
      <c r="AR31" s="107">
        <v>2</v>
      </c>
    </row>
    <row r="32" spans="2:44" x14ac:dyDescent="0.2">
      <c r="B32" s="7"/>
      <c r="AJ32" s="99">
        <v>30</v>
      </c>
      <c r="AK32" s="99">
        <v>0</v>
      </c>
      <c r="AL32" s="99">
        <v>0</v>
      </c>
      <c r="AM32" s="99">
        <v>0</v>
      </c>
      <c r="AN32" s="99">
        <v>0</v>
      </c>
      <c r="AO32" s="99">
        <v>0</v>
      </c>
      <c r="AP32" s="99">
        <v>11.5</v>
      </c>
      <c r="AQ32" s="99">
        <v>11.5</v>
      </c>
      <c r="AR32" s="107">
        <v>0</v>
      </c>
    </row>
    <row r="33" spans="2:2" x14ac:dyDescent="0.2">
      <c r="B33" s="7"/>
    </row>
  </sheetData>
  <mergeCells count="22">
    <mergeCell ref="AF1:AG1"/>
    <mergeCell ref="AH1:AH2"/>
    <mergeCell ref="Z1:AA1"/>
    <mergeCell ref="AB1:AB2"/>
    <mergeCell ref="AC1:AD1"/>
    <mergeCell ref="AE1:AE2"/>
    <mergeCell ref="A1:B1"/>
    <mergeCell ref="AJ1:AR1"/>
    <mergeCell ref="Y1:Y2"/>
    <mergeCell ref="W1:X1"/>
    <mergeCell ref="U1:V1"/>
    <mergeCell ref="T1:T2"/>
    <mergeCell ref="R1:S1"/>
    <mergeCell ref="P1:Q1"/>
    <mergeCell ref="E1:E2"/>
    <mergeCell ref="J1:J2"/>
    <mergeCell ref="O1:O2"/>
    <mergeCell ref="M1:N1"/>
    <mergeCell ref="K1:L1"/>
    <mergeCell ref="H1:I1"/>
    <mergeCell ref="F1:G1"/>
    <mergeCell ref="C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theme="4" tint="0.59999389629810485"/>
  </sheetPr>
  <dimension ref="A1:G28"/>
  <sheetViews>
    <sheetView workbookViewId="0" xr3:uid="{F51112F8-993F-5F00-A38B-2AC836D1CD90}">
      <selection activeCell="F17" sqref="F17"/>
    </sheetView>
  </sheetViews>
  <sheetFormatPr defaultColWidth="9.14453125" defaultRowHeight="15" x14ac:dyDescent="0.2"/>
  <cols>
    <col min="1" max="4" width="9.14453125" style="1"/>
    <col min="5" max="5" width="0" style="1" hidden="1" customWidth="1"/>
    <col min="6" max="16384" width="9.14453125" style="1"/>
  </cols>
  <sheetData>
    <row r="1" spans="1:7" x14ac:dyDescent="0.2">
      <c r="A1" s="1" t="s">
        <v>30</v>
      </c>
      <c r="B1" s="1" t="s">
        <v>78</v>
      </c>
      <c r="C1" s="1" t="s">
        <v>79</v>
      </c>
      <c r="D1" s="1" t="s">
        <v>86</v>
      </c>
      <c r="E1" s="1" t="s">
        <v>87</v>
      </c>
      <c r="F1" s="1" t="s">
        <v>82</v>
      </c>
    </row>
    <row r="2" spans="1:7" x14ac:dyDescent="0.2">
      <c r="A2" s="1">
        <v>37</v>
      </c>
      <c r="B2" s="1">
        <v>3</v>
      </c>
      <c r="C2" s="1">
        <v>75</v>
      </c>
      <c r="E2" s="1">
        <f>IF(D2&gt;0,A2,0)</f>
        <v>0</v>
      </c>
      <c r="F2" s="1">
        <v>3</v>
      </c>
      <c r="G2" s="1" t="s">
        <v>103</v>
      </c>
    </row>
    <row r="3" spans="1:7" x14ac:dyDescent="0.2">
      <c r="A3" s="1">
        <v>67</v>
      </c>
      <c r="B3" s="1">
        <v>0</v>
      </c>
      <c r="C3" s="1">
        <v>185</v>
      </c>
      <c r="E3" s="1">
        <f>IF(D3&gt;0,A3,0)</f>
        <v>0</v>
      </c>
      <c r="F3" s="1">
        <v>15</v>
      </c>
      <c r="G3" s="1" t="s">
        <v>103</v>
      </c>
    </row>
    <row r="4" spans="1:7" x14ac:dyDescent="0.2">
      <c r="A4" s="1">
        <v>27</v>
      </c>
      <c r="B4" s="1">
        <v>3</v>
      </c>
      <c r="C4" s="1">
        <v>45</v>
      </c>
      <c r="E4" s="1">
        <f>IF(D4&gt;0,A4,0)</f>
        <v>0</v>
      </c>
      <c r="F4" s="1">
        <v>4</v>
      </c>
      <c r="G4" s="1" t="s">
        <v>103</v>
      </c>
    </row>
    <row r="5" spans="1:7" x14ac:dyDescent="0.2">
      <c r="A5" s="1">
        <v>9</v>
      </c>
      <c r="B5" s="1">
        <v>0</v>
      </c>
      <c r="C5" s="1">
        <v>14</v>
      </c>
      <c r="E5" s="1">
        <f>IF(D5&gt;0,A5,0)</f>
        <v>0</v>
      </c>
      <c r="F5" s="1">
        <v>1</v>
      </c>
      <c r="G5" s="1" t="s">
        <v>104</v>
      </c>
    </row>
    <row r="6" spans="1:7" x14ac:dyDescent="0.2">
      <c r="A6" s="1">
        <v>30</v>
      </c>
      <c r="B6" s="1">
        <v>0</v>
      </c>
      <c r="C6" s="1">
        <v>42</v>
      </c>
      <c r="E6" s="1">
        <f>IF(D6&gt;0,A6,0)</f>
        <v>0</v>
      </c>
      <c r="F6" s="1">
        <v>1</v>
      </c>
      <c r="G6" s="1" t="s">
        <v>104</v>
      </c>
    </row>
    <row r="7" spans="1:7" x14ac:dyDescent="0.2">
      <c r="A7" s="1">
        <v>21</v>
      </c>
      <c r="B7" s="1">
        <v>1</v>
      </c>
      <c r="C7" s="1">
        <v>64</v>
      </c>
      <c r="D7" s="1">
        <v>86</v>
      </c>
      <c r="E7" s="1">
        <f>IF(D7&gt;0,A7,0)</f>
        <v>21</v>
      </c>
      <c r="F7" s="1">
        <v>1</v>
      </c>
      <c r="G7" s="1" t="s">
        <v>105</v>
      </c>
    </row>
    <row r="8" spans="1:7" x14ac:dyDescent="0.2">
      <c r="A8" s="1">
        <v>13</v>
      </c>
      <c r="B8" s="1">
        <v>1</v>
      </c>
      <c r="C8" s="1">
        <v>33</v>
      </c>
      <c r="D8" s="1">
        <v>42</v>
      </c>
      <c r="E8" s="1">
        <f>IF(D8&gt;0,A8,0)</f>
        <v>13</v>
      </c>
      <c r="F8" s="1">
        <v>0</v>
      </c>
      <c r="G8" s="1" t="s">
        <v>106</v>
      </c>
    </row>
    <row r="9" spans="1:7" x14ac:dyDescent="0.2">
      <c r="A9" s="1">
        <v>30</v>
      </c>
      <c r="B9" s="1">
        <v>1</v>
      </c>
      <c r="C9" s="1">
        <v>40</v>
      </c>
      <c r="E9" s="1">
        <f>IF(D9&gt;0,A9,0)</f>
        <v>0</v>
      </c>
      <c r="F9" s="1">
        <v>0</v>
      </c>
      <c r="G9" s="1" t="s">
        <v>106</v>
      </c>
    </row>
    <row r="10" spans="1:7" x14ac:dyDescent="0.2">
      <c r="A10" s="1">
        <v>58</v>
      </c>
      <c r="B10" s="1">
        <v>3</v>
      </c>
      <c r="C10" s="1">
        <v>122</v>
      </c>
      <c r="D10" s="1">
        <v>153</v>
      </c>
      <c r="E10" s="1">
        <f>IF(D10&gt;0,A10,0)</f>
        <v>58</v>
      </c>
      <c r="F10" s="1">
        <v>3</v>
      </c>
      <c r="G10" s="1" t="s">
        <v>106</v>
      </c>
    </row>
    <row r="11" spans="1:7" x14ac:dyDescent="0.2">
      <c r="A11" s="1">
        <v>13</v>
      </c>
      <c r="B11" s="1">
        <v>2</v>
      </c>
      <c r="C11" s="1">
        <v>43</v>
      </c>
      <c r="D11" s="1">
        <v>46</v>
      </c>
      <c r="E11" s="1">
        <f>IF(D11&gt;0,A11,0)</f>
        <v>13</v>
      </c>
      <c r="F11" s="1">
        <v>0</v>
      </c>
      <c r="G11" s="1" t="s">
        <v>106</v>
      </c>
    </row>
    <row r="12" spans="1:7" x14ac:dyDescent="0.2">
      <c r="A12" s="1">
        <v>30</v>
      </c>
      <c r="B12" s="1">
        <v>1</v>
      </c>
      <c r="C12" s="1">
        <v>87</v>
      </c>
      <c r="D12" s="1">
        <v>114</v>
      </c>
      <c r="E12" s="1">
        <f>IF(D12&gt;0,A12,0)</f>
        <v>30</v>
      </c>
      <c r="F12" s="1">
        <v>1</v>
      </c>
      <c r="G12" s="1" t="s">
        <v>106</v>
      </c>
    </row>
    <row r="13" spans="1:7" x14ac:dyDescent="0.2">
      <c r="A13" s="1">
        <v>4</v>
      </c>
      <c r="B13" s="1">
        <v>0</v>
      </c>
      <c r="C13" s="1">
        <v>5</v>
      </c>
      <c r="E13" s="1">
        <f>IF(D13&gt;0,A13,0)</f>
        <v>0</v>
      </c>
      <c r="F13" s="1">
        <v>0</v>
      </c>
      <c r="G13" s="1" t="s">
        <v>104</v>
      </c>
    </row>
    <row r="14" spans="1:7" x14ac:dyDescent="0.2">
      <c r="A14" s="1">
        <v>17</v>
      </c>
      <c r="B14" s="1">
        <v>3</v>
      </c>
      <c r="C14" s="1">
        <v>54</v>
      </c>
      <c r="D14" s="1">
        <v>68</v>
      </c>
      <c r="E14" s="1">
        <f>IF(D14&gt;0,A14,0)</f>
        <v>17</v>
      </c>
      <c r="F14" s="1">
        <v>2</v>
      </c>
      <c r="G14" s="1" t="s">
        <v>105</v>
      </c>
    </row>
    <row r="15" spans="1:7" x14ac:dyDescent="0.2">
      <c r="A15" s="1">
        <v>11</v>
      </c>
      <c r="B15" s="1">
        <v>3</v>
      </c>
      <c r="C15" s="1">
        <v>32</v>
      </c>
      <c r="D15" s="1">
        <v>51</v>
      </c>
      <c r="E15" s="1">
        <f>IF(D15&gt;0,A15,0)</f>
        <v>11</v>
      </c>
      <c r="F15" s="1">
        <v>0</v>
      </c>
      <c r="G15" s="1" t="s">
        <v>105</v>
      </c>
    </row>
    <row r="16" spans="1:7" x14ac:dyDescent="0.2">
      <c r="A16" s="1">
        <v>8</v>
      </c>
      <c r="B16" s="1">
        <v>1</v>
      </c>
      <c r="C16" s="1">
        <v>27</v>
      </c>
      <c r="D16" s="1">
        <v>4</v>
      </c>
      <c r="E16" s="1">
        <f>IF(D16&gt;0,A16,0)</f>
        <v>8</v>
      </c>
      <c r="F16" s="1">
        <v>1</v>
      </c>
      <c r="G16" s="1" t="s">
        <v>107</v>
      </c>
    </row>
    <row r="17" spans="1:7" x14ac:dyDescent="0.2">
      <c r="A17" s="1">
        <v>1</v>
      </c>
      <c r="B17" s="1">
        <v>0</v>
      </c>
      <c r="C17" s="1">
        <v>4</v>
      </c>
      <c r="D17" s="1">
        <v>3</v>
      </c>
      <c r="E17" s="1">
        <f>IF(D17&gt;0,A17,0)</f>
        <v>1</v>
      </c>
      <c r="F17" s="1">
        <v>0</v>
      </c>
      <c r="G17" s="1" t="s">
        <v>106</v>
      </c>
    </row>
    <row r="18" spans="1:7" x14ac:dyDescent="0.2">
      <c r="E18" s="1">
        <f>IF(D18&gt;0,A18,0)</f>
        <v>0</v>
      </c>
    </row>
    <row r="19" spans="1:7" x14ac:dyDescent="0.2">
      <c r="E19" s="1">
        <f>IF(D19&gt;0,A19,0)</f>
        <v>0</v>
      </c>
    </row>
    <row r="20" spans="1:7" x14ac:dyDescent="0.2">
      <c r="E20" s="1">
        <f>IF(D20&gt;0,A20,0)</f>
        <v>0</v>
      </c>
    </row>
    <row r="21" spans="1:7" x14ac:dyDescent="0.2">
      <c r="E21" s="1">
        <f>IF(D21&gt;0,A21,0)</f>
        <v>0</v>
      </c>
    </row>
    <row r="22" spans="1:7" x14ac:dyDescent="0.2">
      <c r="E22" s="1">
        <f>IF(D22&gt;0,A22,0)</f>
        <v>0</v>
      </c>
    </row>
    <row r="23" spans="1:7" x14ac:dyDescent="0.2">
      <c r="E23" s="1">
        <f>IF(D23&gt;0,A23,0)</f>
        <v>0</v>
      </c>
    </row>
    <row r="24" spans="1:7" x14ac:dyDescent="0.2">
      <c r="E24" s="1">
        <f>IF(D24&gt;0,A24,0)</f>
        <v>0</v>
      </c>
    </row>
    <row r="25" spans="1:7" x14ac:dyDescent="0.2">
      <c r="E25" s="1">
        <f>IF(D25&gt;0,A25,0)</f>
        <v>0</v>
      </c>
    </row>
    <row r="26" spans="1:7" x14ac:dyDescent="0.2">
      <c r="E26" s="1">
        <f>IF(D26&gt;0,A26,0)</f>
        <v>0</v>
      </c>
    </row>
    <row r="27" spans="1:7" x14ac:dyDescent="0.2">
      <c r="E27" s="1">
        <f>IF(D27&gt;0,A27,0)</f>
        <v>0</v>
      </c>
    </row>
    <row r="28" spans="1:7" x14ac:dyDescent="0.2">
      <c r="E28" s="1">
        <f>IF(D28&gt;0,A28,0)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theme="5" tint="0.59999389629810485"/>
  </sheetPr>
  <dimension ref="A1:B32"/>
  <sheetViews>
    <sheetView workbookViewId="0" xr3:uid="{91F60AFC-30AB-5BB4-B36C-AFBBD0917BCD}">
      <selection activeCell="A18" sqref="A18"/>
    </sheetView>
  </sheetViews>
  <sheetFormatPr defaultColWidth="9.14453125" defaultRowHeight="15" x14ac:dyDescent="0.2"/>
  <cols>
    <col min="1" max="16384" width="9.14453125" style="1"/>
  </cols>
  <sheetData>
    <row r="1" spans="1:2" x14ac:dyDescent="0.2">
      <c r="A1" s="1" t="s">
        <v>43</v>
      </c>
      <c r="B1" s="1" t="s">
        <v>44</v>
      </c>
    </row>
    <row r="2" spans="1:2" x14ac:dyDescent="0.2">
      <c r="A2" s="1">
        <v>816</v>
      </c>
      <c r="B2" s="1">
        <v>485</v>
      </c>
    </row>
    <row r="3" spans="1:2" x14ac:dyDescent="0.2">
      <c r="A3" s="1">
        <v>786</v>
      </c>
      <c r="B3" s="1">
        <v>480</v>
      </c>
    </row>
    <row r="4" spans="1:2" x14ac:dyDescent="0.2">
      <c r="A4" s="1">
        <v>783</v>
      </c>
      <c r="B4" s="1">
        <f>B3-120</f>
        <v>360</v>
      </c>
    </row>
    <row r="5" spans="1:2" x14ac:dyDescent="0.2">
      <c r="A5" s="1">
        <v>780</v>
      </c>
      <c r="B5" s="1">
        <f>B4-120</f>
        <v>240</v>
      </c>
    </row>
    <row r="6" spans="1:2" x14ac:dyDescent="0.2">
      <c r="A6" s="1">
        <v>775</v>
      </c>
      <c r="B6" s="1">
        <f>B5-120</f>
        <v>120</v>
      </c>
    </row>
    <row r="7" spans="1:2" x14ac:dyDescent="0.2">
      <c r="A7" s="1">
        <v>770</v>
      </c>
      <c r="B7" s="1">
        <f>B6-120</f>
        <v>0</v>
      </c>
    </row>
    <row r="8" spans="1:2" x14ac:dyDescent="0.2">
      <c r="A8" s="1">
        <v>763</v>
      </c>
    </row>
    <row r="9" spans="1:2" x14ac:dyDescent="0.2">
      <c r="A9" s="1">
        <v>756</v>
      </c>
    </row>
    <row r="10" spans="1:2" x14ac:dyDescent="0.2">
      <c r="A10" s="1">
        <v>749</v>
      </c>
    </row>
    <row r="11" spans="1:2" x14ac:dyDescent="0.2">
      <c r="A11" s="1">
        <v>739</v>
      </c>
    </row>
    <row r="12" spans="1:2" x14ac:dyDescent="0.2">
      <c r="A12" s="1">
        <v>729</v>
      </c>
    </row>
    <row r="13" spans="1:2" x14ac:dyDescent="0.2">
      <c r="A13" s="1">
        <v>717</v>
      </c>
    </row>
    <row r="14" spans="1:2" x14ac:dyDescent="0.2">
      <c r="A14" s="1">
        <v>705</v>
      </c>
    </row>
    <row r="15" spans="1:2" x14ac:dyDescent="0.2">
      <c r="A15" s="1">
        <v>690</v>
      </c>
    </row>
    <row r="16" spans="1:2" x14ac:dyDescent="0.2">
      <c r="A16" s="1">
        <v>675</v>
      </c>
    </row>
    <row r="17" spans="1:1" x14ac:dyDescent="0.2">
      <c r="A17" s="1">
        <v>660</v>
      </c>
    </row>
    <row r="18" spans="1:1" x14ac:dyDescent="0.2">
      <c r="A18" s="1">
        <v>640</v>
      </c>
    </row>
    <row r="19" spans="1:1" x14ac:dyDescent="0.2">
      <c r="A19" s="1">
        <v>620</v>
      </c>
    </row>
    <row r="20" spans="1:1" x14ac:dyDescent="0.2">
      <c r="A20" s="1">
        <v>600</v>
      </c>
    </row>
    <row r="21" spans="1:1" x14ac:dyDescent="0.2">
      <c r="A21" s="1">
        <v>570</v>
      </c>
    </row>
    <row r="22" spans="1:1" x14ac:dyDescent="0.2">
      <c r="A22" s="1">
        <v>540</v>
      </c>
    </row>
    <row r="23" spans="1:1" x14ac:dyDescent="0.2">
      <c r="A23" s="1">
        <v>500</v>
      </c>
    </row>
    <row r="24" spans="1:1" x14ac:dyDescent="0.2">
      <c r="A24" s="1">
        <v>460</v>
      </c>
    </row>
    <row r="25" spans="1:1" x14ac:dyDescent="0.2">
      <c r="A25" s="1">
        <v>420</v>
      </c>
    </row>
    <row r="26" spans="1:1" x14ac:dyDescent="0.2">
      <c r="A26" s="1">
        <v>370</v>
      </c>
    </row>
    <row r="27" spans="1:1" x14ac:dyDescent="0.2">
      <c r="A27" s="1">
        <v>320</v>
      </c>
    </row>
    <row r="28" spans="1:1" x14ac:dyDescent="0.2">
      <c r="A28" s="1">
        <v>260</v>
      </c>
    </row>
    <row r="29" spans="1:1" x14ac:dyDescent="0.2">
      <c r="A29" s="1">
        <v>200</v>
      </c>
    </row>
    <row r="30" spans="1:1" x14ac:dyDescent="0.2">
      <c r="A30" s="1">
        <v>140</v>
      </c>
    </row>
    <row r="31" spans="1:1" x14ac:dyDescent="0.2">
      <c r="A31" s="1">
        <v>70</v>
      </c>
    </row>
    <row r="32" spans="1:1" x14ac:dyDescent="0.2">
      <c r="A3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18</vt:i4>
      </vt:variant>
    </vt:vector>
  </HeadingPairs>
  <TitlesOfParts>
    <vt:vector size="32" baseType="lpstr">
      <vt:lpstr>迎擊</vt:lpstr>
      <vt:lpstr>真龍試煉</vt:lpstr>
      <vt:lpstr>龍之試煉</vt:lpstr>
      <vt:lpstr>虛空</vt:lpstr>
      <vt:lpstr>Raid</vt:lpstr>
      <vt:lpstr>資料-龍試煉</vt:lpstr>
      <vt:lpstr>資料-迎擊</vt:lpstr>
      <vt:lpstr>資料-虛空</vt:lpstr>
      <vt:lpstr>_DataHDrags</vt:lpstr>
      <vt:lpstr>掉落-真火</vt:lpstr>
      <vt:lpstr>_DataHMerc</vt:lpstr>
      <vt:lpstr>掉落-真風</vt:lpstr>
      <vt:lpstr>_DataHJup</vt:lpstr>
      <vt:lpstr>_DataHZod</vt:lpstr>
      <vt:lpstr>DATA_DRAG_ACCU_EXP</vt:lpstr>
      <vt:lpstr>DATA_DRAG_LV_EXP</vt:lpstr>
      <vt:lpstr>DATA_DRAGON_EXP</vt:lpstr>
      <vt:lpstr>DATA_DRAGON_PLAYS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DATA_IO</vt:lpstr>
      <vt:lpstr>DRAGON_MAX_EXP</vt:lpstr>
      <vt:lpstr>RAID_GOAL_BLAZON</vt:lpstr>
      <vt:lpstr>RAID_GOAL_EMBLEM</vt:lpstr>
      <vt:lpstr>RAID_TIME_DURATION</vt:lpstr>
      <vt:lpstr>RAID_TIME_END</vt:lpstr>
      <vt:lpstr>RAID_TIME_START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2019-04-06T18:53:17Z</dcterms:modified>
</cp:coreProperties>
</file>