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985" documentId="14_{049F9EFC-050E-4651-8DC8-B33E922A69AE}" xr6:coauthVersionLast="43" xr6:coauthVersionMax="43" xr10:uidLastSave="{E5259291-8A7A-4741-BAF5-8761C8D148EC}"/>
  <bookViews>
    <workbookView xWindow="-21990" yWindow="2745" windowWidth="22485" windowHeight="11835" activeTab="1" xr2:uid="{D0E79A60-AC9E-4AFD-A74C-CCE50AE0356B}"/>
  </bookViews>
  <sheets>
    <sheet name="迎擊" sheetId="18" r:id="rId1"/>
    <sheet name="真龍試煉" sheetId="20" r:id="rId2"/>
    <sheet name="龍之試煉" sheetId="19" r:id="rId3"/>
    <sheet name="虛空" sheetId="21" r:id="rId4"/>
    <sheet name="Raid" sheetId="16" r:id="rId5"/>
    <sheet name="資料-龍試煉" sheetId="4" r:id="rId6"/>
    <sheet name="資料-迎擊" sheetId="7" r:id="rId7"/>
    <sheet name="資料-虛空" sheetId="15" r:id="rId8"/>
    <sheet name="資料-真龍" sheetId="9" state="hidden" r:id="rId9"/>
    <sheet name="掉落-真火" sheetId="10" r:id="rId10"/>
    <sheet name="掉落-真水" sheetId="11" state="hidden" r:id="rId11"/>
    <sheet name="掉落-真風" sheetId="14" r:id="rId12"/>
    <sheet name="掉落-真光" sheetId="13" state="hidden" r:id="rId13"/>
    <sheet name="掉落-真暗" sheetId="12" state="hidden" r:id="rId14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DATA_DRAG_ACCU_EXP">'資料-龍試煉'!$G$2:$G$101</definedName>
    <definedName name="DATA_DRAG_LV_EXP">'資料-龍試煉'!$F$2:$F$101</definedName>
    <definedName name="DATA_DRAGON_EXP">'資料-龍試煉'!$A:$A</definedName>
    <definedName name="DATA_DRAGON_PLAYS">'資料-龍試煉'!$B:$B</definedName>
    <definedName name="DATA_HDRAG_HBRUN" comment="Raw drop data of High Brunhilda">'掉落-真火'!$1:$1048576</definedName>
    <definedName name="DATA_HDRAG_HJUP" comment="Raw drop data of High Jupiter">'掉落-真光'!$1:$1048576</definedName>
    <definedName name="DATA_HDRAG_HMERC" comment="Raw drop data of High Mercury">'掉落-真水'!$1:$1048576</definedName>
    <definedName name="DATA_HDRAG_HMID" comment="Raw drop data of High Midgarsormr">'掉落-真風'!$1:$1048576</definedName>
    <definedName name="DATA_HDRAG_HZOD" comment="Raw drop data of High Zodiac">'掉落-真暗'!$1:$1048576</definedName>
    <definedName name="DATA_HDRAGS_BUILDING" comment="Table of orbs required for upgrading the building of high dragons.">'資料-真龍'!$A$2:$A$32</definedName>
    <definedName name="DATA_HDRAGS_DRAGON" comment="Table of orbs required for limit breaking the high dragons.">'資料-真龍'!$B$2:$B$7</definedName>
    <definedName name="DATA_IO" comment="Raw data for building Imperial Onslaught related facilities.">'資料-迎擊'!$AJ$3:$AR$32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'資料-龍試煉'!$G$101</definedName>
    <definedName name="DRAGON_EXP_60">'資料-龍試煉'!$G$61</definedName>
    <definedName name="DRAGON_EXP_80">'資料-龍試煉'!$G$81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S_MAX_ALL" comment="Value of required orbs for maxing all high dragons related objects.">HDRAGS_MAX_BUILDING + HDRAGS_MAX_DRAGON</definedName>
    <definedName name="HDRAGS_MAX_BUILDING" comment="Value of orbs required for maxing the building of the high dragons.">MAX(DATA_HDRAGS_BUILDING)</definedName>
    <definedName name="HDRAGS_MAX_DRAGON" comment="Value of orbs required for maxing the limit break of the high dragons.">MAX(DATA_HDRAGS_DRAGON)</definedName>
    <definedName name="HDRAGS_MAX_DRAGON_BLD_16" comment="Value of required orbs for max limit break the dragon and upgrade the building to Lv.16.">MAX(DATA_HDRAGS_DRAGON)+INDEX(DATA_HDRAGS_BUILDING,16)</definedName>
    <definedName name="IO_WEAPON_434">250</definedName>
    <definedName name="IO_WEAPON_530">200</definedName>
    <definedName name="RAID_GOAL_BLAZON">Raid!$E$6</definedName>
    <definedName name="RAID_GOAL_EMBLEM">Raid!$E$5</definedName>
    <definedName name="RAID_TIME_DURATION">Raid!$E$2</definedName>
    <definedName name="RAID_TIME_END">Raid!$B$2</definedName>
    <definedName name="RAID_TIME_START">Raid!$B$1</definedName>
    <definedName name="VOID_TOTAL_GAMES">SUM('資料-虛空'!$A:$A)</definedName>
    <definedName name="VOID_TOTAL_GOLD">SUM('資料-虛空'!$B:$B)</definedName>
    <definedName name="VOID_TOTAL_SILVER">SUM('資料-虛空'!$C:$C)</definedName>
    <definedName name="VOID_TOTAL_SILVER2">SUM('資料-虛空'!$D:$D)</definedName>
    <definedName name="VOID_TOTAL_SILVER2_GAMES">SUM('資料-虛空'!$E:$E)</definedName>
    <definedName name="VOID_TOTAL_SPECIAL">SUM('資料-虛空'!$F:$F)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9" l="1"/>
  <c r="A3" i="7" l="1"/>
  <c r="C3" i="7"/>
  <c r="A4" i="7"/>
  <c r="C4" i="7"/>
  <c r="A5" i="7"/>
  <c r="C5" i="7"/>
  <c r="F3" i="7"/>
  <c r="H3" i="7"/>
  <c r="F4" i="7"/>
  <c r="H4" i="7"/>
  <c r="F5" i="7"/>
  <c r="H5" i="7"/>
  <c r="F6" i="7"/>
  <c r="H6" i="7"/>
  <c r="F7" i="7"/>
  <c r="H7" i="7"/>
  <c r="F8" i="7"/>
  <c r="H8" i="7"/>
  <c r="F9" i="7"/>
  <c r="H9" i="7"/>
  <c r="F10" i="7"/>
  <c r="H10" i="7"/>
  <c r="F11" i="7"/>
  <c r="H11" i="7"/>
  <c r="F12" i="7"/>
  <c r="H12" i="7"/>
  <c r="F13" i="7"/>
  <c r="H13" i="7"/>
  <c r="F14" i="7"/>
  <c r="H14" i="7"/>
  <c r="F15" i="7"/>
  <c r="H15" i="7"/>
  <c r="F16" i="7"/>
  <c r="H16" i="7"/>
  <c r="F17" i="7"/>
  <c r="H17" i="7"/>
  <c r="K3" i="7"/>
  <c r="M3" i="7"/>
  <c r="K4" i="7"/>
  <c r="M4" i="7"/>
  <c r="K5" i="7"/>
  <c r="M5" i="7"/>
  <c r="K6" i="7"/>
  <c r="M6" i="7"/>
  <c r="K7" i="7"/>
  <c r="M7" i="7"/>
  <c r="K8" i="7"/>
  <c r="M8" i="7"/>
  <c r="P3" i="7"/>
  <c r="R3" i="7"/>
  <c r="P4" i="7"/>
  <c r="R4" i="7"/>
  <c r="P5" i="7"/>
  <c r="R5" i="7"/>
  <c r="P6" i="7"/>
  <c r="R6" i="7"/>
  <c r="P7" i="7"/>
  <c r="R7" i="7"/>
  <c r="R8" i="7"/>
  <c r="P8" i="7"/>
  <c r="W3" i="7"/>
  <c r="W4" i="7"/>
  <c r="W5" i="7"/>
  <c r="W6" i="7"/>
  <c r="U3" i="7"/>
  <c r="U4" i="7"/>
  <c r="U5" i="7"/>
  <c r="U6" i="7"/>
  <c r="U7" i="7"/>
  <c r="O2" i="18"/>
  <c r="O12" i="18" s="1"/>
  <c r="O4" i="18"/>
  <c r="O6" i="18"/>
  <c r="O8" i="18"/>
  <c r="O10" i="18"/>
  <c r="M16" i="18"/>
  <c r="D15" i="18"/>
  <c r="I15" i="18" s="1"/>
  <c r="E15" i="18" s="1"/>
  <c r="J15" i="18" s="1"/>
  <c r="D14" i="18"/>
  <c r="I14" i="18" s="1"/>
  <c r="D10" i="18"/>
  <c r="I10" i="18" s="1"/>
  <c r="N2" i="18"/>
  <c r="N12" i="18" s="1"/>
  <c r="L6" i="18" s="1"/>
  <c r="M6" i="18" s="1"/>
  <c r="N4" i="18"/>
  <c r="N6" i="18"/>
  <c r="N8" i="18"/>
  <c r="W7" i="7"/>
  <c r="N10" i="18"/>
  <c r="D2" i="18"/>
  <c r="I2" i="18" s="1"/>
  <c r="D3" i="18"/>
  <c r="I3" i="18"/>
  <c r="K3" i="18" s="1"/>
  <c r="N3" i="18"/>
  <c r="N13" i="18" s="1"/>
  <c r="N5" i="18"/>
  <c r="K5" i="18" s="1"/>
  <c r="N7" i="18"/>
  <c r="N9" i="18"/>
  <c r="N11" i="18"/>
  <c r="D4" i="18"/>
  <c r="I4" i="18" s="1"/>
  <c r="D5" i="18"/>
  <c r="I5" i="18"/>
  <c r="D6" i="18"/>
  <c r="G6" i="18" s="1"/>
  <c r="H6" i="18" s="1"/>
  <c r="I6" i="18"/>
  <c r="K6" i="18" s="1"/>
  <c r="D7" i="18"/>
  <c r="I7" i="18" s="1"/>
  <c r="D8" i="18"/>
  <c r="I8" i="18" s="1"/>
  <c r="D9" i="18"/>
  <c r="I9" i="18"/>
  <c r="K9" i="18" s="1"/>
  <c r="D11" i="18"/>
  <c r="G11" i="18" s="1"/>
  <c r="H11" i="18" s="1"/>
  <c r="I11" i="18"/>
  <c r="K11" i="18" s="1"/>
  <c r="D16" i="18"/>
  <c r="G16" i="18" s="1"/>
  <c r="F16" i="18"/>
  <c r="F15" i="18"/>
  <c r="F14" i="18"/>
  <c r="G15" i="18"/>
  <c r="G14" i="18"/>
  <c r="X5" i="18"/>
  <c r="Q6" i="18"/>
  <c r="X6" i="18"/>
  <c r="W5" i="18"/>
  <c r="W6" i="18"/>
  <c r="V5" i="18"/>
  <c r="V6" i="18"/>
  <c r="U5" i="18"/>
  <c r="U6" i="18"/>
  <c r="T5" i="18"/>
  <c r="T6" i="18"/>
  <c r="K6" i="19"/>
  <c r="P3" i="19"/>
  <c r="P2" i="19"/>
  <c r="K6" i="21"/>
  <c r="E6" i="21"/>
  <c r="K7" i="21"/>
  <c r="I6" i="21"/>
  <c r="I7" i="21"/>
  <c r="H6" i="21"/>
  <c r="H7" i="21"/>
  <c r="J6" i="21"/>
  <c r="J7" i="21"/>
  <c r="C7" i="21"/>
  <c r="B7" i="21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C6" i="21"/>
  <c r="B6" i="21"/>
  <c r="C5" i="21"/>
  <c r="B5" i="21"/>
  <c r="C4" i="21"/>
  <c r="B4" i="21"/>
  <c r="B6" i="19"/>
  <c r="G39" i="16"/>
  <c r="I39" i="16"/>
  <c r="G44" i="16"/>
  <c r="I44" i="16"/>
  <c r="F39" i="16"/>
  <c r="H39" i="16"/>
  <c r="F44" i="16"/>
  <c r="H44" i="16"/>
  <c r="G43" i="16"/>
  <c r="I43" i="16"/>
  <c r="F43" i="16"/>
  <c r="H43" i="16"/>
  <c r="G42" i="16"/>
  <c r="I42" i="16"/>
  <c r="F42" i="16"/>
  <c r="H42" i="16"/>
  <c r="G41" i="16"/>
  <c r="I41" i="16"/>
  <c r="F41" i="16"/>
  <c r="H41" i="16"/>
  <c r="G40" i="16"/>
  <c r="I40" i="16"/>
  <c r="F40" i="16"/>
  <c r="H40" i="16"/>
  <c r="G31" i="16"/>
  <c r="I31" i="16"/>
  <c r="G38" i="16"/>
  <c r="I38" i="16"/>
  <c r="F31" i="16"/>
  <c r="H31" i="16"/>
  <c r="F38" i="16"/>
  <c r="H38" i="16"/>
  <c r="G37" i="16"/>
  <c r="I37" i="16"/>
  <c r="F37" i="16"/>
  <c r="H37" i="16"/>
  <c r="G36" i="16"/>
  <c r="I36" i="16"/>
  <c r="F36" i="16"/>
  <c r="H36" i="16"/>
  <c r="G35" i="16"/>
  <c r="I35" i="16"/>
  <c r="F35" i="16"/>
  <c r="H35" i="16"/>
  <c r="G34" i="16"/>
  <c r="I34" i="16"/>
  <c r="F34" i="16"/>
  <c r="H34" i="16"/>
  <c r="G33" i="16"/>
  <c r="I33" i="16"/>
  <c r="F33" i="16"/>
  <c r="H33" i="16"/>
  <c r="G32" i="16"/>
  <c r="I32" i="16"/>
  <c r="F32" i="16"/>
  <c r="H32" i="16"/>
  <c r="G30" i="16"/>
  <c r="I30" i="16"/>
  <c r="F30" i="16"/>
  <c r="H30" i="16"/>
  <c r="G20" i="16"/>
  <c r="I20" i="16"/>
  <c r="F20" i="16"/>
  <c r="H20" i="16"/>
  <c r="G29" i="16"/>
  <c r="I29" i="16"/>
  <c r="F29" i="16"/>
  <c r="H29" i="16"/>
  <c r="G28" i="16"/>
  <c r="I28" i="16"/>
  <c r="F28" i="16"/>
  <c r="H28" i="16"/>
  <c r="G27" i="16"/>
  <c r="I27" i="16"/>
  <c r="F27" i="16"/>
  <c r="H27" i="16"/>
  <c r="G23" i="16"/>
  <c r="I23" i="16"/>
  <c r="G26" i="16"/>
  <c r="I26" i="16"/>
  <c r="F23" i="16"/>
  <c r="H23" i="16"/>
  <c r="F26" i="16"/>
  <c r="H26" i="16"/>
  <c r="G25" i="16"/>
  <c r="I25" i="16"/>
  <c r="F25" i="16"/>
  <c r="H25" i="16"/>
  <c r="G24" i="16"/>
  <c r="I24" i="16"/>
  <c r="F24" i="16"/>
  <c r="H24" i="16"/>
  <c r="G22" i="16"/>
  <c r="I22" i="16"/>
  <c r="F22" i="16"/>
  <c r="H22" i="16"/>
  <c r="G21" i="16"/>
  <c r="I21" i="16"/>
  <c r="F21" i="16"/>
  <c r="H21" i="16"/>
  <c r="G19" i="16"/>
  <c r="I19" i="16"/>
  <c r="F19" i="16"/>
  <c r="H19" i="16"/>
  <c r="G18" i="16"/>
  <c r="I18" i="16"/>
  <c r="F18" i="16"/>
  <c r="H18" i="16"/>
  <c r="G17" i="16"/>
  <c r="I17" i="16"/>
  <c r="F17" i="16"/>
  <c r="H17" i="16"/>
  <c r="G16" i="16"/>
  <c r="I16" i="16"/>
  <c r="F16" i="16"/>
  <c r="H16" i="16"/>
  <c r="G15" i="16"/>
  <c r="I15" i="16"/>
  <c r="F15" i="16"/>
  <c r="H15" i="16"/>
  <c r="G14" i="16"/>
  <c r="I14" i="16"/>
  <c r="F14" i="16"/>
  <c r="H14" i="16"/>
  <c r="G13" i="16"/>
  <c r="I13" i="16"/>
  <c r="F13" i="16"/>
  <c r="H13" i="16"/>
  <c r="G12" i="16"/>
  <c r="I12" i="16"/>
  <c r="F12" i="16"/>
  <c r="H12" i="16"/>
  <c r="G11" i="16"/>
  <c r="I11" i="16"/>
  <c r="F11" i="16"/>
  <c r="H11" i="16"/>
  <c r="G10" i="16"/>
  <c r="I10" i="16"/>
  <c r="F10" i="16"/>
  <c r="H10" i="16"/>
  <c r="F2" i="16"/>
  <c r="D2" i="16"/>
  <c r="G9" i="19"/>
  <c r="F8" i="19" s="1"/>
  <c r="G40" i="20"/>
  <c r="F40" i="20"/>
  <c r="E40" i="20"/>
  <c r="D40" i="20"/>
  <c r="C40" i="20"/>
  <c r="G39" i="20"/>
  <c r="F39" i="20"/>
  <c r="E39" i="20"/>
  <c r="D39" i="20"/>
  <c r="C39" i="20"/>
  <c r="G6" i="20"/>
  <c r="C6" i="20"/>
  <c r="B6" i="20"/>
  <c r="C7" i="20"/>
  <c r="C38" i="20"/>
  <c r="D6" i="20"/>
  <c r="D7" i="20"/>
  <c r="D38" i="20"/>
  <c r="E6" i="20"/>
  <c r="E7" i="20"/>
  <c r="E38" i="20"/>
  <c r="F6" i="20"/>
  <c r="F7" i="20"/>
  <c r="F38" i="20"/>
  <c r="G38" i="20"/>
  <c r="G37" i="20"/>
  <c r="F37" i="20"/>
  <c r="E37" i="20"/>
  <c r="D37" i="20"/>
  <c r="C37" i="20"/>
  <c r="G2" i="20"/>
  <c r="C2" i="20"/>
  <c r="B2" i="20"/>
  <c r="C3" i="20"/>
  <c r="C36" i="20"/>
  <c r="D2" i="20"/>
  <c r="D3" i="20"/>
  <c r="D36" i="20"/>
  <c r="E2" i="20"/>
  <c r="E3" i="20"/>
  <c r="E36" i="20"/>
  <c r="F2" i="20"/>
  <c r="F3" i="20"/>
  <c r="F36" i="20"/>
  <c r="G36" i="20"/>
  <c r="G33" i="20"/>
  <c r="F33" i="20"/>
  <c r="E33" i="20"/>
  <c r="D33" i="20"/>
  <c r="C33" i="20"/>
  <c r="G32" i="20"/>
  <c r="F32" i="20"/>
  <c r="E32" i="20"/>
  <c r="D32" i="20"/>
  <c r="C32" i="20"/>
  <c r="C31" i="20"/>
  <c r="D31" i="20"/>
  <c r="E31" i="20"/>
  <c r="F31" i="20"/>
  <c r="G31" i="20"/>
  <c r="G30" i="20"/>
  <c r="F30" i="20"/>
  <c r="E30" i="20"/>
  <c r="D30" i="20"/>
  <c r="C30" i="20"/>
  <c r="C29" i="20"/>
  <c r="D29" i="20"/>
  <c r="E29" i="20"/>
  <c r="F29" i="20"/>
  <c r="G29" i="20"/>
  <c r="G26" i="20"/>
  <c r="F26" i="20"/>
  <c r="E26" i="20"/>
  <c r="D26" i="20"/>
  <c r="C26" i="20"/>
  <c r="G25" i="20"/>
  <c r="F25" i="20"/>
  <c r="E25" i="20"/>
  <c r="D25" i="20"/>
  <c r="C25" i="20"/>
  <c r="C24" i="20"/>
  <c r="D24" i="20"/>
  <c r="E24" i="20"/>
  <c r="F24" i="20"/>
  <c r="G24" i="20"/>
  <c r="G23" i="20"/>
  <c r="F23" i="20"/>
  <c r="E23" i="20"/>
  <c r="D23" i="20"/>
  <c r="C23" i="20"/>
  <c r="C22" i="20"/>
  <c r="D22" i="20"/>
  <c r="E22" i="20"/>
  <c r="F22" i="20"/>
  <c r="G22" i="20"/>
  <c r="G19" i="20"/>
  <c r="F19" i="20"/>
  <c r="E19" i="20"/>
  <c r="D19" i="20"/>
  <c r="C19" i="20"/>
  <c r="G18" i="20"/>
  <c r="F18" i="20"/>
  <c r="E18" i="20"/>
  <c r="D18" i="20"/>
  <c r="C18" i="20"/>
  <c r="C17" i="20"/>
  <c r="D17" i="20"/>
  <c r="E17" i="20"/>
  <c r="F17" i="20"/>
  <c r="G17" i="20"/>
  <c r="G16" i="20"/>
  <c r="F16" i="20"/>
  <c r="E16" i="20"/>
  <c r="D16" i="20"/>
  <c r="C16" i="20"/>
  <c r="C15" i="20"/>
  <c r="D15" i="20"/>
  <c r="E15" i="20"/>
  <c r="F15" i="20"/>
  <c r="G15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O7" i="20"/>
  <c r="W7" i="20"/>
  <c r="V7" i="20"/>
  <c r="U7" i="20"/>
  <c r="S7" i="20"/>
  <c r="R7" i="20"/>
  <c r="Q7" i="20"/>
  <c r="P7" i="20"/>
  <c r="L6" i="20"/>
  <c r="N6" i="20"/>
  <c r="O6" i="20"/>
  <c r="W6" i="20"/>
  <c r="V6" i="20"/>
  <c r="U6" i="20"/>
  <c r="S6" i="20"/>
  <c r="R6" i="20"/>
  <c r="Q6" i="20"/>
  <c r="P6" i="20"/>
  <c r="L5" i="20"/>
  <c r="N5" i="20"/>
  <c r="O5" i="20"/>
  <c r="W5" i="20"/>
  <c r="V5" i="20"/>
  <c r="U5" i="20"/>
  <c r="S5" i="20"/>
  <c r="R5" i="20"/>
  <c r="Q5" i="20"/>
  <c r="P5" i="20"/>
  <c r="F5" i="20"/>
  <c r="E5" i="20"/>
  <c r="D5" i="20"/>
  <c r="C5" i="20"/>
  <c r="L4" i="20"/>
  <c r="N4" i="20"/>
  <c r="O4" i="20"/>
  <c r="W4" i="20"/>
  <c r="V4" i="20"/>
  <c r="U4" i="20"/>
  <c r="S4" i="20"/>
  <c r="R4" i="20"/>
  <c r="Q4" i="20"/>
  <c r="P4" i="20"/>
  <c r="F4" i="20"/>
  <c r="E4" i="20"/>
  <c r="D4" i="20"/>
  <c r="C4" i="20"/>
  <c r="B4" i="20"/>
  <c r="L3" i="20"/>
  <c r="N3" i="20"/>
  <c r="U3" i="20" s="1"/>
  <c r="V3" i="20"/>
  <c r="AB16" i="18"/>
  <c r="AC16" i="18" s="1"/>
  <c r="AA16" i="18"/>
  <c r="U16" i="18"/>
  <c r="T16" i="18"/>
  <c r="F3" i="18"/>
  <c r="E3" i="18" s="1"/>
  <c r="F5" i="18"/>
  <c r="E5" i="18"/>
  <c r="F7" i="18"/>
  <c r="F13" i="18" s="1"/>
  <c r="F9" i="18"/>
  <c r="E9" i="18"/>
  <c r="J9" i="18" s="1"/>
  <c r="F11" i="18"/>
  <c r="E11" i="18" s="1"/>
  <c r="J11" i="18" s="1"/>
  <c r="AB15" i="18"/>
  <c r="AA15" i="18"/>
  <c r="U15" i="18"/>
  <c r="T15" i="18"/>
  <c r="F2" i="18"/>
  <c r="F12" i="18" s="1"/>
  <c r="F4" i="18"/>
  <c r="F6" i="18"/>
  <c r="E6" i="18" s="1"/>
  <c r="J6" i="18" s="1"/>
  <c r="F8" i="18"/>
  <c r="F10" i="18"/>
  <c r="AB14" i="18"/>
  <c r="AA14" i="18"/>
  <c r="U14" i="18"/>
  <c r="V14" i="18" s="1"/>
  <c r="T14" i="18"/>
  <c r="AB13" i="18"/>
  <c r="AA13" i="18"/>
  <c r="U13" i="18"/>
  <c r="T13" i="18"/>
  <c r="G10" i="18"/>
  <c r="H10" i="18" s="1"/>
  <c r="AB12" i="18"/>
  <c r="AA12" i="18"/>
  <c r="U12" i="18"/>
  <c r="T12" i="18"/>
  <c r="G9" i="18"/>
  <c r="H9" i="18"/>
  <c r="AB11" i="18"/>
  <c r="AC11" i="18" s="1"/>
  <c r="AA11" i="18"/>
  <c r="U11" i="18"/>
  <c r="V11" i="18" s="1"/>
  <c r="T11" i="18"/>
  <c r="AB10" i="18"/>
  <c r="AA10" i="18"/>
  <c r="U10" i="18"/>
  <c r="V10" i="18" s="1"/>
  <c r="T10" i="18"/>
  <c r="G7" i="18"/>
  <c r="H7" i="18" s="1"/>
  <c r="AB9" i="18"/>
  <c r="AA9" i="18"/>
  <c r="U9" i="18"/>
  <c r="T9" i="18"/>
  <c r="J5" i="18"/>
  <c r="G5" i="18"/>
  <c r="G13" i="18" s="1"/>
  <c r="G3" i="18"/>
  <c r="H3" i="18"/>
  <c r="G2" i="18"/>
  <c r="T7" i="20"/>
  <c r="T6" i="20"/>
  <c r="T5" i="20"/>
  <c r="T4" i="20"/>
  <c r="G4" i="20"/>
  <c r="G8" i="20"/>
  <c r="G10" i="20"/>
  <c r="D13" i="18"/>
  <c r="C13" i="18"/>
  <c r="C12" i="18"/>
  <c r="V9" i="18"/>
  <c r="AC9" i="18"/>
  <c r="AC10" i="18"/>
  <c r="V12" i="18"/>
  <c r="AC12" i="18"/>
  <c r="V13" i="18"/>
  <c r="AC13" i="18"/>
  <c r="AC14" i="18"/>
  <c r="V15" i="18"/>
  <c r="AC15" i="18"/>
  <c r="V16" i="18"/>
  <c r="E2" i="16"/>
  <c r="E44" i="16"/>
  <c r="D44" i="16"/>
  <c r="E43" i="16"/>
  <c r="D43" i="16"/>
  <c r="E42" i="16"/>
  <c r="D42" i="16"/>
  <c r="D41" i="16"/>
  <c r="E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B6" i="16"/>
  <c r="F6" i="16"/>
  <c r="B5" i="16"/>
  <c r="F5" i="16"/>
  <c r="E30" i="16"/>
  <c r="D30" i="16"/>
  <c r="E29" i="16"/>
  <c r="D29" i="16"/>
  <c r="E28" i="16"/>
  <c r="D28" i="16"/>
  <c r="E27" i="16"/>
  <c r="D27" i="16"/>
  <c r="E26" i="16"/>
  <c r="D26" i="16"/>
  <c r="B4" i="9"/>
  <c r="B5" i="9"/>
  <c r="B6" i="9"/>
  <c r="B7" i="9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C6" i="16"/>
  <c r="C5" i="16"/>
  <c r="E13" i="16"/>
  <c r="D13" i="16"/>
  <c r="E12" i="16"/>
  <c r="D12" i="16"/>
  <c r="E11" i="16"/>
  <c r="D11" i="16"/>
  <c r="E10" i="16"/>
  <c r="D10" i="1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6"/>
  <c r="I5" i="16" s="1"/>
  <c r="D6" i="16"/>
  <c r="I6" i="16" s="1"/>
  <c r="H5" i="16"/>
  <c r="H6" i="16"/>
  <c r="L44" i="16"/>
  <c r="L38" i="16"/>
  <c r="L25" i="16"/>
  <c r="L20" i="16"/>
  <c r="K41" i="16"/>
  <c r="K33" i="16"/>
  <c r="K21" i="16"/>
  <c r="K20" i="16"/>
  <c r="K18" i="16"/>
  <c r="K16" i="16"/>
  <c r="K14" i="16"/>
  <c r="K12" i="16"/>
  <c r="K35" i="16"/>
  <c r="L42" i="16"/>
  <c r="L40" i="16"/>
  <c r="L36" i="16"/>
  <c r="L34" i="16"/>
  <c r="L32" i="16"/>
  <c r="L30" i="16"/>
  <c r="L28" i="16"/>
  <c r="L22" i="16"/>
  <c r="L18" i="16"/>
  <c r="K25" i="16"/>
  <c r="L16" i="16"/>
  <c r="K23" i="16"/>
  <c r="L26" i="16"/>
  <c r="L19" i="16"/>
  <c r="L17" i="16"/>
  <c r="L15" i="16"/>
  <c r="L13" i="16"/>
  <c r="L11" i="16"/>
  <c r="L39" i="16"/>
  <c r="L24" i="16"/>
  <c r="L12" i="16"/>
  <c r="K29" i="16"/>
  <c r="K44" i="16"/>
  <c r="K42" i="16"/>
  <c r="K40" i="16"/>
  <c r="K38" i="16"/>
  <c r="K36" i="16"/>
  <c r="K34" i="16"/>
  <c r="K32" i="16"/>
  <c r="K30" i="16"/>
  <c r="K28" i="16"/>
  <c r="K22" i="16"/>
  <c r="K39" i="16"/>
  <c r="K19" i="16"/>
  <c r="K17" i="16"/>
  <c r="K15" i="16"/>
  <c r="K13" i="16"/>
  <c r="K11" i="16"/>
  <c r="L41" i="16"/>
  <c r="L35" i="16"/>
  <c r="L31" i="16"/>
  <c r="L27" i="16"/>
  <c r="K26" i="16"/>
  <c r="L23" i="16"/>
  <c r="L14" i="16"/>
  <c r="K37" i="16"/>
  <c r="L43" i="16"/>
  <c r="L37" i="16"/>
  <c r="L33" i="16"/>
  <c r="L29" i="16"/>
  <c r="L21" i="16"/>
  <c r="K24" i="16"/>
  <c r="K43" i="16"/>
  <c r="K31" i="16"/>
  <c r="K27" i="16"/>
  <c r="O3" i="20" l="1"/>
  <c r="L4" i="18"/>
  <c r="M4" i="18" s="1"/>
  <c r="E4" i="18"/>
  <c r="J4" i="18" s="1"/>
  <c r="K4" i="18"/>
  <c r="L11" i="18"/>
  <c r="M11" i="18" s="1"/>
  <c r="L5" i="18"/>
  <c r="M5" i="18" s="1"/>
  <c r="L9" i="18"/>
  <c r="M9" i="18" s="1"/>
  <c r="L8" i="18"/>
  <c r="M8" i="18" s="1"/>
  <c r="K8" i="18"/>
  <c r="N16" i="18"/>
  <c r="N15" i="18"/>
  <c r="K15" i="18" s="1"/>
  <c r="M15" i="18" s="1"/>
  <c r="N14" i="18"/>
  <c r="K14" i="18" s="1"/>
  <c r="M14" i="18" s="1"/>
  <c r="J3" i="18"/>
  <c r="E10" i="18"/>
  <c r="J10" i="18" s="1"/>
  <c r="K10" i="18"/>
  <c r="L10" i="18"/>
  <c r="M10" i="18" s="1"/>
  <c r="E8" i="18"/>
  <c r="J8" i="18" s="1"/>
  <c r="E14" i="18"/>
  <c r="J14" i="18" s="1"/>
  <c r="K7" i="18"/>
  <c r="K13" i="18" s="1"/>
  <c r="L7" i="18"/>
  <c r="M7" i="18" s="1"/>
  <c r="E7" i="18"/>
  <c r="J7" i="18" s="1"/>
  <c r="I13" i="18"/>
  <c r="L2" i="18"/>
  <c r="E2" i="18"/>
  <c r="K2" i="18"/>
  <c r="I12" i="18"/>
  <c r="D12" i="18"/>
  <c r="L3" i="18"/>
  <c r="H2" i="18"/>
  <c r="H5" i="18"/>
  <c r="H13" i="18" s="1"/>
  <c r="I16" i="18"/>
  <c r="G4" i="18"/>
  <c r="H4" i="18" s="1"/>
  <c r="G8" i="18"/>
  <c r="H8" i="18" s="1"/>
  <c r="K5" i="19"/>
  <c r="N5" i="19" s="1"/>
  <c r="F10" i="19"/>
  <c r="F12" i="19"/>
  <c r="F11" i="19"/>
  <c r="B7" i="19"/>
  <c r="S3" i="20" l="1"/>
  <c r="R3" i="20"/>
  <c r="T3" i="20"/>
  <c r="Q3" i="20"/>
  <c r="W3" i="20"/>
  <c r="P3" i="20"/>
  <c r="H12" i="18"/>
  <c r="G12" i="18"/>
  <c r="E16" i="18"/>
  <c r="J16" i="18" s="1"/>
  <c r="K16" i="18"/>
  <c r="K12" i="18"/>
  <c r="L13" i="18"/>
  <c r="M3" i="18"/>
  <c r="M13" i="18" s="1"/>
  <c r="E12" i="18"/>
  <c r="J12" i="18" s="1"/>
  <c r="J2" i="18"/>
  <c r="M2" i="18"/>
  <c r="M12" i="18" s="1"/>
  <c r="L12" i="18"/>
  <c r="E13" i="18"/>
  <c r="J13" i="18" s="1"/>
  <c r="F3" i="19"/>
  <c r="B9" i="19"/>
  <c r="B10" i="19" s="1"/>
  <c r="F4" i="19" s="1"/>
  <c r="F5" i="19" s="1"/>
</calcChain>
</file>

<file path=xl/sharedStrings.xml><?xml version="1.0" encoding="utf-8"?>
<sst xmlns="http://schemas.openxmlformats.org/spreadsheetml/2006/main" count="437" uniqueCount="125">
  <si>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</si>
  <si>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</si>
  <si>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</si>
  <si>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</si>
  <si>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</si>
  <si>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</si>
  <si>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</si>
  <si>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</si>
  <si>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</si>
  <si>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</si>
  <si>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</si>
  <si>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</si>
  <si>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</si>
  <si>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</si>
  <si>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</si>
  <si>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</si>
  <si>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</si>
  <si>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</si>
  <si>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</si>
  <si>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</si>
  <si>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</si>
  <si>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</si>
  <si>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</si>
  <si>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</si>
  <si>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</si>
  <si>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</si>
  <si>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</si>
  <si>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</si>
  <si>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</si>
  <si>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</si>
  <si>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</si>
  <si>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</si>
  <si>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</si>
  <si>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</si>
  <si>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</si>
  <si>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</si>
  <si>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</si>
  <si>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</si>
  <si>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</si>
  <si>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</si>
  <si>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</si>
  <si>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</si>
  <si>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</si>
  <si>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</si>
  <si>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</si>
  <si>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</si>
  <si>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</si>
  <si>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</si>
  <si>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</si>
  <si>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</si>
  <si>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</si>
  <si>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</si>
  <si>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</si>
  <si>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</si>
  <si>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</si>
  <si>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</si>
  <si>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</si>
  <si>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</si>
  <si>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</si>
  <si>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</si>
  <si>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</si>
  <si>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</si>
  <si>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</si>
  <si>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</si>
  <si>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</si>
  <si>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</si>
  <si>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</si>
  <si>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</si>
  <si>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</si>
  <si>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</si>
  <si>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</si>
  <si>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</si>
  <si>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</si>
  <si>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</si>
  <si>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</si>
  <si>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</si>
  <si>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</si>
  <si>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</si>
  <si>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</si>
  <si>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</si>
  <si>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</si>
  <si>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</si>
  <si>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</si>
  <si>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屬性</t>
  </si>
  <si>
    <t>場/數量</t>
  </si>
  <si>
    <t>銀2</t>
  </si>
  <si>
    <t>銀2 場次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</si>
  <si>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</si>
  <si>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</si>
  <si>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</si>
  <si>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</si>
  <si>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</si>
  <si>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</si>
  <si>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</si>
  <si>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預期差距</t>
  </si>
  <si>
    <t>目標差距</t>
  </si>
  <si>
    <t>金章</t>
  </si>
  <si>
    <t>戰貨</t>
  </si>
  <si>
    <t>最後預估</t>
  </si>
  <si>
    <t>基準行</t>
  </si>
  <si>
    <t>預計目標差距歸零時間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</si>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</sst>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0.000%"/>
    <numFmt numFmtId="175" formatCode="[Color50]\+0.0,\ &quot;K&quot;;[Red]\-0.0,\ &quot;K&quot;"/>
    <numFmt numFmtId="176" formatCode="0.0000%"/>
    <numFmt numFmtId="177" formatCode="[&gt;3][h]\ \H;[&lt;=3][h]\ \H\ mm\ \M"/>
    <numFmt numFmtId="178" formatCode="[hh]\ \H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15" fillId="14" borderId="0" xfId="0" applyNumberFormat="1" applyFont="1" applyFill="1" applyAlignment="1">
      <alignment horizontal="center" vertical="center"/>
    </xf>
    <xf numFmtId="166" fontId="6" fillId="14" borderId="0" xfId="0" applyNumberFormat="1" applyFont="1" applyFill="1" applyAlignment="1">
      <alignment horizontal="center" vertical="center"/>
    </xf>
    <xf numFmtId="166" fontId="6" fillId="15" borderId="0" xfId="0" applyNumberFormat="1" applyFont="1" applyFill="1" applyAlignment="1">
      <alignment horizontal="center" vertical="center"/>
    </xf>
    <xf numFmtId="166" fontId="15" fillId="15" borderId="0" xfId="0" applyNumberFormat="1" applyFont="1" applyFill="1" applyAlignment="1">
      <alignment horizontal="center" vertical="center"/>
    </xf>
    <xf numFmtId="166" fontId="6" fillId="17" borderId="0" xfId="0" applyNumberFormat="1" applyFont="1" applyFill="1" applyAlignment="1">
      <alignment horizontal="center" vertical="center"/>
    </xf>
    <xf numFmtId="166" fontId="15" fillId="17" borderId="0" xfId="0" applyNumberFormat="1" applyFont="1" applyFill="1" applyAlignment="1">
      <alignment horizontal="center" vertical="center"/>
    </xf>
    <xf numFmtId="166" fontId="15" fillId="16" borderId="0" xfId="0" applyNumberFormat="1" applyFont="1" applyFill="1" applyAlignment="1">
      <alignment horizontal="center" vertical="center"/>
    </xf>
    <xf numFmtId="166" fontId="14" fillId="16" borderId="0" xfId="0" applyNumberFormat="1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3" fillId="20" borderId="0" xfId="0" applyNumberFormat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0" fontId="18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26" fillId="21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BDBD"/>
      <color rgb="FFD0B9FF"/>
      <color rgb="FFD0CECE"/>
      <color rgb="FFFFF2CC"/>
      <color rgb="FFE2EFDA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16"/>
  <sheetViews>
    <sheetView zoomScaleNormal="60" zoomScaleSheetLayoutView="100" workbookViewId="0">
      <selection activeCell="X3" sqref="X3"/>
    </sheetView>
  </sheetViews>
  <sheetFormatPr defaultColWidth="8.5703125" defaultRowHeight="15" x14ac:dyDescent="0.25"/>
  <cols>
    <col min="1" max="1" width="4.85546875" style="49" customWidth="1"/>
    <col min="2" max="2" width="6.140625" style="49" customWidth="1"/>
    <col min="3" max="3" width="6.28515625" style="83" customWidth="1"/>
    <col min="4" max="4" width="6.28515625" style="166" customWidth="1"/>
    <col min="5" max="7" width="6.28515625" style="49" customWidth="1"/>
    <col min="8" max="8" width="7.28515625" style="49" customWidth="1"/>
    <col min="9" max="9" width="6.28515625" style="80" customWidth="1"/>
    <col min="10" max="10" width="17.42578125" style="49" customWidth="1"/>
    <col min="11" max="11" width="6.28515625" style="49" customWidth="1"/>
    <col min="12" max="12" width="6.85546875" style="49" customWidth="1"/>
    <col min="13" max="13" width="6.28515625" style="49" customWidth="1"/>
    <col min="14" max="14" width="7" style="49" customWidth="1"/>
    <col min="15" max="15" width="7.140625" style="49" customWidth="1"/>
    <col min="16" max="16" width="8.5703125" style="49"/>
    <col min="17" max="33" width="7.140625" style="49" customWidth="1"/>
    <col min="34" max="16384" width="8.5703125" style="49"/>
  </cols>
  <sheetData>
    <row r="1" spans="1:30" ht="15" customHeight="1" x14ac:dyDescent="0.25">
      <c r="A1" s="51"/>
      <c r="B1" s="51"/>
      <c r="C1" s="82" t="s">
        <v>26</v>
      </c>
      <c r="D1" s="164" t="s">
        <v>111</v>
      </c>
      <c r="E1" s="31" t="s">
        <v>112</v>
      </c>
      <c r="F1" s="31" t="s">
        <v>113</v>
      </c>
      <c r="G1" s="51" t="s">
        <v>74</v>
      </c>
      <c r="H1" s="51" t="s">
        <v>114</v>
      </c>
      <c r="I1" s="81" t="s">
        <v>27</v>
      </c>
      <c r="J1" s="51" t="s">
        <v>28</v>
      </c>
      <c r="K1" s="51" t="s">
        <v>29</v>
      </c>
      <c r="L1" s="34" t="s">
        <v>75</v>
      </c>
      <c r="M1" s="51" t="s">
        <v>31</v>
      </c>
      <c r="N1" s="51" t="s">
        <v>32</v>
      </c>
      <c r="O1" s="51" t="s">
        <v>33</v>
      </c>
      <c r="Q1" s="96"/>
      <c r="R1" s="56" t="s">
        <v>31</v>
      </c>
      <c r="S1" s="56" t="s">
        <v>107</v>
      </c>
      <c r="T1" s="56" t="s">
        <v>108</v>
      </c>
      <c r="U1" s="56" t="s">
        <v>109</v>
      </c>
      <c r="V1" s="56" t="s">
        <v>119</v>
      </c>
      <c r="W1" s="56" t="s">
        <v>120</v>
      </c>
      <c r="X1" s="56" t="s">
        <v>121</v>
      </c>
    </row>
    <row r="2" spans="1:30" ht="15" customHeight="1" x14ac:dyDescent="0.25">
      <c r="A2" s="204" t="s">
        <v>14</v>
      </c>
      <c r="B2" s="84" t="s">
        <v>108</v>
      </c>
      <c r="C2" s="83">
        <v>500</v>
      </c>
      <c r="D2" s="165">
        <f>VLOOKUP($R$9,DATA_IO,6,TRUE)+VLOOKUP($R$10,DATA_IO,6,TRUE)+VLOOKUP($X$9,DATA_IO,6,TRUE)+VLOOKUP($X$10,DATA_IO,6,TRUE)</f>
        <v>0</v>
      </c>
      <c r="E2" s="25">
        <f t="shared" ref="E2:E11" si="0">F2-I2</f>
        <v>800</v>
      </c>
      <c r="F2" s="25">
        <f>'資料-迎擊'!$AO$3*4</f>
        <v>800</v>
      </c>
      <c r="G2" s="49">
        <f t="shared" ref="G2:G11" si="1">IF(D2-C2 &lt;= 0,ABS(D2-C2),"")</f>
        <v>500</v>
      </c>
      <c r="H2" s="49">
        <f>IFERROR(FLOOR(G2/IO_WEAPON_530,1),"")</f>
        <v>2</v>
      </c>
      <c r="I2" s="80">
        <f t="shared" ref="I2:I11" si="2">IF(D2-C2 &lt; 0,0,D2-C2)</f>
        <v>0</v>
      </c>
      <c r="J2" s="64">
        <f t="shared" ref="J2:J16" si="3">IF(E2/F2 &gt; 1,100%,E2/F2)</f>
        <v>1</v>
      </c>
      <c r="K2" s="57">
        <f t="shared" ref="K2:K11" si="4">IFERROR(ROUND(I2/N2,0),0)</f>
        <v>0</v>
      </c>
      <c r="L2" s="57">
        <f>IFERROR(ROUND(I2/$N$12,0),0)</f>
        <v>0</v>
      </c>
      <c r="M2" s="7">
        <f t="shared" ref="M2:M11" si="5">L2/(WINGS_RECOVER_NUM/WINGS_CONSUME_IO)*WINGS_RECOVER_DIAMS</f>
        <v>0</v>
      </c>
      <c r="N2" s="8">
        <f>IFERROR(SUMPRODUCT('資料-迎擊'!C:C,'資料-迎擊'!E:E)/O$2,"")</f>
        <v>3.5347793567688854</v>
      </c>
      <c r="O2" s="199">
        <f>SUM('資料-迎擊'!E:E)</f>
        <v>1337</v>
      </c>
      <c r="Q2" s="56" t="s">
        <v>57</v>
      </c>
      <c r="R2" s="103">
        <v>93006</v>
      </c>
      <c r="S2" s="103">
        <v>8</v>
      </c>
      <c r="T2" s="103">
        <v>1609</v>
      </c>
      <c r="U2" s="103">
        <v>1983</v>
      </c>
      <c r="V2" s="103">
        <v>5763</v>
      </c>
      <c r="W2" s="103">
        <v>8338</v>
      </c>
      <c r="X2" s="103">
        <v>72830</v>
      </c>
    </row>
    <row r="3" spans="1:30" ht="15" customHeight="1" x14ac:dyDescent="0.25">
      <c r="A3" s="204"/>
      <c r="B3" s="84" t="s">
        <v>109</v>
      </c>
      <c r="C3" s="83">
        <v>2443</v>
      </c>
      <c r="D3" s="165">
        <f>VLOOKUP($R$9,DATA_IO,5,TRUE)+VLOOKUP($R$10,DATA_IO,5,TRUE)+VLOOKUP($X$9,DATA_IO,5,TRUE)+VLOOKUP($X$10,DATA_IO,5,TRUE)</f>
        <v>0</v>
      </c>
      <c r="E3" s="25">
        <f t="shared" si="0"/>
        <v>5720</v>
      </c>
      <c r="F3" s="25">
        <f>'資料-迎擊'!$AN$3*4</f>
        <v>5720</v>
      </c>
      <c r="G3" s="49">
        <f t="shared" si="1"/>
        <v>2443</v>
      </c>
      <c r="H3" s="49">
        <f>IFERROR(FLOOR(G3/IO_WEAPON_434,1),"")</f>
        <v>9</v>
      </c>
      <c r="I3" s="80">
        <f t="shared" si="2"/>
        <v>0</v>
      </c>
      <c r="J3" s="64">
        <f t="shared" si="3"/>
        <v>1</v>
      </c>
      <c r="K3" s="57">
        <f t="shared" si="4"/>
        <v>0</v>
      </c>
      <c r="L3" s="57">
        <f>IFERROR(ROUND(I3/$N$13,0),0)</f>
        <v>0</v>
      </c>
      <c r="M3" s="7">
        <f t="shared" si="5"/>
        <v>0</v>
      </c>
      <c r="N3" s="8">
        <f>IFERROR(SUMPRODUCT('資料-迎擊'!A:A,'資料-迎擊'!E:E)/O$2,"")</f>
        <v>0</v>
      </c>
      <c r="O3" s="199"/>
      <c r="Q3" s="56" t="s">
        <v>58</v>
      </c>
      <c r="R3" s="103">
        <v>93006</v>
      </c>
      <c r="S3" s="103">
        <v>8</v>
      </c>
      <c r="T3" s="103">
        <v>1609</v>
      </c>
      <c r="U3" s="103">
        <v>1983</v>
      </c>
      <c r="V3" s="103">
        <v>5763</v>
      </c>
      <c r="W3" s="103">
        <v>8338</v>
      </c>
      <c r="X3" s="103">
        <v>72830</v>
      </c>
    </row>
    <row r="4" spans="1:30" x14ac:dyDescent="0.25">
      <c r="A4" s="207" t="s">
        <v>12</v>
      </c>
      <c r="B4" s="85" t="s">
        <v>108</v>
      </c>
      <c r="C4" s="83">
        <v>395</v>
      </c>
      <c r="D4" s="165">
        <f>VLOOKUP($R$11,DATA_IO,6,TRUE)+VLOOKUP($R$12,DATA_IO,6,TRUE)+VLOOKUP($X$11,DATA_IO,6,TRUE)+VLOOKUP($X$12,DATA_IO,6,TRUE)</f>
        <v>0</v>
      </c>
      <c r="E4" s="25">
        <f t="shared" si="0"/>
        <v>800</v>
      </c>
      <c r="F4" s="25">
        <f>'資料-迎擊'!$AO$3*4</f>
        <v>800</v>
      </c>
      <c r="G4" s="49">
        <f t="shared" si="1"/>
        <v>395</v>
      </c>
      <c r="H4" s="49">
        <f>IFERROR(FLOOR(G4/IO_WEAPON_530,1),"")</f>
        <v>1</v>
      </c>
      <c r="I4" s="80">
        <f t="shared" si="2"/>
        <v>0</v>
      </c>
      <c r="J4" s="64">
        <f t="shared" si="3"/>
        <v>1</v>
      </c>
      <c r="K4" s="55">
        <f t="shared" si="4"/>
        <v>0</v>
      </c>
      <c r="L4" s="55">
        <f>IFERROR(ROUND(I4/$N$12,0),0)</f>
        <v>0</v>
      </c>
      <c r="M4" s="6">
        <f t="shared" si="5"/>
        <v>0</v>
      </c>
      <c r="N4" s="9">
        <f>IFERROR(SUMPRODUCT('資料-迎擊'!H:H,'資料-迎擊'!J:J)/O$4,"")</f>
        <v>3.4778660612939842</v>
      </c>
      <c r="O4" s="191">
        <f>SUM('資料-迎擊'!J:J)</f>
        <v>881</v>
      </c>
    </row>
    <row r="5" spans="1:30" x14ac:dyDescent="0.25">
      <c r="A5" s="207"/>
      <c r="B5" s="85" t="s">
        <v>109</v>
      </c>
      <c r="C5" s="83">
        <v>395</v>
      </c>
      <c r="D5" s="165">
        <f>VLOOKUP($R$11,DATA_IO,5,TRUE)+VLOOKUP($R$12,DATA_IO,5,TRUE)+VLOOKUP($X$11,DATA_IO,5,TRUE)+VLOOKUP($X$12,DATA_IO,5,TRUE)</f>
        <v>0</v>
      </c>
      <c r="E5" s="25">
        <f t="shared" si="0"/>
        <v>5720</v>
      </c>
      <c r="F5" s="25">
        <f>'資料-迎擊'!$AN$3*4</f>
        <v>5720</v>
      </c>
      <c r="G5" s="49">
        <f t="shared" si="1"/>
        <v>395</v>
      </c>
      <c r="H5" s="49">
        <f>IFERROR(FLOOR(G5/IO_WEAPON_434,1),"")</f>
        <v>1</v>
      </c>
      <c r="I5" s="80">
        <f t="shared" si="2"/>
        <v>0</v>
      </c>
      <c r="J5" s="64">
        <f t="shared" si="3"/>
        <v>1</v>
      </c>
      <c r="K5" s="55">
        <f t="shared" si="4"/>
        <v>0</v>
      </c>
      <c r="L5" s="55">
        <f>IFERROR(ROUND(I5/$N$13,0),0)</f>
        <v>0</v>
      </c>
      <c r="M5" s="6">
        <f t="shared" si="5"/>
        <v>0</v>
      </c>
      <c r="N5" s="9">
        <f>IFERROR(SUMPRODUCT('資料-迎擊'!F:F,'資料-迎擊'!J:J)/O$4,"")</f>
        <v>0</v>
      </c>
      <c r="O5" s="191"/>
      <c r="Q5" s="56" t="s">
        <v>29</v>
      </c>
      <c r="S5" s="56" t="s">
        <v>64</v>
      </c>
      <c r="T5" s="27">
        <f>T3-T2</f>
        <v>0</v>
      </c>
      <c r="U5" s="27">
        <f>U3-U2</f>
        <v>0</v>
      </c>
      <c r="V5" s="27">
        <f>V3-V2</f>
        <v>0</v>
      </c>
      <c r="W5" s="27">
        <f>W3-W2</f>
        <v>0</v>
      </c>
      <c r="X5" s="27">
        <f>X3-X2</f>
        <v>0</v>
      </c>
    </row>
    <row r="6" spans="1:30" ht="15.75" x14ac:dyDescent="0.25">
      <c r="A6" s="205" t="s">
        <v>11</v>
      </c>
      <c r="B6" s="86" t="s">
        <v>108</v>
      </c>
      <c r="C6" s="83">
        <v>904</v>
      </c>
      <c r="D6" s="165">
        <f>VLOOKUP($R$13,DATA_IO,6,TRUE)+VLOOKUP($R$14,DATA_IO,6,TRUE)+VLOOKUP($X$13,DATA_IO,6,TRUE)+VLOOKUP($X$14,DATA_IO,6,TRUE)</f>
        <v>0</v>
      </c>
      <c r="E6" s="25">
        <f t="shared" si="0"/>
        <v>800</v>
      </c>
      <c r="F6" s="25">
        <f>'資料-迎擊'!$AO$3*4</f>
        <v>800</v>
      </c>
      <c r="G6" s="49">
        <f t="shared" si="1"/>
        <v>904</v>
      </c>
      <c r="H6" s="49">
        <f>IFERROR(FLOOR(G6/IO_WEAPON_530,1),"")</f>
        <v>4</v>
      </c>
      <c r="I6" s="80">
        <f t="shared" si="2"/>
        <v>0</v>
      </c>
      <c r="J6" s="64">
        <f t="shared" si="3"/>
        <v>1</v>
      </c>
      <c r="K6" s="54">
        <f t="shared" si="4"/>
        <v>0</v>
      </c>
      <c r="L6" s="54">
        <f>IFERROR(ROUND(I6/$N$12,0),0)</f>
        <v>0</v>
      </c>
      <c r="M6" s="5">
        <f t="shared" si="5"/>
        <v>0</v>
      </c>
      <c r="N6" s="10">
        <f>IFERROR(SUMPRODUCT('資料-迎擊'!M:M,'資料-迎擊'!O:O)/O$6,"")</f>
        <v>3.492957746478873</v>
      </c>
      <c r="O6" s="198">
        <f>SUM('資料-迎擊'!O:O)</f>
        <v>142</v>
      </c>
      <c r="Q6" s="95">
        <f>(R2-R3)/WINGS_RECOVER_DIAMS*6 + (S2-S3)/WINGS_CONSUME_VOID</f>
        <v>0</v>
      </c>
      <c r="S6" s="56" t="s">
        <v>32</v>
      </c>
      <c r="T6" s="27" t="str">
        <f>IFERROR(T5/$Q$6,"")</f>
        <v/>
      </c>
      <c r="U6" s="27" t="str">
        <f>IFERROR(U5/$Q$6,"")</f>
        <v/>
      </c>
      <c r="V6" s="27" t="str">
        <f>IFERROR(V5/$Q$6,"")</f>
        <v/>
      </c>
      <c r="W6" s="27" t="str">
        <f>IFERROR(W5/$Q$6,"")</f>
        <v/>
      </c>
      <c r="X6" s="27" t="str">
        <f>IFERROR(X5/$Q$6,"")</f>
        <v/>
      </c>
    </row>
    <row r="7" spans="1:30" x14ac:dyDescent="0.25">
      <c r="A7" s="205"/>
      <c r="B7" s="86" t="s">
        <v>109</v>
      </c>
      <c r="C7" s="83">
        <v>904</v>
      </c>
      <c r="D7" s="165">
        <f>VLOOKUP($R$13,DATA_IO,5,TRUE)+VLOOKUP($R$14,DATA_IO,5,TRUE)+VLOOKUP($X$13,DATA_IO,5,TRUE)+VLOOKUP($X$14,DATA_IO,5,TRUE)</f>
        <v>0</v>
      </c>
      <c r="E7" s="25">
        <f t="shared" si="0"/>
        <v>5720</v>
      </c>
      <c r="F7" s="25">
        <f>'資料-迎擊'!$AN$3*4</f>
        <v>5720</v>
      </c>
      <c r="G7" s="49">
        <f t="shared" si="1"/>
        <v>904</v>
      </c>
      <c r="H7" s="49">
        <f>IFERROR(FLOOR(G7/IO_WEAPON_434,1),"")</f>
        <v>3</v>
      </c>
      <c r="I7" s="80">
        <f t="shared" si="2"/>
        <v>0</v>
      </c>
      <c r="J7" s="64">
        <f t="shared" si="3"/>
        <v>1</v>
      </c>
      <c r="K7" s="54">
        <f t="shared" si="4"/>
        <v>0</v>
      </c>
      <c r="L7" s="54">
        <f>IFERROR(ROUND(I7/$N$13,0),0)</f>
        <v>0</v>
      </c>
      <c r="M7" s="5">
        <f t="shared" si="5"/>
        <v>0</v>
      </c>
      <c r="N7" s="10">
        <f>IFERROR(SUMPRODUCT('資料-迎擊'!K:K,'資料-迎擊'!O:O)/O$6,"")</f>
        <v>0</v>
      </c>
      <c r="O7" s="198"/>
      <c r="AD7" s="72"/>
    </row>
    <row r="8" spans="1:30" x14ac:dyDescent="0.25">
      <c r="A8" s="194" t="s">
        <v>9</v>
      </c>
      <c r="B8" s="87" t="s">
        <v>108</v>
      </c>
      <c r="C8" s="83">
        <v>188</v>
      </c>
      <c r="D8" s="165">
        <f>VLOOKUP($R$15,DATA_IO,6,TRUE)+VLOOKUP($R$16,DATA_IO,6,TRUE)</f>
        <v>0</v>
      </c>
      <c r="E8" s="25">
        <f t="shared" si="0"/>
        <v>400</v>
      </c>
      <c r="F8" s="25">
        <f>'資料-迎擊'!$AO$3*2</f>
        <v>400</v>
      </c>
      <c r="G8" s="49">
        <f t="shared" si="1"/>
        <v>188</v>
      </c>
      <c r="H8" s="49">
        <f>IFERROR(FLOOR(G8/IO_WEAPON_530,1),"")</f>
        <v>0</v>
      </c>
      <c r="I8" s="80">
        <f t="shared" si="2"/>
        <v>0</v>
      </c>
      <c r="J8" s="64">
        <f t="shared" si="3"/>
        <v>1</v>
      </c>
      <c r="K8" s="53">
        <f t="shared" si="4"/>
        <v>0</v>
      </c>
      <c r="L8" s="53">
        <f>IFERROR(ROUND(I8/$N$12,0),0)</f>
        <v>0</v>
      </c>
      <c r="M8" s="4">
        <f t="shared" si="5"/>
        <v>0</v>
      </c>
      <c r="N8" s="11">
        <f>IFERROR(SUMPRODUCT('資料-迎擊'!R:R,'資料-迎擊'!T:T)/O$8,"")</f>
        <v>3.5145888594164458</v>
      </c>
      <c r="O8" s="195">
        <f>SUM('資料-迎擊'!T:T)</f>
        <v>377</v>
      </c>
      <c r="Q8" s="56" t="s">
        <v>22</v>
      </c>
      <c r="R8" s="97" t="s">
        <v>19</v>
      </c>
      <c r="S8" s="201" t="s">
        <v>21</v>
      </c>
      <c r="T8" s="201"/>
      <c r="U8" s="14" t="s">
        <v>23</v>
      </c>
      <c r="V8" s="56" t="s">
        <v>24</v>
      </c>
      <c r="W8" s="26" t="s">
        <v>22</v>
      </c>
      <c r="X8" s="97" t="s">
        <v>19</v>
      </c>
      <c r="Y8" s="58" t="s">
        <v>21</v>
      </c>
      <c r="Z8" s="158"/>
      <c r="AA8" s="59"/>
      <c r="AB8" s="14" t="s">
        <v>23</v>
      </c>
      <c r="AC8" s="67" t="s">
        <v>24</v>
      </c>
      <c r="AD8" s="72"/>
    </row>
    <row r="9" spans="1:30" x14ac:dyDescent="0.25">
      <c r="A9" s="194"/>
      <c r="B9" s="87" t="s">
        <v>109</v>
      </c>
      <c r="C9" s="83">
        <v>188</v>
      </c>
      <c r="D9" s="165">
        <f>VLOOKUP($R$15,DATA_IO,5,TRUE)+VLOOKUP($R$16,DATA_IO,5,TRUE)</f>
        <v>0</v>
      </c>
      <c r="E9" s="25">
        <f t="shared" si="0"/>
        <v>2860</v>
      </c>
      <c r="F9" s="25">
        <f>'資料-迎擊'!$AN$3*2</f>
        <v>2860</v>
      </c>
      <c r="G9" s="49">
        <f t="shared" si="1"/>
        <v>188</v>
      </c>
      <c r="H9" s="49">
        <f>IFERROR(FLOOR(G9/IO_WEAPON_434,1),"")</f>
        <v>0</v>
      </c>
      <c r="I9" s="80">
        <f t="shared" si="2"/>
        <v>0</v>
      </c>
      <c r="J9" s="64">
        <f t="shared" si="3"/>
        <v>1</v>
      </c>
      <c r="K9" s="53">
        <f t="shared" si="4"/>
        <v>0</v>
      </c>
      <c r="L9" s="53">
        <f>IFERROR(ROUND(I9/$N$13,0),0)</f>
        <v>0</v>
      </c>
      <c r="M9" s="4">
        <f t="shared" si="5"/>
        <v>0</v>
      </c>
      <c r="N9" s="11">
        <f>IFERROR(SUMPRODUCT('資料-迎擊'!P:P,'資料-迎擊'!T:T)/O$8,"")</f>
        <v>0</v>
      </c>
      <c r="O9" s="195"/>
      <c r="Q9" s="199" t="s">
        <v>20</v>
      </c>
      <c r="R9" s="98">
        <v>30</v>
      </c>
      <c r="S9" s="63" t="s">
        <v>1</v>
      </c>
      <c r="T9" s="15">
        <f>VLOOKUP(R9,DATA_IO,7)+VLOOKUP(R10,DATA_IO,7)</f>
        <v>23</v>
      </c>
      <c r="U9" s="104" t="str">
        <f t="shared" ref="U9:U16" si="6">IF(VLOOKUP(R9,DATA_IO,9)=0,"",VLOOKUP(R9,DATA_IO,9))</f>
        <v/>
      </c>
      <c r="V9" s="57" t="str">
        <f t="shared" ref="V9:V16" si="7">IFERROR(U9*BOOST_PRICE,"")</f>
        <v/>
      </c>
      <c r="W9" s="200" t="s">
        <v>13</v>
      </c>
      <c r="X9" s="98">
        <v>30</v>
      </c>
      <c r="Y9" s="63" t="s">
        <v>1</v>
      </c>
      <c r="Z9" s="68"/>
      <c r="AA9" s="15">
        <f>VLOOKUP(X9,DATA_IO,7)+VLOOKUP(X10,DATA_IO,7)</f>
        <v>23</v>
      </c>
      <c r="AB9" s="105" t="str">
        <f t="shared" ref="AB9:AB16" si="8">IF(VLOOKUP(X9,DATA_IO,9)=0,"",VLOOKUP(X9,DATA_IO,9))</f>
        <v/>
      </c>
      <c r="AC9" s="68" t="str">
        <f t="shared" ref="AC9:AC16" si="9">IFERROR(AB9*BOOST_PRICE,"")</f>
        <v/>
      </c>
      <c r="AD9" s="72"/>
    </row>
    <row r="10" spans="1:30" x14ac:dyDescent="0.25">
      <c r="A10" s="206" t="s">
        <v>8</v>
      </c>
      <c r="B10" s="88" t="s">
        <v>108</v>
      </c>
      <c r="C10" s="83">
        <v>732</v>
      </c>
      <c r="D10" s="165">
        <f>VLOOKUP($X$15,DATA_IO,6,TRUE)+VLOOKUP($X$16,DATA_IO,6,TRUE)</f>
        <v>0</v>
      </c>
      <c r="E10" s="25">
        <f t="shared" si="0"/>
        <v>400</v>
      </c>
      <c r="F10" s="25">
        <f>'資料-迎擊'!$AO$3*2</f>
        <v>400</v>
      </c>
      <c r="G10" s="49">
        <f t="shared" si="1"/>
        <v>732</v>
      </c>
      <c r="H10" s="49">
        <f>IFERROR(FLOOR(G10/IO_WEAPON_530,1),"")</f>
        <v>3</v>
      </c>
      <c r="I10" s="80">
        <f t="shared" si="2"/>
        <v>0</v>
      </c>
      <c r="J10" s="64">
        <f t="shared" si="3"/>
        <v>1</v>
      </c>
      <c r="K10" s="65">
        <f t="shared" si="4"/>
        <v>0</v>
      </c>
      <c r="L10" s="65">
        <f>IFERROR(ROUND(I10/$N$12,0),0)</f>
        <v>0</v>
      </c>
      <c r="M10" s="3">
        <f t="shared" si="5"/>
        <v>0</v>
      </c>
      <c r="N10" s="12">
        <f>IFERROR(SUMPRODUCT('資料-迎擊'!W:W,'資料-迎擊'!Y:Y)/O$10,"")</f>
        <v>3.5441696113074204</v>
      </c>
      <c r="O10" s="196">
        <f>SUM('資料-迎擊'!Y:Y)</f>
        <v>283</v>
      </c>
      <c r="Q10" s="199"/>
      <c r="R10" s="98">
        <v>30</v>
      </c>
      <c r="S10" s="63" t="s">
        <v>0</v>
      </c>
      <c r="T10" s="15">
        <f>VLOOKUP(R9,DATA_IO,8)+VLOOKUP(R10,DATA_IO,8)</f>
        <v>23</v>
      </c>
      <c r="U10" s="105" t="str">
        <f t="shared" si="6"/>
        <v/>
      </c>
      <c r="V10" s="57" t="str">
        <f t="shared" si="7"/>
        <v/>
      </c>
      <c r="W10" s="200"/>
      <c r="X10" s="98">
        <v>30</v>
      </c>
      <c r="Y10" s="63" t="s">
        <v>0</v>
      </c>
      <c r="Z10" s="68"/>
      <c r="AA10" s="15">
        <f>VLOOKUP(X9,DATA_IO,8)+VLOOKUP(X10,DATA_IO,8)</f>
        <v>23</v>
      </c>
      <c r="AB10" s="105" t="str">
        <f t="shared" si="8"/>
        <v/>
      </c>
      <c r="AC10" s="68" t="str">
        <f t="shared" si="9"/>
        <v/>
      </c>
      <c r="AD10" s="72"/>
    </row>
    <row r="11" spans="1:30" x14ac:dyDescent="0.25">
      <c r="A11" s="206"/>
      <c r="B11" s="88" t="s">
        <v>109</v>
      </c>
      <c r="C11" s="83">
        <v>732</v>
      </c>
      <c r="D11" s="165">
        <f>VLOOKUP($X$15,DATA_IO,5,TRUE)+VLOOKUP($X$16,DATA_IO,5,TRUE)</f>
        <v>0</v>
      </c>
      <c r="E11" s="25">
        <f t="shared" si="0"/>
        <v>2860</v>
      </c>
      <c r="F11" s="25">
        <f>'資料-迎擊'!$AN$3*2</f>
        <v>2860</v>
      </c>
      <c r="G11" s="49">
        <f t="shared" si="1"/>
        <v>732</v>
      </c>
      <c r="H11" s="49">
        <f>IFERROR(FLOOR(G11/IO_WEAPON_434,1),"")</f>
        <v>2</v>
      </c>
      <c r="I11" s="80">
        <f t="shared" si="2"/>
        <v>0</v>
      </c>
      <c r="J11" s="64">
        <f t="shared" si="3"/>
        <v>1</v>
      </c>
      <c r="K11" s="65">
        <f t="shared" si="4"/>
        <v>0</v>
      </c>
      <c r="L11" s="65">
        <f>IFERROR(ROUND(I11/$N$13,0),0)</f>
        <v>0</v>
      </c>
      <c r="M11" s="3">
        <f t="shared" si="5"/>
        <v>0</v>
      </c>
      <c r="N11" s="12">
        <f>IFERROR(SUMPRODUCT('資料-迎擊'!U:U,'資料-迎擊'!Y:Y)/O$10,"")</f>
        <v>0</v>
      </c>
      <c r="O11" s="196"/>
      <c r="Q11" s="191" t="s">
        <v>10</v>
      </c>
      <c r="R11" s="99">
        <v>30</v>
      </c>
      <c r="S11" s="62" t="s">
        <v>1</v>
      </c>
      <c r="T11" s="16">
        <f>VLOOKUP(R11,DATA_IO,7)+VLOOKUP(R12,DATA_IO,7)</f>
        <v>23</v>
      </c>
      <c r="U11" s="106" t="str">
        <f t="shared" si="6"/>
        <v/>
      </c>
      <c r="V11" s="55" t="str">
        <f t="shared" si="7"/>
        <v/>
      </c>
      <c r="W11" s="202" t="s">
        <v>7</v>
      </c>
      <c r="X11" s="99">
        <v>30</v>
      </c>
      <c r="Y11" s="62" t="s">
        <v>1</v>
      </c>
      <c r="Z11" s="69"/>
      <c r="AA11" s="16">
        <f>VLOOKUP(X11,DATA_IO,7)+VLOOKUP(X12,DATA_IO,7)</f>
        <v>23</v>
      </c>
      <c r="AB11" s="106" t="str">
        <f t="shared" si="8"/>
        <v/>
      </c>
      <c r="AC11" s="69" t="str">
        <f t="shared" si="9"/>
        <v/>
      </c>
      <c r="AD11" s="72"/>
    </row>
    <row r="12" spans="1:30" x14ac:dyDescent="0.25">
      <c r="A12" s="192" t="s">
        <v>6</v>
      </c>
      <c r="B12" s="56" t="s">
        <v>108</v>
      </c>
      <c r="C12" s="83">
        <f t="shared" ref="C12:I13" si="10">SUM(C2,C4,C6,C8,C10)</f>
        <v>2719</v>
      </c>
      <c r="D12" s="165">
        <f t="shared" si="10"/>
        <v>0</v>
      </c>
      <c r="E12" s="25">
        <f t="shared" si="10"/>
        <v>3200</v>
      </c>
      <c r="F12" s="25">
        <f t="shared" si="10"/>
        <v>3200</v>
      </c>
      <c r="G12" s="49">
        <f t="shared" si="10"/>
        <v>2719</v>
      </c>
      <c r="H12" s="49">
        <f t="shared" si="10"/>
        <v>10</v>
      </c>
      <c r="I12" s="80">
        <f t="shared" si="10"/>
        <v>0</v>
      </c>
      <c r="J12" s="64">
        <f t="shared" si="3"/>
        <v>1</v>
      </c>
      <c r="K12" s="2">
        <f t="shared" ref="K12:M13" si="11">SUM(K2,K4,K6,K8,K10)</f>
        <v>0</v>
      </c>
      <c r="L12" s="2">
        <f t="shared" si="11"/>
        <v>0</v>
      </c>
      <c r="M12" s="2">
        <f t="shared" si="11"/>
        <v>0</v>
      </c>
      <c r="N12" s="13">
        <f>(N2*O2+N4*O4+N6*O6+N8*O8+N10*O10) / O$12</f>
        <v>3.5145695364238412</v>
      </c>
      <c r="O12" s="193">
        <f>SUM(O2,O4,O6,O8,O10)</f>
        <v>3020</v>
      </c>
      <c r="Q12" s="191"/>
      <c r="R12" s="99">
        <v>30</v>
      </c>
      <c r="S12" s="62" t="s">
        <v>0</v>
      </c>
      <c r="T12" s="16">
        <f>VLOOKUP(R11,DATA_IO,8)+VLOOKUP(R12,DATA_IO,8)</f>
        <v>23</v>
      </c>
      <c r="U12" s="106" t="str">
        <f t="shared" si="6"/>
        <v/>
      </c>
      <c r="V12" s="55" t="str">
        <f t="shared" si="7"/>
        <v/>
      </c>
      <c r="W12" s="202"/>
      <c r="X12" s="99">
        <v>30</v>
      </c>
      <c r="Y12" s="62" t="s">
        <v>0</v>
      </c>
      <c r="Z12" s="69"/>
      <c r="AA12" s="16">
        <f>VLOOKUP(X11,DATA_IO,8)+VLOOKUP(X12,DATA_IO,8)</f>
        <v>23</v>
      </c>
      <c r="AB12" s="106" t="str">
        <f t="shared" si="8"/>
        <v/>
      </c>
      <c r="AC12" s="69" t="str">
        <f t="shared" si="9"/>
        <v/>
      </c>
      <c r="AD12" s="72"/>
    </row>
    <row r="13" spans="1:30" x14ac:dyDescent="0.25">
      <c r="A13" s="192"/>
      <c r="B13" s="56" t="s">
        <v>109</v>
      </c>
      <c r="C13" s="83">
        <f t="shared" si="10"/>
        <v>4662</v>
      </c>
      <c r="D13" s="165">
        <f t="shared" si="10"/>
        <v>0</v>
      </c>
      <c r="E13" s="25">
        <f t="shared" si="10"/>
        <v>22880</v>
      </c>
      <c r="F13" s="25">
        <f t="shared" si="10"/>
        <v>22880</v>
      </c>
      <c r="G13" s="49">
        <f t="shared" si="10"/>
        <v>4662</v>
      </c>
      <c r="H13" s="49">
        <f t="shared" si="10"/>
        <v>15</v>
      </c>
      <c r="I13" s="80">
        <f t="shared" si="10"/>
        <v>0</v>
      </c>
      <c r="J13" s="64">
        <f t="shared" si="3"/>
        <v>1</v>
      </c>
      <c r="K13" s="2">
        <f t="shared" si="11"/>
        <v>0</v>
      </c>
      <c r="L13" s="2">
        <f t="shared" si="11"/>
        <v>0</v>
      </c>
      <c r="M13" s="2">
        <f t="shared" si="11"/>
        <v>0</v>
      </c>
      <c r="N13" s="13">
        <f>(N3*O2+N5*O4+N7*O6+N9*O8+N11*O10) / O$12</f>
        <v>0</v>
      </c>
      <c r="O13" s="193"/>
      <c r="Q13" s="198" t="s">
        <v>5</v>
      </c>
      <c r="R13" s="100">
        <v>30</v>
      </c>
      <c r="S13" s="61" t="s">
        <v>1</v>
      </c>
      <c r="T13" s="17">
        <f>VLOOKUP(R13,DATA_IO,7)+VLOOKUP(R14,DATA_IO,7)</f>
        <v>23</v>
      </c>
      <c r="U13" s="107" t="str">
        <f t="shared" si="6"/>
        <v/>
      </c>
      <c r="V13" s="54" t="str">
        <f t="shared" si="7"/>
        <v/>
      </c>
      <c r="W13" s="203" t="s">
        <v>4</v>
      </c>
      <c r="X13" s="100">
        <v>30</v>
      </c>
      <c r="Y13" s="61" t="s">
        <v>1</v>
      </c>
      <c r="Z13" s="70"/>
      <c r="AA13" s="17">
        <f>VLOOKUP(X13,DATA_IO,7)+VLOOKUP(X14,DATA_IO,7)</f>
        <v>23</v>
      </c>
      <c r="AB13" s="107" t="str">
        <f t="shared" si="8"/>
        <v/>
      </c>
      <c r="AC13" s="70" t="str">
        <f t="shared" si="9"/>
        <v/>
      </c>
      <c r="AD13" s="72"/>
    </row>
    <row r="14" spans="1:30" x14ac:dyDescent="0.25">
      <c r="A14" s="192"/>
      <c r="B14" s="56" t="s">
        <v>119</v>
      </c>
      <c r="C14" s="83">
        <v>0</v>
      </c>
      <c r="D14" s="165">
        <f>SUM(VLOOKUP($R$9,DATA_IO,4,TRUE),VLOOKUP($R$10,DATA_IO,4,TRUE),VLOOKUP($R$11,DATA_IO,4,TRUE),VLOOKUP($R$12,DATA_IO,4,TRUE),VLOOKUP($R$13,DATA_IO,4,TRUE),VLOOKUP($R$14,DATA_IO,4,TRUE),VLOOKUP($R$15,DATA_IO,4,TRUE),VLOOKUP($R$16,DATA_IO,4,TRUE),VLOOKUP($X$9,DATA_IO,4,TRUE),VLOOKUP($X$10,DATA_IO,4,TRUE),VLOOKUP($X$11,DATA_IO,4,TRUE),VLOOKUP($X$12,DATA_IO,4,TRUE),VLOOKUP($X$13,DATA_IO,4,TRUE),VLOOKUP($X$14,DATA_IO,4,TRUE),VLOOKUP($X$15,DATA_IO,4,TRUE),VLOOKUP($X$16,DATA_IO,4,TRUE))</f>
        <v>0</v>
      </c>
      <c r="E14" s="25">
        <f>F14-I14</f>
        <v>10400</v>
      </c>
      <c r="F14" s="25">
        <f>'資料-迎擊'!$AM$3*16</f>
        <v>10400</v>
      </c>
      <c r="G14" s="49">
        <f>IF(D14-C14 &lt;= 0,ABS(D14-C14),"")</f>
        <v>0</v>
      </c>
      <c r="I14" s="80">
        <f>IF(D14-C14 &lt; 0,0,D14-C14)</f>
        <v>0</v>
      </c>
      <c r="J14" s="64">
        <f t="shared" si="3"/>
        <v>1</v>
      </c>
      <c r="K14" s="193">
        <f>IFERROR(ROUND(I14/N14,0),0)</f>
        <v>0</v>
      </c>
      <c r="L14" s="193"/>
      <c r="M14" s="2">
        <f>K14/(WINGS_RECOVER_NUM/WINGS_CONSUME_IO)*WINGS_RECOVER_DIAMS</f>
        <v>0</v>
      </c>
      <c r="N14" s="13">
        <f>IFERROR(SUMPRODUCT('資料-迎擊'!Z:Z,'資料-迎擊'!AB:AB)/O$12,"")</f>
        <v>0</v>
      </c>
      <c r="O14" s="193"/>
      <c r="Q14" s="198"/>
      <c r="R14" s="100">
        <v>30</v>
      </c>
      <c r="S14" s="61" t="s">
        <v>0</v>
      </c>
      <c r="T14" s="17">
        <f>VLOOKUP(R13,DATA_IO,8)+VLOOKUP(R14,DATA_IO,8)</f>
        <v>23</v>
      </c>
      <c r="U14" s="107" t="str">
        <f t="shared" si="6"/>
        <v/>
      </c>
      <c r="V14" s="54" t="str">
        <f t="shared" si="7"/>
        <v/>
      </c>
      <c r="W14" s="203"/>
      <c r="X14" s="100">
        <v>30</v>
      </c>
      <c r="Y14" s="61" t="s">
        <v>0</v>
      </c>
      <c r="Z14" s="70"/>
      <c r="AA14" s="17">
        <f>VLOOKUP(X13,DATA_IO,8)+VLOOKUP(X14,DATA_IO,8)</f>
        <v>23</v>
      </c>
      <c r="AB14" s="107" t="str">
        <f t="shared" si="8"/>
        <v/>
      </c>
      <c r="AC14" s="70" t="str">
        <f t="shared" si="9"/>
        <v/>
      </c>
      <c r="AD14" s="72"/>
    </row>
    <row r="15" spans="1:30" x14ac:dyDescent="0.25">
      <c r="A15" s="192"/>
      <c r="B15" s="56" t="s">
        <v>120</v>
      </c>
      <c r="C15" s="83">
        <v>0</v>
      </c>
      <c r="D15" s="165">
        <f>SUM(VLOOKUP($R$9,DATA_IO,3,TRUE),VLOOKUP($R$10,DATA_IO,3,TRUE),VLOOKUP($R$11,DATA_IO,3,TRUE),VLOOKUP($R$12,DATA_IO,3,TRUE),VLOOKUP($R$13,DATA_IO,3,TRUE),VLOOKUP($R$14,DATA_IO,3,TRUE),VLOOKUP($R$15,DATA_IO,3,TRUE),VLOOKUP($R$16,DATA_IO,3,TRUE),VLOOKUP($X$9,DATA_IO,3,TRUE),VLOOKUP($X$10,DATA_IO,3,TRUE),VLOOKUP($X$11,DATA_IO,3,TRUE),VLOOKUP($X$12,DATA_IO,3,TRUE),VLOOKUP($X$13,DATA_IO,3,TRUE),VLOOKUP($X$14,DATA_IO,3,TRUE),VLOOKUP($X$15,DATA_IO,3,TRUE),VLOOKUP($X$16,DATA_IO,3,TRUE))</f>
        <v>0</v>
      </c>
      <c r="E15" s="25">
        <f>F15-I15</f>
        <v>11440</v>
      </c>
      <c r="F15" s="25">
        <f>'資料-迎擊'!$AL$3*16</f>
        <v>11440</v>
      </c>
      <c r="G15" s="49">
        <f>IF(D15-C15 &lt;= 0,ABS(D15-C15),"")</f>
        <v>0</v>
      </c>
      <c r="I15" s="80">
        <f>IF(D15-C15 &lt; 0,0,D15-C15)</f>
        <v>0</v>
      </c>
      <c r="J15" s="64">
        <f t="shared" si="3"/>
        <v>1</v>
      </c>
      <c r="K15" s="193">
        <f>IFERROR(ROUND(I15/N15,0),0)</f>
        <v>0</v>
      </c>
      <c r="L15" s="193"/>
      <c r="M15" s="2">
        <f>K15/(WINGS_RECOVER_NUM/WINGS_CONSUME_IO)*WINGS_RECOVER_DIAMS</f>
        <v>0</v>
      </c>
      <c r="N15" s="13">
        <f>IFERROR(SUMPRODUCT('資料-迎擊'!AC:AC,'資料-迎擊'!AE:AE)/O$12,"")</f>
        <v>0</v>
      </c>
      <c r="O15" s="193"/>
      <c r="Q15" s="195" t="s">
        <v>3</v>
      </c>
      <c r="R15" s="101">
        <v>30</v>
      </c>
      <c r="S15" s="24" t="s">
        <v>1</v>
      </c>
      <c r="T15" s="18">
        <f>VLOOKUP(R15,DATA_IO,7)+VLOOKUP(R16,DATA_IO,7)</f>
        <v>23</v>
      </c>
      <c r="U15" s="108" t="str">
        <f t="shared" si="6"/>
        <v/>
      </c>
      <c r="V15" s="53" t="str">
        <f t="shared" si="7"/>
        <v/>
      </c>
      <c r="W15" s="197" t="s">
        <v>2</v>
      </c>
      <c r="X15" s="102">
        <v>30</v>
      </c>
      <c r="Y15" s="60" t="s">
        <v>1</v>
      </c>
      <c r="Z15" s="71"/>
      <c r="AA15" s="19">
        <f>VLOOKUP(X15,DATA_IO,7)+VLOOKUP(X16,DATA_IO,7)</f>
        <v>23</v>
      </c>
      <c r="AB15" s="109" t="str">
        <f t="shared" si="8"/>
        <v/>
      </c>
      <c r="AC15" s="71" t="str">
        <f t="shared" si="9"/>
        <v/>
      </c>
      <c r="AD15" s="72"/>
    </row>
    <row r="16" spans="1:30" x14ac:dyDescent="0.25">
      <c r="A16" s="192"/>
      <c r="B16" s="56" t="s">
        <v>121</v>
      </c>
      <c r="C16" s="83">
        <v>0</v>
      </c>
      <c r="D16" s="165">
        <f>SUM(VLOOKUP($R$9,DATA_IO,2,TRUE),VLOOKUP($R$10,DATA_IO,2,TRUE),VLOOKUP($R$11,DATA_IO,2,TRUE),VLOOKUP($R$12,DATA_IO,2,TRUE),VLOOKUP($R$13,DATA_IO,2,TRUE),VLOOKUP($R$14,DATA_IO,2,TRUE),VLOOKUP($R$15,DATA_IO,2,TRUE),VLOOKUP($R$16,DATA_IO,2,TRUE),VLOOKUP($X$9,DATA_IO,2,TRUE),VLOOKUP($X$10,DATA_IO,2,TRUE),VLOOKUP($X$11,DATA_IO,2,TRUE),VLOOKUP($X$12,DATA_IO,2,TRUE),VLOOKUP($X$13,DATA_IO,2,TRUE),VLOOKUP($X$14,DATA_IO,2,TRUE),VLOOKUP($X$15,DATA_IO,2,TRUE),VLOOKUP($X$16,DATA_IO,2,TRUE))</f>
        <v>0</v>
      </c>
      <c r="E16" s="25">
        <f>F16-I16</f>
        <v>38080</v>
      </c>
      <c r="F16" s="25">
        <f>'資料-迎擊'!$AK$3*16</f>
        <v>38080</v>
      </c>
      <c r="G16" s="49">
        <f>IF(D16-C16 &lt;= 0,ABS(D16-C16),"")</f>
        <v>0</v>
      </c>
      <c r="I16" s="80">
        <f>IF(D16-C16 &lt; 0,0,D16-C16)</f>
        <v>0</v>
      </c>
      <c r="J16" s="64">
        <f t="shared" si="3"/>
        <v>1</v>
      </c>
      <c r="K16" s="193">
        <f>IFERROR(ROUND(I16/N16,0),0)</f>
        <v>0</v>
      </c>
      <c r="L16" s="193"/>
      <c r="M16" s="2">
        <f>L16/(WINGS_RECOVER_NUM/WINGS_CONSUME_IO)*WINGS_RECOVER_DIAMS</f>
        <v>0</v>
      </c>
      <c r="N16" s="13">
        <f>IFERROR(SUMPRODUCT('資料-迎擊'!AF:AF,'資料-迎擊'!AH:AH)/O$12,"")</f>
        <v>0</v>
      </c>
      <c r="O16" s="193"/>
      <c r="Q16" s="195"/>
      <c r="R16" s="101">
        <v>30</v>
      </c>
      <c r="S16" s="24" t="s">
        <v>0</v>
      </c>
      <c r="T16" s="18">
        <f>VLOOKUP(R15,DATA_IO,8)+VLOOKUP(R16,DATA_IO,8)</f>
        <v>23</v>
      </c>
      <c r="U16" s="108" t="str">
        <f t="shared" si="6"/>
        <v/>
      </c>
      <c r="V16" s="53" t="str">
        <f t="shared" si="7"/>
        <v/>
      </c>
      <c r="W16" s="197"/>
      <c r="X16" s="102">
        <v>30</v>
      </c>
      <c r="Y16" s="60" t="s">
        <v>0</v>
      </c>
      <c r="Z16" s="71"/>
      <c r="AA16" s="19">
        <f>VLOOKUP(X15,DATA_IO,8)+VLOOKUP(X16,DATA_IO,8)</f>
        <v>23</v>
      </c>
      <c r="AB16" s="109" t="str">
        <f t="shared" si="8"/>
        <v/>
      </c>
      <c r="AC16" s="71" t="str">
        <f t="shared" si="9"/>
        <v/>
      </c>
    </row>
  </sheetData>
  <mergeCells count="24">
    <mergeCell ref="S8:T8"/>
    <mergeCell ref="W11:W12"/>
    <mergeCell ref="W13:W14"/>
    <mergeCell ref="A2:A3"/>
    <mergeCell ref="A6:A7"/>
    <mergeCell ref="A10:A11"/>
    <mergeCell ref="A4:A5"/>
    <mergeCell ref="O2:O3"/>
    <mergeCell ref="O6:O7"/>
    <mergeCell ref="W15:W16"/>
    <mergeCell ref="Q15:Q16"/>
    <mergeCell ref="Q13:Q14"/>
    <mergeCell ref="Q11:Q12"/>
    <mergeCell ref="Q9:Q10"/>
    <mergeCell ref="W9:W10"/>
    <mergeCell ref="O4:O5"/>
    <mergeCell ref="A12:A16"/>
    <mergeCell ref="O12:O16"/>
    <mergeCell ref="K14:L14"/>
    <mergeCell ref="K15:L15"/>
    <mergeCell ref="K16:L16"/>
    <mergeCell ref="A8:A9"/>
    <mergeCell ref="O8:O9"/>
    <mergeCell ref="O10:O11"/>
  </mergeCells>
  <conditionalFormatting sqref="J2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J4:J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J6:J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J8:J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J10:J11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J12:J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J3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J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J4:J5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J6:J7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J10:J11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J12:J15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J16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topLeftCell="E1" workbookViewId="0">
      <selection activeCell="M6" sqref="M6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29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29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"/>
  <sheetViews>
    <sheetView workbookViewId="0">
      <selection sqref="A1:XFD1048576"/>
    </sheetView>
  </sheetViews>
  <sheetFormatPr defaultColWidth="2.85546875" defaultRowHeight="15" customHeight="1" x14ac:dyDescent="0.25"/>
  <cols>
    <col min="1" max="16384" width="2.85546875" style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G10" sqref="G10"/>
    </sheetView>
  </sheetViews>
  <sheetFormatPr defaultColWidth="2.85546875" defaultRowHeight="15" x14ac:dyDescent="0.25"/>
  <cols>
    <col min="1" max="16384" width="2.85546875" style="22"/>
  </cols>
  <sheetData>
    <row r="1" spans="1:58" x14ac:dyDescent="0.25">
      <c r="A1" s="29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29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29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29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29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29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29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29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29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29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29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29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29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29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29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29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9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29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9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9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29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9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29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9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29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29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29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29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29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9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29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9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29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9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29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9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29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9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W43"/>
  <sheetViews>
    <sheetView tabSelected="1" zoomScaleNormal="60" zoomScaleSheetLayoutView="100" workbookViewId="0">
      <selection activeCell="U8" sqref="U8"/>
    </sheetView>
  </sheetViews>
  <sheetFormatPr defaultColWidth="8.5703125" defaultRowHeight="15" x14ac:dyDescent="0.25"/>
  <cols>
    <col min="1" max="1" width="8.5703125" style="72"/>
    <col min="2" max="6" width="6.85546875" style="72" customWidth="1"/>
    <col min="7" max="7" width="11.85546875" style="72" customWidth="1"/>
    <col min="8" max="8" width="2.85546875" style="72" customWidth="1"/>
    <col min="9" max="9" width="6.140625" style="72" customWidth="1"/>
    <col min="10" max="14" width="4.7109375" style="72" customWidth="1"/>
    <col min="15" max="15" width="7.28515625" style="80" customWidth="1"/>
    <col min="16" max="20" width="4.7109375" style="72" customWidth="1"/>
    <col min="21" max="23" width="23.85546875" style="72" customWidth="1"/>
    <col min="24" max="16384" width="8.5703125" style="72"/>
  </cols>
  <sheetData>
    <row r="1" spans="1:23" x14ac:dyDescent="0.25">
      <c r="A1" s="89"/>
      <c r="B1" s="89" t="s">
        <v>29</v>
      </c>
      <c r="C1" s="89" t="s">
        <v>36</v>
      </c>
      <c r="D1" s="89" t="s">
        <v>37</v>
      </c>
      <c r="E1" s="89" t="s">
        <v>38</v>
      </c>
      <c r="F1" s="89" t="s">
        <v>39</v>
      </c>
      <c r="G1" s="89" t="s">
        <v>32</v>
      </c>
      <c r="I1" s="89"/>
      <c r="J1" s="209" t="s">
        <v>53</v>
      </c>
      <c r="K1" s="210" t="s">
        <v>49</v>
      </c>
      <c r="L1" s="210"/>
      <c r="M1" s="210" t="s">
        <v>52</v>
      </c>
      <c r="N1" s="210"/>
      <c r="O1" s="208" t="s">
        <v>54</v>
      </c>
      <c r="P1" s="209" t="s">
        <v>29</v>
      </c>
      <c r="Q1" s="209"/>
      <c r="R1" s="209"/>
      <c r="S1" s="209"/>
      <c r="T1" s="209"/>
      <c r="U1" s="209" t="s">
        <v>28</v>
      </c>
      <c r="V1" s="209"/>
      <c r="W1" s="209"/>
    </row>
    <row r="2" spans="1:23" ht="15" customHeight="1" x14ac:dyDescent="0.25">
      <c r="A2" s="223" t="s">
        <v>34</v>
      </c>
      <c r="B2" s="224">
        <f>IF(HDRAG_HAS_REC_HBRUN,COUNTA(DATA_HDRAG_HBRUN),"")</f>
        <v>295</v>
      </c>
      <c r="C2" s="68">
        <f>IF(HDRAG_HAS_REC_HBRUN,COUNTIF(DATA_HDRAG_HBRUN,"=2"),"")</f>
        <v>203</v>
      </c>
      <c r="D2" s="68">
        <f>IF(HDRAG_HAS_REC_HBRUN,COUNTIF(DATA_HDRAG_HBRUN,"=3"),"")</f>
        <v>68</v>
      </c>
      <c r="E2" s="68">
        <f>IF(HDRAG_HAS_REC_HBRUN,COUNTIF(DATA_HDRAG_HBRUN,"=4"),"")</f>
        <v>13</v>
      </c>
      <c r="F2" s="68">
        <f>IF(HDRAG_HAS_REC_HBRUN,COUNTIF(DATA_HDRAG_HBRUN,"=5"),"")</f>
        <v>11</v>
      </c>
      <c r="G2" s="225">
        <f>IF(HDRAG_HAS_REC_HBRUN,AVERAGE(DATA_HDRAG_HBRUN),"")</f>
        <v>2.4305084745762713</v>
      </c>
      <c r="I2" s="89"/>
      <c r="J2" s="209"/>
      <c r="K2" s="51" t="s">
        <v>50</v>
      </c>
      <c r="L2" s="89" t="s">
        <v>27</v>
      </c>
      <c r="M2" s="89" t="s">
        <v>51</v>
      </c>
      <c r="N2" s="126" t="s">
        <v>27</v>
      </c>
      <c r="O2" s="208"/>
      <c r="P2" s="89">
        <v>2</v>
      </c>
      <c r="Q2" s="89">
        <v>3</v>
      </c>
      <c r="R2" s="89">
        <v>4</v>
      </c>
      <c r="S2" s="89">
        <v>5</v>
      </c>
      <c r="T2" s="89" t="s">
        <v>45</v>
      </c>
      <c r="U2" s="89" t="s">
        <v>52</v>
      </c>
      <c r="V2" s="89" t="s">
        <v>49</v>
      </c>
      <c r="W2" s="89" t="s">
        <v>55</v>
      </c>
    </row>
    <row r="3" spans="1:23" ht="15" customHeight="1" x14ac:dyDescent="0.25">
      <c r="A3" s="223"/>
      <c r="B3" s="224"/>
      <c r="C3" s="118">
        <f>IF(HDRAG_HAS_REC_HBRUN,C2/$B2,"")</f>
        <v>0.68813559322033901</v>
      </c>
      <c r="D3" s="118">
        <f>IF(HDRAG_HAS_REC_HBRUN,D2/$B2,"")</f>
        <v>0.23050847457627119</v>
      </c>
      <c r="E3" s="118">
        <f>IF(HDRAG_HAS_REC_HBRUN,E2/$B2,"")</f>
        <v>4.4067796610169491E-2</v>
      </c>
      <c r="F3" s="118">
        <f>IF(HDRAG_HAS_REC_HBRUN,F2/$B2,"")</f>
        <v>3.7288135593220341E-2</v>
      </c>
      <c r="G3" s="225"/>
      <c r="I3" s="84" t="s">
        <v>34</v>
      </c>
      <c r="J3" s="256">
        <v>414</v>
      </c>
      <c r="K3" s="49">
        <v>30</v>
      </c>
      <c r="L3" s="49">
        <f>IF(HDRAG_HAS_REC_HBRUN,INDEX(DATA_HDRAGS_BUILDING,K3 + 1),"")</f>
        <v>0</v>
      </c>
      <c r="M3" s="49">
        <v>4</v>
      </c>
      <c r="N3" s="49">
        <f>IF(HDRAG_HAS_REC_HBRUN,INDEX(DATA_HDRAGS_DRAGON,IF(ISBLANK(M3),1,M3 + 2)),"")</f>
        <v>0</v>
      </c>
      <c r="O3" s="80">
        <f>IFERROR(IF(L3+N3=0,0,L3+N3-J3),"")</f>
        <v>0</v>
      </c>
      <c r="P3" s="49" t="str">
        <f>IFERROR(IF($O3=0,"",_xlfn.CEILING.MATH(($O3/C17)*D15)),"")</f>
        <v/>
      </c>
      <c r="Q3" s="49" t="str">
        <f>IFERROR(IF($O3=0,"",_xlfn.CEILING.MATH(($O3/C17)*#REF!)),"")</f>
        <v/>
      </c>
      <c r="R3" s="49" t="str">
        <f>IFERROR(IF($O3=0,"",_xlfn.CEILING.MATH(($O3/C17)*D16)),"")</f>
        <v/>
      </c>
      <c r="S3" s="49" t="str">
        <f>IFERROR(IF($O3=0,"",_xlfn.CEILING.MATH(($O3/C17)*#REF!)),"")</f>
        <v/>
      </c>
      <c r="T3" s="49" t="str">
        <f>IF(AND(HDRAG_HAS_REC_HBRUN,O3&gt;0),SUM(P3:S3),"")</f>
        <v/>
      </c>
      <c r="U3" s="64">
        <f>IFERROR(IF(N3=0,100%,(HDRAGS_MAX_DRAGON - N3)/HDRAGS_MAX_DRAGON),"")</f>
        <v>1</v>
      </c>
      <c r="V3" s="64">
        <f>IFERROR(IF(L3=0,100%,(HDRAGS_MAX_BUILDING - L3)/HDRAGS_MAX_BUILDING),"")</f>
        <v>1</v>
      </c>
      <c r="W3" s="64">
        <f>IFERROR(IF(O3=0,100%,(HDRAGS_MAX_ALL - O3)/HDRAGS_MAX_ALL),"")</f>
        <v>1</v>
      </c>
    </row>
    <row r="4" spans="1:23" ht="15" customHeight="1" x14ac:dyDescent="0.25">
      <c r="A4" s="221" t="s">
        <v>46</v>
      </c>
      <c r="B4" s="222" t="str">
        <f>IF(HDRAG_HAS_REC_HMERC,COUNTA(DATA_HDRAG_HMERC),"")</f>
        <v/>
      </c>
      <c r="C4" s="119" t="str">
        <f>IF(HDRAG_HAS_REC_HMERC,COUNTIF(DATA_HDRAG_HMERC,"=2"),"")</f>
        <v/>
      </c>
      <c r="D4" s="119" t="str">
        <f>IF(HDRAG_HAS_REC_HMERC,COUNTIF(DATA_HDRAG_HMERC,"=3"),"")</f>
        <v/>
      </c>
      <c r="E4" s="119" t="str">
        <f>IF(HDRAG_HAS_REC_HMERC,COUNTIF(DATA_HDRAG_HMERC,"=4"),"")</f>
        <v/>
      </c>
      <c r="F4" s="119" t="str">
        <f>IF(HDRAG_HAS_REC_HMERC,COUNTIF(DATA_HDRAG_HMERC,"=5"),"")</f>
        <v/>
      </c>
      <c r="G4" s="214" t="str">
        <f>IF(HDRAG_HAS_REC_HMERC,AVERAGE(DATA_HDRAG_HMERC),"")</f>
        <v/>
      </c>
      <c r="I4" s="127" t="s">
        <v>46</v>
      </c>
      <c r="J4" s="256"/>
      <c r="K4" s="49"/>
      <c r="L4" s="49" t="str">
        <f>IF(HDRAG_HAS_REC_HMERC,INDEX(DATA_HDRAGS_BUILDING,K4 + 1),"")</f>
        <v/>
      </c>
      <c r="M4" s="49"/>
      <c r="N4" s="49" t="str">
        <f>IF(HDRAG_HAS_REC_HMERC,INDEX(DATA_HDRAGS_DRAGON,IF(ISBLANK(M4),1,M4 + 2)),"")</f>
        <v/>
      </c>
      <c r="O4" s="80" t="str">
        <f>IFERROR(IF(L4+N4=0,0,L4+N4-J4),"")</f>
        <v/>
      </c>
      <c r="P4" s="49" t="str">
        <f>IFERROR(IF($O4=0,"",_xlfn.CEILING.MATH(($O4/E17)*F15)),"")</f>
        <v/>
      </c>
      <c r="Q4" s="49" t="str">
        <f>IFERROR(IF($O4=0,"",_xlfn.CEILING.MATH(($O4/E17)*#REF!)),"")</f>
        <v/>
      </c>
      <c r="R4" s="49" t="str">
        <f>IFERROR(IF($O4=0,"",_xlfn.CEILING.MATH(($O4/E17)*F16)),"")</f>
        <v/>
      </c>
      <c r="S4" s="49" t="str">
        <f>IFERROR(IF($O4=0,"",_xlfn.CEILING.MATH(($O4/E17)*#REF!)),"")</f>
        <v/>
      </c>
      <c r="T4" s="49" t="str">
        <f>IF(AND(HDRAG_HAS_REC_HMERC,O4&gt;0),SUM(P4:S4),"")</f>
        <v/>
      </c>
      <c r="U4" s="64" t="str">
        <f>IFERROR(IF(N4=0,100%,(HDRAGS_MAX_DRAGON - N4)/HDRAGS_MAX_DRAGON),"")</f>
        <v/>
      </c>
      <c r="V4" s="64" t="str">
        <f>IFERROR(IF(L4=0,100%,(HDRAGS_MAX_BUILDING - L4)/HDRAGS_MAX_BUILDING),"")</f>
        <v/>
      </c>
      <c r="W4" s="64" t="str">
        <f>IFERROR(IF(O4=0,100%,(HDRAGS_MAX_ALL - O4)/HDRAGS_MAX_ALL),"")</f>
        <v/>
      </c>
    </row>
    <row r="5" spans="1:23" ht="15" customHeight="1" x14ac:dyDescent="0.25">
      <c r="A5" s="221"/>
      <c r="B5" s="222"/>
      <c r="C5" s="120" t="str">
        <f>IF(HDRAG_HAS_REC_HMERC,C4/$B4,"")</f>
        <v/>
      </c>
      <c r="D5" s="120" t="str">
        <f>IF(HDRAG_HAS_REC_HMERC,D4/$B4,"")</f>
        <v/>
      </c>
      <c r="E5" s="120" t="str">
        <f>IF(HDRAG_HAS_REC_HMERC,E4/$B4,"")</f>
        <v/>
      </c>
      <c r="F5" s="120" t="str">
        <f>IF(HDRAG_HAS_REC_HMERC,F4/$B4,"")</f>
        <v/>
      </c>
      <c r="G5" s="214"/>
      <c r="I5" s="128" t="s">
        <v>35</v>
      </c>
      <c r="J5" s="256">
        <v>76</v>
      </c>
      <c r="K5" s="49">
        <v>30</v>
      </c>
      <c r="L5" s="49">
        <f>IF(HDRAG_HAS_REC_HMID,INDEX(DATA_HDRAGS_BUILDING,K5 + 1),"")</f>
        <v>0</v>
      </c>
      <c r="M5" s="49">
        <v>4</v>
      </c>
      <c r="N5" s="49">
        <f>IF(HDRAG_HAS_REC_HMID,INDEX(DATA_HDRAGS_DRAGON,IF(ISBLANK(M5),1,M5 + 2)),"")</f>
        <v>0</v>
      </c>
      <c r="O5" s="80">
        <f>IFERROR(IF(L5+N5=0,0,L5+N5-J5),"")</f>
        <v>0</v>
      </c>
      <c r="P5" s="49" t="str">
        <f>IF($O5=0,"",_xlfn.CEILING.MATH(($O5/G17)*C22))</f>
        <v/>
      </c>
      <c r="Q5" s="49" t="str">
        <f>IF($O5=0,"",_xlfn.CEILING.MATH(($O5/G17)*#REF!))</f>
        <v/>
      </c>
      <c r="R5" s="49" t="str">
        <f>IF($O5=0,"",_xlfn.CEILING.MATH(($O5/G17)*C23))</f>
        <v/>
      </c>
      <c r="S5" s="49" t="str">
        <f>IF($O5=0,"",_xlfn.CEILING.MATH(($O5/G17)*#REF!))</f>
        <v/>
      </c>
      <c r="T5" s="49" t="str">
        <f>IF(AND(HDRAG_HAS_REC_HMID,O5&gt;0),SUM(P5:S5),"")</f>
        <v/>
      </c>
      <c r="U5" s="64">
        <f>IFERROR(IF(N5=0,100%,(HDRAGS_MAX_DRAGON - N5)/HDRAGS_MAX_DRAGON),"")</f>
        <v>1</v>
      </c>
      <c r="V5" s="64">
        <f>IFERROR(IF(L5=0,100%,(HDRAGS_MAX_BUILDING - L5)/HDRAGS_MAX_BUILDING),"")</f>
        <v>1</v>
      </c>
      <c r="W5" s="64">
        <f>IFERROR(IF(O5=0,100%,(HDRAGS_MAX_ALL - O5)/HDRAGS_MAX_ALL),"")</f>
        <v>1</v>
      </c>
    </row>
    <row r="6" spans="1:23" ht="15" customHeight="1" x14ac:dyDescent="0.25">
      <c r="A6" s="219" t="s">
        <v>35</v>
      </c>
      <c r="B6" s="220">
        <f>IF(HDRAG_HAS_REC_HMID,COUNTA(DATA_HDRAG_HMID),"")</f>
        <v>799</v>
      </c>
      <c r="C6" s="121">
        <f>IF(HDRAG_HAS_REC_HMID,COUNTIF(DATA_HDRAG_HMID,"=2"),"")</f>
        <v>518</v>
      </c>
      <c r="D6" s="121">
        <f>IF(HDRAG_HAS_REC_HMID,COUNTIF(DATA_HDRAG_HMID,"=3"),"")</f>
        <v>170</v>
      </c>
      <c r="E6" s="121">
        <f>IF(HDRAG_HAS_REC_HMID,COUNTIF(DATA_HDRAG_HMID,"=4"),"")</f>
        <v>62</v>
      </c>
      <c r="F6" s="121">
        <f>IF(HDRAG_HAS_REC_HMID,COUNTIF(DATA_HDRAG_HMID,"=5"),"")</f>
        <v>49</v>
      </c>
      <c r="G6" s="213">
        <f>IF(HDRAG_HAS_REC_HMID,AVERAGE(DATA_HDRAG_HMID),"")</f>
        <v>2.5519399249061325</v>
      </c>
      <c r="I6" s="129" t="s">
        <v>47</v>
      </c>
      <c r="J6" s="256"/>
      <c r="K6" s="49"/>
      <c r="L6" s="49" t="str">
        <f>IF(HDRAG_HAS_REC_HJUP,INDEX(DATA_HDRAGS_BUILDING,K6 + 1),"")</f>
        <v/>
      </c>
      <c r="M6" s="49"/>
      <c r="N6" s="49" t="str">
        <f>IF(HDRAG_HAS_REC_HJUP,INDEX(DATA_HDRAGS_DRAGON,IF(ISBLANK(M6),1,M6 + 2)),"")</f>
        <v/>
      </c>
      <c r="O6" s="80" t="str">
        <f>IFERROR(IF(L6+N6=0,0,L6+N6-J6),"")</f>
        <v/>
      </c>
      <c r="P6" s="49" t="str">
        <f>IFERROR(IF($O6=0,"",_xlfn.CEILING.MATH(($O6/D24)*E22)),"")</f>
        <v/>
      </c>
      <c r="Q6" s="49" t="str">
        <f>IFERROR(IF($O6=0,"",_xlfn.CEILING.MATH(($O6/D24)*#REF!)),"")</f>
        <v/>
      </c>
      <c r="R6" s="49" t="str">
        <f>IFERROR(IF($O6=0,"",_xlfn.CEILING.MATH(($O6/D24)*E23)),"")</f>
        <v/>
      </c>
      <c r="S6" s="49" t="str">
        <f>IFERROR(IF($O6=0,"",_xlfn.CEILING.MATH(($O6/D24)*#REF!)),"")</f>
        <v/>
      </c>
      <c r="T6" s="49" t="str">
        <f>IF(AND(HDRAG_HAS_REC_HJUP,O6&gt;0),SUM(P6:S6),"")</f>
        <v/>
      </c>
      <c r="U6" s="64" t="str">
        <f>IFERROR(IF(N6=0,100%,(HDRAGS_MAX_DRAGON - N6)/HDRAGS_MAX_DRAGON),"")</f>
        <v/>
      </c>
      <c r="V6" s="64" t="str">
        <f>IFERROR(IF(L6=0,100%,(HDRAGS_MAX_BUILDING - L6)/HDRAGS_MAX_BUILDING),"")</f>
        <v/>
      </c>
      <c r="W6" s="64" t="str">
        <f>IFERROR(IF(O6=0,100%,(HDRAGS_MAX_ALL - O6)/HDRAGS_MAX_ALL),"")</f>
        <v/>
      </c>
    </row>
    <row r="7" spans="1:23" ht="15" customHeight="1" x14ac:dyDescent="0.25">
      <c r="A7" s="219"/>
      <c r="B7" s="220"/>
      <c r="C7" s="122">
        <f>IF(HDRAG_HAS_REC_HMID,C6/$B6,"")</f>
        <v>0.6483103879849812</v>
      </c>
      <c r="D7" s="122">
        <f>IF(HDRAG_HAS_REC_HMID,D6/$B6,"")</f>
        <v>0.21276595744680851</v>
      </c>
      <c r="E7" s="122">
        <f>IF(HDRAG_HAS_REC_HMID,E6/$B6,"")</f>
        <v>7.7596996245306638E-2</v>
      </c>
      <c r="F7" s="122">
        <f>IF(HDRAG_HAS_REC_HMID,F6/$B6,"")</f>
        <v>6.1326658322903627E-2</v>
      </c>
      <c r="G7" s="213"/>
      <c r="I7" s="88" t="s">
        <v>48</v>
      </c>
      <c r="J7" s="256"/>
      <c r="K7" s="49"/>
      <c r="L7" s="49" t="str">
        <f>IF(HDRAG_HAS_REC_HZOD,INDEX(DATA_HDRAGS_BUILDING,K7 + 1),"")</f>
        <v/>
      </c>
      <c r="M7" s="49"/>
      <c r="N7" s="49" t="str">
        <f>IF(HDRAG_HAS_REC_HZOD,INDEX(DATA_HDRAGS_DRAGON,IF(ISBLANK(M7),1,M7 + 2)),"")</f>
        <v/>
      </c>
      <c r="O7" s="80" t="str">
        <f>IFERROR(IF(L7+N7=0,0,L7+N7-J7),"")</f>
        <v/>
      </c>
      <c r="P7" s="49" t="str">
        <f>IFERROR(IF($O7=0,"",_xlfn.CEILING.MATH(($O7/F24)*G22)),"")</f>
        <v/>
      </c>
      <c r="Q7" s="49" t="str">
        <f>IFERROR(IF($O7=0,"",_xlfn.CEILING.MATH(($O7/F24)*#REF!)),"")</f>
        <v/>
      </c>
      <c r="R7" s="49" t="str">
        <f>IFERROR(IF($O7=0,"",_xlfn.CEILING.MATH(($O7/F24)*G23)),"")</f>
        <v/>
      </c>
      <c r="S7" s="49" t="str">
        <f>IFERROR(IF($O7=0,"",_xlfn.CEILING.MATH(($O7/F24)*#REF!)),"")</f>
        <v/>
      </c>
      <c r="T7" s="49" t="str">
        <f>IF(AND(HDRAG_HAS_REC_HZOD,O7&gt;0),SUM(P7:S7),"")</f>
        <v/>
      </c>
      <c r="U7" s="64" t="str">
        <f>IFERROR(IF(N7=0,100%,(HDRAGS_MAX_DRAGON - N7)/HDRAGS_MAX_DRAGON),"")</f>
        <v/>
      </c>
      <c r="V7" s="64" t="str">
        <f>IFERROR(IF(L7=0,100%,(HDRAGS_MAX_BUILDING - L7)/HDRAGS_MAX_BUILDING),"")</f>
        <v/>
      </c>
      <c r="W7" s="64" t="str">
        <f>IFERROR(IF(O7=0,100%,(HDRAGS_MAX_ALL - O7)/HDRAGS_MAX_ALL),"")</f>
        <v/>
      </c>
    </row>
    <row r="8" spans="1:23" ht="15" customHeight="1" x14ac:dyDescent="0.25">
      <c r="A8" s="217" t="s">
        <v>47</v>
      </c>
      <c r="B8" s="218" t="str">
        <f>IF(HDRAG_HAS_REC_HJUP,COUNTA(DATA_HDRAG_HJUP),"")</f>
        <v/>
      </c>
      <c r="C8" s="123" t="str">
        <f>IF(HDRAG_HAS_REC_HJUP,COUNTIF(DATA_HDRAG_HJUP,"=2"),"")</f>
        <v/>
      </c>
      <c r="D8" s="123" t="str">
        <f>IF(HDRAG_HAS_REC_HJUP,COUNTIF(DATA_HDRAG_HJUP,"=3"),"")</f>
        <v/>
      </c>
      <c r="E8" s="123" t="str">
        <f>IF(HDRAG_HAS_REC_HJUP,COUNTIF(DATA_HDRAG_HJUP,"=4"),"")</f>
        <v/>
      </c>
      <c r="F8" s="123" t="str">
        <f>IF(HDRAG_HAS_REC_HJUP,COUNTIF(DATA_HDRAG_HJUP,"=5"),"")</f>
        <v/>
      </c>
      <c r="G8" s="212" t="str">
        <f>IF(HDRAG_HAS_REC_HJUP,AVERAGE(DATA_HDRAG_HJUP),"")</f>
        <v/>
      </c>
    </row>
    <row r="9" spans="1:23" ht="15" customHeight="1" x14ac:dyDescent="0.25">
      <c r="A9" s="217"/>
      <c r="B9" s="218"/>
      <c r="C9" s="124" t="str">
        <f>IF(HDRAG_HAS_REC_HJUP,C8/$B8,"")</f>
        <v/>
      </c>
      <c r="D9" s="124" t="str">
        <f>IF(HDRAG_HAS_REC_HJUP,D8/$B8,"")</f>
        <v/>
      </c>
      <c r="E9" s="124" t="str">
        <f>IF(HDRAG_HAS_REC_HJUP,E8/$B8,"")</f>
        <v/>
      </c>
      <c r="F9" s="124" t="str">
        <f>IF(HDRAG_HAS_REC_HJUP,F8/$B8,"")</f>
        <v/>
      </c>
      <c r="G9" s="212"/>
    </row>
    <row r="10" spans="1:23" ht="15" customHeight="1" x14ac:dyDescent="0.25">
      <c r="A10" s="215" t="s">
        <v>48</v>
      </c>
      <c r="B10" s="216" t="str">
        <f>IF(HDRAG_HAS_REC_HZOD,COUNTA(DATA_HDRAG_HZOD),"")</f>
        <v/>
      </c>
      <c r="C10" s="71" t="str">
        <f>IF(HDRAG_HAS_REC_HZOD,COUNTIF(DATA_HDRAG_HZOD,"=2"),"")</f>
        <v/>
      </c>
      <c r="D10" s="71" t="str">
        <f>IF(HDRAG_HAS_REC_HZOD,COUNTIF(DATA_HDRAG_HZOD,"=3"),"")</f>
        <v/>
      </c>
      <c r="E10" s="71" t="str">
        <f>IF(HDRAG_HAS_REC_HZOD,COUNTIF(DATA_HDRAG_HZOD,"=4"),"")</f>
        <v/>
      </c>
      <c r="F10" s="71" t="str">
        <f>IF(HDRAG_HAS_REC_HZOD,COUNTIF(DATA_HDRAG_HZOD,"=5"),"")</f>
        <v/>
      </c>
      <c r="G10" s="211" t="str">
        <f>IF(HDRAG_HAS_REC_HZOD,AVERAGE(DATA_HDRAG_HZOD),"")</f>
        <v/>
      </c>
    </row>
    <row r="11" spans="1:23" ht="15" customHeight="1" x14ac:dyDescent="0.25">
      <c r="A11" s="215"/>
      <c r="B11" s="216"/>
      <c r="C11" s="125" t="str">
        <f>IF(HDRAG_HAS_REC_HZOD,C10/$B10,"")</f>
        <v/>
      </c>
      <c r="D11" s="125" t="str">
        <f>IF(HDRAG_HAS_REC_HZOD,D10/$B10,"")</f>
        <v/>
      </c>
      <c r="E11" s="125" t="str">
        <f>IF(HDRAG_HAS_REC_HZOD,E10/$B10,"")</f>
        <v/>
      </c>
      <c r="F11" s="125" t="str">
        <f>IF(HDRAG_HAS_REC_HZOD,F10/$B10,"")</f>
        <v/>
      </c>
      <c r="G11" s="211"/>
    </row>
    <row r="13" spans="1:23" x14ac:dyDescent="0.25">
      <c r="A13" s="23"/>
      <c r="B13" s="209" t="s">
        <v>40</v>
      </c>
      <c r="C13" s="209"/>
      <c r="D13" s="209"/>
      <c r="E13" s="209"/>
      <c r="F13" s="209"/>
      <c r="G13" s="209"/>
    </row>
    <row r="14" spans="1:23" x14ac:dyDescent="0.25">
      <c r="A14" s="23"/>
      <c r="B14" s="23"/>
      <c r="C14" s="89">
        <v>2</v>
      </c>
      <c r="D14" s="89">
        <v>3</v>
      </c>
      <c r="E14" s="89">
        <v>4</v>
      </c>
      <c r="F14" s="89">
        <v>5</v>
      </c>
      <c r="G14" s="89" t="s">
        <v>45</v>
      </c>
    </row>
    <row r="15" spans="1:23" ht="15.75" x14ac:dyDescent="0.25">
      <c r="A15" s="23"/>
      <c r="B15" s="84" t="s">
        <v>34</v>
      </c>
      <c r="C15" s="131">
        <f>IF(HDRAG_HAS_REC_HBRUN,_xlfn.CEILING.MATH((HDRAGS_MAX_DRAGON/$G2)*C3),"")</f>
        <v>138</v>
      </c>
      <c r="D15" s="131">
        <f>IF(HDRAG_HAS_REC_HBRUN,_xlfn.CEILING.MATH((HDRAGS_MAX_DRAGON/$G2)*D3),"")</f>
        <v>46</v>
      </c>
      <c r="E15" s="131">
        <f>IF(HDRAG_HAS_REC_HBRUN,_xlfn.CEILING.MATH((HDRAGS_MAX_DRAGON/$G2)*E3),"")</f>
        <v>9</v>
      </c>
      <c r="F15" s="131">
        <f>IF(HDRAG_HAS_REC_HBRUN,_xlfn.CEILING.MATH((HDRAGS_MAX_DRAGON/$G2)*F3),"")</f>
        <v>8</v>
      </c>
      <c r="G15" s="136">
        <f>IF(HDRAG_HAS_REC_HBRUN,SUM(C15:F15),"")</f>
        <v>201</v>
      </c>
    </row>
    <row r="16" spans="1:23" ht="15.75" x14ac:dyDescent="0.25">
      <c r="A16" s="23"/>
      <c r="B16" s="127" t="s">
        <v>46</v>
      </c>
      <c r="C16" s="132" t="str">
        <f>IF(HDRAG_HAS_REC_HMERC,_xlfn.CEILING.MATH((HDRAGS_MAX_DRAGON/$G4)*C5),"")</f>
        <v/>
      </c>
      <c r="D16" s="132" t="str">
        <f>IF(HDRAG_HAS_REC_HMERC,_xlfn.CEILING.MATH((HDRAGS_MAX_DRAGON/$G4)*D5),"")</f>
        <v/>
      </c>
      <c r="E16" s="132" t="str">
        <f>IF(HDRAG_HAS_REC_HMERC,_xlfn.CEILING.MATH((HDRAGS_MAX_DRAGON/$G4)*E5),"")</f>
        <v/>
      </c>
      <c r="F16" s="132" t="str">
        <f>IF(HDRAG_HAS_REC_HMERC,_xlfn.CEILING.MATH((HDRAGS_MAX_DRAGON/$G4)*F5),"")</f>
        <v/>
      </c>
      <c r="G16" s="137" t="str">
        <f>IF(HDRAG_HAS_REC_HMERC,SUM(C16:F16),"")</f>
        <v/>
      </c>
    </row>
    <row r="17" spans="1:7" ht="15.75" x14ac:dyDescent="0.25">
      <c r="A17" s="23"/>
      <c r="B17" s="128" t="s">
        <v>35</v>
      </c>
      <c r="C17" s="133">
        <f>IF(HDRAG_HAS_REC_HMID,_xlfn.CEILING.MATH((HDRAGS_MAX_DRAGON/$G6)*C7),"")</f>
        <v>124</v>
      </c>
      <c r="D17" s="133">
        <f>IF(HDRAG_HAS_REC_HMID,_xlfn.CEILING.MATH((HDRAGS_MAX_DRAGON/$G6)*D7),"")</f>
        <v>41</v>
      </c>
      <c r="E17" s="133">
        <f>IF(HDRAG_HAS_REC_HMID,_xlfn.CEILING.MATH((HDRAGS_MAX_DRAGON/$G6)*E7),"")</f>
        <v>15</v>
      </c>
      <c r="F17" s="133">
        <f>IF(HDRAG_HAS_REC_HMID,_xlfn.CEILING.MATH((HDRAGS_MAX_DRAGON/$G6)*F7),"")</f>
        <v>12</v>
      </c>
      <c r="G17" s="138">
        <f>IF(HDRAG_HAS_REC_HMID,SUM(C17:F17),"")</f>
        <v>192</v>
      </c>
    </row>
    <row r="18" spans="1:7" ht="15.75" x14ac:dyDescent="0.25">
      <c r="A18" s="23"/>
      <c r="B18" s="129" t="s">
        <v>47</v>
      </c>
      <c r="C18" s="134" t="str">
        <f>IF(HDRAG_HAS_REC_HJUP,_xlfn.CEILING.MATH((HDRAGS_MAX_DRAGON/$G8)*C9),"")</f>
        <v/>
      </c>
      <c r="D18" s="134" t="str">
        <f>IF(HDRAG_HAS_REC_HJUP,_xlfn.CEILING.MATH((HDRAGS_MAX_DRAGON/$G8)*D9),"")</f>
        <v/>
      </c>
      <c r="E18" s="134" t="str">
        <f>IF(HDRAG_HAS_REC_HJUP,_xlfn.CEILING.MATH((HDRAGS_MAX_DRAGON/$G8)*E9),"")</f>
        <v/>
      </c>
      <c r="F18" s="134" t="str">
        <f>IF(HDRAG_HAS_REC_HJUP,_xlfn.CEILING.MATH((HDRAGS_MAX_DRAGON/$G8)*F9),"")</f>
        <v/>
      </c>
      <c r="G18" s="139" t="str">
        <f>IF(HDRAG_HAS_REC_HJUP,SUM(C18:F18),"")</f>
        <v/>
      </c>
    </row>
    <row r="19" spans="1:7" ht="15.75" x14ac:dyDescent="0.25">
      <c r="A19" s="23"/>
      <c r="B19" s="88" t="s">
        <v>48</v>
      </c>
      <c r="C19" s="135" t="str">
        <f>IF(HDRAG_HAS_REC_HZOD,_xlfn.CEILING.MATH((HDRAGS_MAX_DRAGON/$G10)*C11),"")</f>
        <v/>
      </c>
      <c r="D19" s="135" t="str">
        <f>IF(HDRAG_HAS_REC_HZOD,_xlfn.CEILING.MATH((HDRAGS_MAX_DRAGON/$G10)*D11),"")</f>
        <v/>
      </c>
      <c r="E19" s="135" t="str">
        <f>IF(HDRAG_HAS_REC_HZOD,_xlfn.CEILING.MATH((HDRAGS_MAX_DRAGON/$G10)*E11),"")</f>
        <v/>
      </c>
      <c r="F19" s="135" t="str">
        <f>IF(HDRAG_HAS_REC_HZOD,_xlfn.CEILING.MATH((HDRAGS_MAX_DRAGON/$G10)*F11),"")</f>
        <v/>
      </c>
      <c r="G19" s="140" t="str">
        <f>IF(HDRAG_HAS_REC_HZOD,SUM(C19:F19),"")</f>
        <v/>
      </c>
    </row>
    <row r="20" spans="1:7" x14ac:dyDescent="0.25">
      <c r="A20" s="23"/>
      <c r="B20" s="209" t="s">
        <v>41</v>
      </c>
      <c r="C20" s="209"/>
      <c r="D20" s="209"/>
      <c r="E20" s="209"/>
      <c r="F20" s="209"/>
      <c r="G20" s="209"/>
    </row>
    <row r="21" spans="1:7" x14ac:dyDescent="0.25">
      <c r="A21" s="23"/>
      <c r="B21" s="23"/>
      <c r="C21" s="89">
        <v>2</v>
      </c>
      <c r="D21" s="89">
        <v>3</v>
      </c>
      <c r="E21" s="89">
        <v>4</v>
      </c>
      <c r="F21" s="89">
        <v>5</v>
      </c>
      <c r="G21" s="89" t="s">
        <v>45</v>
      </c>
    </row>
    <row r="22" spans="1:7" ht="15.75" x14ac:dyDescent="0.25">
      <c r="A22" s="23"/>
      <c r="B22" s="84" t="s">
        <v>34</v>
      </c>
      <c r="C22" s="131">
        <f>IF(HDRAG_HAS_REC_HBRUN,_xlfn.CEILING.MATH((HDRAGS_MAX_BUILDING/$G2)*C3),"")</f>
        <v>232</v>
      </c>
      <c r="D22" s="131">
        <f>IF(HDRAG_HAS_REC_HBRUN,_xlfn.CEILING.MATH((HDRAGS_MAX_BUILDING/$G2)*D3),"")</f>
        <v>78</v>
      </c>
      <c r="E22" s="131">
        <f>IF(HDRAG_HAS_REC_HBRUN,_xlfn.CEILING.MATH((HDRAGS_MAX_BUILDING/$G2)*E3),"")</f>
        <v>15</v>
      </c>
      <c r="F22" s="131">
        <f>IF(HDRAG_HAS_REC_HBRUN,_xlfn.CEILING.MATH((HDRAGS_MAX_BUILDING/$G2)*F3),"")</f>
        <v>13</v>
      </c>
      <c r="G22" s="136">
        <f>IF(HDRAG_HAS_REC_HBRUN,SUM(C22:F22),"")</f>
        <v>338</v>
      </c>
    </row>
    <row r="23" spans="1:7" ht="15.75" x14ac:dyDescent="0.25">
      <c r="A23" s="23"/>
      <c r="B23" s="127" t="s">
        <v>46</v>
      </c>
      <c r="C23" s="132" t="str">
        <f>IF(HDRAG_HAS_REC_HMERC,_xlfn.CEILING.MATH((HDRAGS_MAX_BUILDING/$G4)*C5),"")</f>
        <v/>
      </c>
      <c r="D23" s="132" t="str">
        <f>IF(HDRAG_HAS_REC_HMERC,_xlfn.CEILING.MATH((HDRAGS_MAX_BUILDING/$G4)*D5),"")</f>
        <v/>
      </c>
      <c r="E23" s="132" t="str">
        <f>IF(HDRAG_HAS_REC_HMERC,_xlfn.CEILING.MATH((HDRAGS_MAX_BUILDING/$G4)*E5),"")</f>
        <v/>
      </c>
      <c r="F23" s="132" t="str">
        <f>IF(HDRAG_HAS_REC_HMERC,_xlfn.CEILING.MATH((HDRAGS_MAX_BUILDING/$G4)*F5),"")</f>
        <v/>
      </c>
      <c r="G23" s="137" t="str">
        <f>IF(HDRAG_HAS_REC_HMERC,SUM(C23:F23),"")</f>
        <v/>
      </c>
    </row>
    <row r="24" spans="1:7" ht="15.75" x14ac:dyDescent="0.25">
      <c r="A24" s="23"/>
      <c r="B24" s="128" t="s">
        <v>35</v>
      </c>
      <c r="C24" s="133">
        <f>IF(HDRAG_HAS_REC_HMID,_xlfn.CEILING.MATH((HDRAGS_MAX_BUILDING/$G6)*C7),"")</f>
        <v>208</v>
      </c>
      <c r="D24" s="133">
        <f>IF(HDRAG_HAS_REC_HMID,_xlfn.CEILING.MATH((HDRAGS_MAX_BUILDING/$G6)*D7),"")</f>
        <v>69</v>
      </c>
      <c r="E24" s="133">
        <f>IF(HDRAG_HAS_REC_HMID,_xlfn.CEILING.MATH((HDRAGS_MAX_BUILDING/$G6)*E7),"")</f>
        <v>25</v>
      </c>
      <c r="F24" s="133">
        <f>IF(HDRAG_HAS_REC_HMID,_xlfn.CEILING.MATH((HDRAGS_MAX_BUILDING/$G6)*F7),"")</f>
        <v>20</v>
      </c>
      <c r="G24" s="138">
        <f>IF(HDRAG_HAS_REC_HMID,SUM(C24:F24),"")</f>
        <v>322</v>
      </c>
    </row>
    <row r="25" spans="1:7" ht="15.75" x14ac:dyDescent="0.25">
      <c r="A25" s="23"/>
      <c r="B25" s="129" t="s">
        <v>47</v>
      </c>
      <c r="C25" s="134" t="str">
        <f>IF(HDRAG_HAS_REC_HJUP,_xlfn.CEILING.MATH((HDRAGS_MAX_BUILDING/$G8)*C9),"")</f>
        <v/>
      </c>
      <c r="D25" s="134" t="str">
        <f>IF(HDRAG_HAS_REC_HJUP,_xlfn.CEILING.MATH((HDRAGS_MAX_BUILDING/$G8)*D9),"")</f>
        <v/>
      </c>
      <c r="E25" s="134" t="str">
        <f>IF(HDRAG_HAS_REC_HJUP,_xlfn.CEILING.MATH((HDRAGS_MAX_BUILDING/$G8)*E9),"")</f>
        <v/>
      </c>
      <c r="F25" s="134" t="str">
        <f>IF(HDRAG_HAS_REC_HJUP,_xlfn.CEILING.MATH((HDRAGS_MAX_BUILDING/$G8)*F9),"")</f>
        <v/>
      </c>
      <c r="G25" s="139" t="str">
        <f>IF(HDRAG_HAS_REC_HJUP,SUM(C25:F25),"")</f>
        <v/>
      </c>
    </row>
    <row r="26" spans="1:7" ht="15.75" x14ac:dyDescent="0.25">
      <c r="A26" s="23"/>
      <c r="B26" s="88" t="s">
        <v>48</v>
      </c>
      <c r="C26" s="135" t="str">
        <f>IF(HDRAG_HAS_REC_HZOD,_xlfn.CEILING.MATH((HDRAGS_MAX_BUILDING/$G10)*C11),"")</f>
        <v/>
      </c>
      <c r="D26" s="135" t="str">
        <f>IF(HDRAG_HAS_REC_HZOD,_xlfn.CEILING.MATH((HDRAGS_MAX_BUILDING/$G10)*D11),"")</f>
        <v/>
      </c>
      <c r="E26" s="135" t="str">
        <f>IF(HDRAG_HAS_REC_HZOD,_xlfn.CEILING.MATH((HDRAGS_MAX_BUILDING/$G10)*E11),"")</f>
        <v/>
      </c>
      <c r="F26" s="135" t="str">
        <f>IF(HDRAG_HAS_REC_HZOD,_xlfn.CEILING.MATH((HDRAGS_MAX_BUILDING/$G10)*F11),"")</f>
        <v/>
      </c>
      <c r="G26" s="140" t="str">
        <f>IF(HDRAG_HAS_REC_HZOD,SUM(C26:F26),"")</f>
        <v/>
      </c>
    </row>
    <row r="27" spans="1:7" x14ac:dyDescent="0.25">
      <c r="A27" s="23"/>
      <c r="B27" s="209"/>
      <c r="C27" s="209"/>
      <c r="D27" s="209"/>
      <c r="E27" s="209"/>
      <c r="F27" s="209"/>
      <c r="G27" s="209"/>
    </row>
    <row r="28" spans="1:7" x14ac:dyDescent="0.25">
      <c r="A28" s="23"/>
      <c r="B28" s="23"/>
      <c r="C28" s="130"/>
      <c r="D28" s="130"/>
      <c r="E28" s="130"/>
      <c r="F28" s="130"/>
      <c r="G28" s="130"/>
    </row>
    <row r="29" spans="1:7" ht="15.75" x14ac:dyDescent="0.25">
      <c r="A29" s="23"/>
      <c r="B29" s="84" t="s">
        <v>34</v>
      </c>
      <c r="C29" s="135">
        <f>IF(HDRAG_HAS_REC_HBRUN,_xlfn.CEILING.MATH((HDRAGS_MAX_DRAGON_BLD_16/$G2)*C3),"")</f>
        <v>325</v>
      </c>
      <c r="D29" s="135">
        <f>IF(HDRAG_HAS_REC_HBRUN,_xlfn.CEILING.MATH((HDRAGS_MAX_DRAGON_BLD_16/$G2)*D3),"")</f>
        <v>109</v>
      </c>
      <c r="E29" s="135">
        <f>IF(HDRAG_HAS_REC_HBRUN,_xlfn.CEILING.MATH((HDRAGS_MAX_DRAGON_BLD_16/$G2)*E3),"")</f>
        <v>21</v>
      </c>
      <c r="F29" s="135">
        <f>IF(HDRAG_HAS_REC_HBRUN,_xlfn.CEILING.MATH((HDRAGS_MAX_DRAGON_BLD_16/$G2)*F3),"")</f>
        <v>18</v>
      </c>
      <c r="G29" s="140">
        <f>IF(HDRAG_HAS_REC_HBRUN,SUM(C29:F29),"")</f>
        <v>473</v>
      </c>
    </row>
    <row r="30" spans="1:7" ht="15.75" x14ac:dyDescent="0.25">
      <c r="A30" s="23"/>
      <c r="B30" s="127" t="s">
        <v>46</v>
      </c>
      <c r="C30" s="135" t="str">
        <f>IF(HDRAG_HAS_REC_HMERC,_xlfn.CEILING.MATH((HDRAGS_MAX_DRAGON_BLD_16/$G4)*C5),"")</f>
        <v/>
      </c>
      <c r="D30" s="135" t="str">
        <f>IF(HDRAG_HAS_REC_HMERC,_xlfn.CEILING.MATH((HDRAGS_MAX_DRAGON_BLD_16/$G4)*D5),"")</f>
        <v/>
      </c>
      <c r="E30" s="135" t="str">
        <f>IF(HDRAG_HAS_REC_HMERC,_xlfn.CEILING.MATH((HDRAGS_MAX_DRAGON_BLD_16/$G4)*E5),"")</f>
        <v/>
      </c>
      <c r="F30" s="135" t="str">
        <f>IF(HDRAG_HAS_REC_HMERC,_xlfn.CEILING.MATH((HDRAGS_MAX_DRAGON_BLD_16/$G4)*F5),"")</f>
        <v/>
      </c>
      <c r="G30" s="140" t="str">
        <f>IF(HDRAG_HAS_REC_HMERC,SUM(C30:F30),"")</f>
        <v/>
      </c>
    </row>
    <row r="31" spans="1:7" ht="15.75" x14ac:dyDescent="0.25">
      <c r="A31" s="23"/>
      <c r="B31" s="128" t="s">
        <v>35</v>
      </c>
      <c r="C31" s="135">
        <f>IF(HDRAG_HAS_REC_HMID,_xlfn.CEILING.MATH((HDRAGS_MAX_DRAGON_BLD_16/$G6)*C7),"")</f>
        <v>291</v>
      </c>
      <c r="D31" s="135">
        <f>IF(HDRAG_HAS_REC_HMID,_xlfn.CEILING.MATH((HDRAGS_MAX_DRAGON_BLD_16/$G6)*D7),"")</f>
        <v>96</v>
      </c>
      <c r="E31" s="135">
        <f>IF(HDRAG_HAS_REC_HMID,_xlfn.CEILING.MATH((HDRAGS_MAX_DRAGON_BLD_16/$G6)*E7),"")</f>
        <v>35</v>
      </c>
      <c r="F31" s="135">
        <f>IF(HDRAG_HAS_REC_HMID,_xlfn.CEILING.MATH((HDRAGS_MAX_DRAGON_BLD_16/$G6)*F7),"")</f>
        <v>28</v>
      </c>
      <c r="G31" s="140">
        <f>IF(HDRAG_HAS_REC_HMID,SUM(C31:F31),"")</f>
        <v>450</v>
      </c>
    </row>
    <row r="32" spans="1:7" ht="15.75" x14ac:dyDescent="0.25">
      <c r="A32" s="23"/>
      <c r="B32" s="129" t="s">
        <v>47</v>
      </c>
      <c r="C32" s="135" t="str">
        <f>IF(HDRAG_HAS_REC_HJUP,_xlfn.CEILING.MATH((HDRAGS_MAX_DRAGON_BLD_16/$G8)*C9),"")</f>
        <v/>
      </c>
      <c r="D32" s="135" t="str">
        <f>IF(HDRAG_HAS_REC_HJUP,_xlfn.CEILING.MATH((HDRAGS_MAX_DRAGON_BLD_16/$G8)*D9),"")</f>
        <v/>
      </c>
      <c r="E32" s="135" t="str">
        <f>IF(HDRAG_HAS_REC_HJUP,_xlfn.CEILING.MATH((HDRAGS_MAX_DRAGON_BLD_16/$G8)*E9),"")</f>
        <v/>
      </c>
      <c r="F32" s="135" t="str">
        <f>IF(HDRAG_HAS_REC_HJUP,_xlfn.CEILING.MATH((HDRAGS_MAX_DRAGON_BLD_16/$G8)*F9),"")</f>
        <v/>
      </c>
      <c r="G32" s="140" t="str">
        <f>IF(HDRAG_HAS_REC_HJUP,SUM(C32:F32),"")</f>
        <v/>
      </c>
    </row>
    <row r="33" spans="1:7" ht="15.75" x14ac:dyDescent="0.25">
      <c r="A33" s="23"/>
      <c r="B33" s="88" t="s">
        <v>48</v>
      </c>
      <c r="C33" s="135" t="str">
        <f>IF(HDRAG_HAS_REC_HZOD,_xlfn.CEILING.MATH((HDRAGS_MAX_DRAGON_BLD_16/$G10)*C11),"")</f>
        <v/>
      </c>
      <c r="D33" s="135" t="str">
        <f>IF(HDRAG_HAS_REC_HZOD,_xlfn.CEILING.MATH((HDRAGS_MAX_DRAGON_BLD_16/$G10)*D11),"")</f>
        <v/>
      </c>
      <c r="E33" s="135" t="str">
        <f>IF(HDRAG_HAS_REC_HZOD,_xlfn.CEILING.MATH((HDRAGS_MAX_DRAGON_BLD_16/$G10)*E11),"")</f>
        <v/>
      </c>
      <c r="F33" s="135" t="str">
        <f>IF(HDRAG_HAS_REC_HZOD,_xlfn.CEILING.MATH((HDRAGS_MAX_DRAGON_BLD_16/$G10)*F11),"")</f>
        <v/>
      </c>
      <c r="G33" s="140" t="str">
        <f>IF(HDRAG_HAS_REC_HZOD,SUM(C33:F33),"")</f>
        <v/>
      </c>
    </row>
    <row r="34" spans="1:7" x14ac:dyDescent="0.25">
      <c r="A34" s="23"/>
      <c r="B34" s="209" t="s">
        <v>42</v>
      </c>
      <c r="C34" s="209"/>
      <c r="D34" s="209"/>
      <c r="E34" s="209"/>
      <c r="F34" s="209"/>
      <c r="G34" s="209"/>
    </row>
    <row r="35" spans="1:7" x14ac:dyDescent="0.25">
      <c r="A35" s="23"/>
      <c r="B35" s="23"/>
      <c r="C35" s="89">
        <v>2</v>
      </c>
      <c r="D35" s="89">
        <v>3</v>
      </c>
      <c r="E35" s="89">
        <v>4</v>
      </c>
      <c r="F35" s="89">
        <v>5</v>
      </c>
      <c r="G35" s="89" t="s">
        <v>45</v>
      </c>
    </row>
    <row r="36" spans="1:7" ht="15.75" x14ac:dyDescent="0.25">
      <c r="A36" s="23"/>
      <c r="B36" s="84" t="s">
        <v>34</v>
      </c>
      <c r="C36" s="131">
        <f>IF(HDRAG_HAS_REC_HBRUN,_xlfn.CEILING.MATH((HDRAGS_MAX_ALL/$G2)*C3),"")</f>
        <v>369</v>
      </c>
      <c r="D36" s="131">
        <f>IF(HDRAG_HAS_REC_HBRUN,_xlfn.CEILING.MATH((HDRAGS_MAX_ALL/$G2)*D3),"")</f>
        <v>124</v>
      </c>
      <c r="E36" s="131">
        <f>IF(HDRAG_HAS_REC_HBRUN,_xlfn.CEILING.MATH((HDRAGS_MAX_ALL/$G2)*E3),"")</f>
        <v>24</v>
      </c>
      <c r="F36" s="131">
        <f>IF(HDRAG_HAS_REC_HBRUN,_xlfn.CEILING.MATH((HDRAGS_MAX_ALL/$G2)*F3),"")</f>
        <v>20</v>
      </c>
      <c r="G36" s="136">
        <f>IF(HDRAG_HAS_REC_HBRUN,SUM(C36:F36),"")</f>
        <v>537</v>
      </c>
    </row>
    <row r="37" spans="1:7" ht="15.75" x14ac:dyDescent="0.25">
      <c r="A37" s="23"/>
      <c r="B37" s="127" t="s">
        <v>46</v>
      </c>
      <c r="C37" s="132" t="str">
        <f>IF(HDRAG_HAS_REC_HMERC,_xlfn.CEILING.MATH((HDRAGS_MAX_ALL/$G4)*C5),"")</f>
        <v/>
      </c>
      <c r="D37" s="132" t="str">
        <f>IF(HDRAG_HAS_REC_HMERC,_xlfn.CEILING.MATH((HDRAGS_MAX_ALL/$G4)*D5),"")</f>
        <v/>
      </c>
      <c r="E37" s="132" t="str">
        <f>IF(HDRAG_HAS_REC_HMERC,_xlfn.CEILING.MATH((HDRAGS_MAX_ALL/$G4)*E5),"")</f>
        <v/>
      </c>
      <c r="F37" s="132" t="str">
        <f>IF(HDRAG_HAS_REC_HMERC,_xlfn.CEILING.MATH((HDRAGS_MAX_ALL/$G4)*F5),"")</f>
        <v/>
      </c>
      <c r="G37" s="137" t="str">
        <f>IF(HDRAG_HAS_REC_HMERC,SUM(C37:F37),"")</f>
        <v/>
      </c>
    </row>
    <row r="38" spans="1:7" ht="15.75" x14ac:dyDescent="0.25">
      <c r="A38" s="23"/>
      <c r="B38" s="128" t="s">
        <v>35</v>
      </c>
      <c r="C38" s="133">
        <f>IF(HDRAG_HAS_REC_HMID,_xlfn.CEILING.MATH((HDRAGS_MAX_ALL/$G6)*C7),"")</f>
        <v>331</v>
      </c>
      <c r="D38" s="133">
        <f>IF(HDRAG_HAS_REC_HMID,_xlfn.CEILING.MATH((HDRAGS_MAX_ALL/$G6)*D7),"")</f>
        <v>109</v>
      </c>
      <c r="E38" s="133">
        <f>IF(HDRAG_HAS_REC_HMID,_xlfn.CEILING.MATH((HDRAGS_MAX_ALL/$G6)*E7),"")</f>
        <v>40</v>
      </c>
      <c r="F38" s="133">
        <f>IF(HDRAG_HAS_REC_HMID,_xlfn.CEILING.MATH((HDRAGS_MAX_ALL/$G6)*F7),"")</f>
        <v>32</v>
      </c>
      <c r="G38" s="138">
        <f>IF(HDRAG_HAS_REC_HMID,SUM(C38:F38),"")</f>
        <v>512</v>
      </c>
    </row>
    <row r="39" spans="1:7" ht="15.75" x14ac:dyDescent="0.25">
      <c r="A39" s="23"/>
      <c r="B39" s="129" t="s">
        <v>47</v>
      </c>
      <c r="C39" s="134" t="str">
        <f>IF(HDRAG_HAS_REC_HJUP,_xlfn.CEILING.MATH((HDRAGS_MAX_ALL/$G8)*C9),"")</f>
        <v/>
      </c>
      <c r="D39" s="134" t="str">
        <f>IF(HDRAG_HAS_REC_HJUP,_xlfn.CEILING.MATH((HDRAGS_MAX_ALL/$G8)*D9),"")</f>
        <v/>
      </c>
      <c r="E39" s="134" t="str">
        <f>IF(HDRAG_HAS_REC_HJUP,_xlfn.CEILING.MATH((HDRAGS_MAX_ALL/$G8)*E9),"")</f>
        <v/>
      </c>
      <c r="F39" s="134" t="str">
        <f>IF(HDRAG_HAS_REC_HJUP,_xlfn.CEILING.MATH((HDRAGS_MAX_ALL/$G8)*F9),"")</f>
        <v/>
      </c>
      <c r="G39" s="139" t="str">
        <f>IF(HDRAG_HAS_REC_HJUP,SUM(C39:F39),"")</f>
        <v/>
      </c>
    </row>
    <row r="40" spans="1:7" ht="15.75" x14ac:dyDescent="0.25">
      <c r="A40" s="23"/>
      <c r="B40" s="88" t="s">
        <v>48</v>
      </c>
      <c r="C40" s="135" t="str">
        <f>IF(HDRAG_HAS_REC_HZOD,_xlfn.CEILING.MATH((HDRAGS_MAX_ALL/$G10)*C11),"")</f>
        <v/>
      </c>
      <c r="D40" s="135" t="str">
        <f>IF(HDRAG_HAS_REC_HZOD,_xlfn.CEILING.MATH((HDRAGS_MAX_ALL/$G10)*D11),"")</f>
        <v/>
      </c>
      <c r="E40" s="135" t="str">
        <f>IF(HDRAG_HAS_REC_HZOD,_xlfn.CEILING.MATH((HDRAGS_MAX_ALL/$G10)*E11),"")</f>
        <v/>
      </c>
      <c r="F40" s="135" t="str">
        <f>IF(HDRAG_HAS_REC_HZOD,_xlfn.CEILING.MATH((HDRAGS_MAX_ALL/$G10)*F11),"")</f>
        <v/>
      </c>
      <c r="G40" s="140" t="str">
        <f>IF(HDRAG_HAS_REC_HZOD,SUM(C40:F40),"")</f>
        <v/>
      </c>
    </row>
    <row r="41" spans="1:7" x14ac:dyDescent="0.25">
      <c r="A41" s="23"/>
      <c r="B41" s="23"/>
    </row>
    <row r="42" spans="1:7" x14ac:dyDescent="0.25">
      <c r="A42" s="23"/>
      <c r="B42" s="23"/>
    </row>
    <row r="43" spans="1:7" x14ac:dyDescent="0.25">
      <c r="A43" s="23"/>
      <c r="B43" s="23"/>
    </row>
  </sheetData>
  <mergeCells count="25">
    <mergeCell ref="A6:A7"/>
    <mergeCell ref="B6:B7"/>
    <mergeCell ref="A4:A5"/>
    <mergeCell ref="B4:B5"/>
    <mergeCell ref="A2:A3"/>
    <mergeCell ref="B2:B3"/>
    <mergeCell ref="B34:G34"/>
    <mergeCell ref="A10:A11"/>
    <mergeCell ref="B10:B11"/>
    <mergeCell ref="A8:A9"/>
    <mergeCell ref="B8:B9"/>
    <mergeCell ref="B27:G27"/>
    <mergeCell ref="B20:G20"/>
    <mergeCell ref="P1:T1"/>
    <mergeCell ref="U1:W1"/>
    <mergeCell ref="G10:G11"/>
    <mergeCell ref="G8:G9"/>
    <mergeCell ref="G6:G7"/>
    <mergeCell ref="G4:G5"/>
    <mergeCell ref="G2:G3"/>
    <mergeCell ref="O1:O2"/>
    <mergeCell ref="J1:J2"/>
    <mergeCell ref="K1:L1"/>
    <mergeCell ref="M1:N1"/>
    <mergeCell ref="B13:G13"/>
  </mergeCells>
  <conditionalFormatting sqref="K1">
    <cfRule type="dataBar" priority="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O1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U3:W3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U4:W4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U5:W5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U6:W6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U7:W7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U3:W3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U4:W4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U5:W5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U6:W6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U7:W7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12"/>
  <sheetViews>
    <sheetView zoomScaleNormal="60" zoomScaleSheetLayoutView="100" workbookViewId="0">
      <selection activeCell="H6" sqref="H6"/>
    </sheetView>
  </sheetViews>
  <sheetFormatPr defaultColWidth="8.5703125" defaultRowHeight="25.5" customHeight="1" x14ac:dyDescent="0.25"/>
  <cols>
    <col min="1" max="1" width="8.5703125" style="72"/>
    <col min="2" max="2" width="16.28515625" style="72" customWidth="1"/>
    <col min="3" max="5" width="8.5703125" style="72"/>
    <col min="6" max="6" width="14.85546875" style="72" customWidth="1"/>
    <col min="7" max="7" width="8.5703125" style="72"/>
    <col min="8" max="8" width="3.28515625" style="72" customWidth="1"/>
    <col min="9" max="10" width="8.5703125" style="72"/>
    <col min="11" max="12" width="12.140625" style="72" customWidth="1"/>
    <col min="13" max="15" width="8.5703125" style="72"/>
    <col min="16" max="16" width="14.7109375" style="72" customWidth="1"/>
    <col min="17" max="16384" width="8.5703125" style="72"/>
  </cols>
  <sheetData>
    <row r="1" spans="1:16" ht="25.5" customHeight="1" x14ac:dyDescent="0.25">
      <c r="A1" s="228" t="s">
        <v>117</v>
      </c>
      <c r="B1" s="228"/>
      <c r="C1" s="228"/>
      <c r="D1" s="228"/>
      <c r="E1" s="228"/>
      <c r="F1" s="228"/>
      <c r="G1" s="228"/>
      <c r="J1" s="33"/>
      <c r="K1" s="32" t="s">
        <v>31</v>
      </c>
      <c r="L1" s="32" t="s">
        <v>56</v>
      </c>
      <c r="M1" s="32" t="s">
        <v>59</v>
      </c>
      <c r="N1" s="32" t="s">
        <v>60</v>
      </c>
      <c r="O1" s="32" t="s">
        <v>61</v>
      </c>
      <c r="P1" s="32" t="s">
        <v>62</v>
      </c>
    </row>
    <row r="2" spans="1:16" ht="25.5" customHeight="1" x14ac:dyDescent="0.25">
      <c r="A2" s="231" t="s">
        <v>64</v>
      </c>
      <c r="B2" s="231"/>
      <c r="C2" s="232" t="s">
        <v>66</v>
      </c>
      <c r="D2" s="232"/>
      <c r="E2" s="230" t="s">
        <v>68</v>
      </c>
      <c r="F2" s="230"/>
      <c r="G2" s="230"/>
      <c r="J2" s="32" t="s">
        <v>57</v>
      </c>
      <c r="K2" s="259">
        <v>247964</v>
      </c>
      <c r="L2" s="259">
        <v>9</v>
      </c>
      <c r="M2" s="259">
        <v>9603</v>
      </c>
      <c r="N2" s="260">
        <v>322</v>
      </c>
      <c r="O2" s="260">
        <v>44</v>
      </c>
      <c r="P2" s="260">
        <f>M2*DRAGEXP_S+N2*DRAGEXP_M+O2*DRAGEXP_L</f>
        <v>1916450</v>
      </c>
    </row>
    <row r="3" spans="1:16" ht="25.5" customHeight="1" x14ac:dyDescent="0.25">
      <c r="A3" s="114" t="s">
        <v>59</v>
      </c>
      <c r="B3" s="115">
        <v>7672</v>
      </c>
      <c r="C3" s="116" t="s">
        <v>122</v>
      </c>
      <c r="D3" s="143">
        <v>0</v>
      </c>
      <c r="E3" s="81" t="s">
        <v>69</v>
      </c>
      <c r="F3" s="226">
        <f>_xlfn.FLOOR.MATH(B7/MAX(DATA_DRAG_ACCU_EXP))</f>
        <v>8</v>
      </c>
      <c r="G3" s="226"/>
      <c r="J3" s="32" t="s">
        <v>58</v>
      </c>
      <c r="K3" s="259">
        <v>247864</v>
      </c>
      <c r="L3" s="259">
        <v>1</v>
      </c>
      <c r="M3" s="259">
        <v>9734</v>
      </c>
      <c r="N3" s="260">
        <v>342</v>
      </c>
      <c r="O3" s="260">
        <v>44</v>
      </c>
      <c r="P3" s="260">
        <f>M3*DRAGEXP_S+N3*DRAGEXP_M+O3*DRAGEXP_L</f>
        <v>1956100</v>
      </c>
    </row>
    <row r="4" spans="1:16" ht="25.5" customHeight="1" x14ac:dyDescent="0.25">
      <c r="A4" s="114" t="s">
        <v>60</v>
      </c>
      <c r="B4" s="115">
        <v>2038</v>
      </c>
      <c r="C4" s="116" t="s">
        <v>123</v>
      </c>
      <c r="D4" s="143">
        <v>0</v>
      </c>
      <c r="E4" s="113" t="s">
        <v>50</v>
      </c>
      <c r="F4" s="226">
        <f>MATCH(B10,DATA_DRAG_ACCU_EXP,0)</f>
        <v>97</v>
      </c>
      <c r="G4" s="226"/>
      <c r="J4" s="20"/>
      <c r="K4" s="20"/>
      <c r="L4" s="20"/>
      <c r="M4" s="20"/>
      <c r="N4" s="20"/>
      <c r="O4" s="20"/>
      <c r="P4" s="1"/>
    </row>
    <row r="5" spans="1:16" ht="25.5" customHeight="1" x14ac:dyDescent="0.25">
      <c r="A5" s="114" t="s">
        <v>61</v>
      </c>
      <c r="B5" s="115">
        <v>2590</v>
      </c>
      <c r="C5" s="142" t="s">
        <v>70</v>
      </c>
      <c r="D5" s="143">
        <v>0</v>
      </c>
      <c r="E5" s="113" t="s">
        <v>67</v>
      </c>
      <c r="F5" s="226">
        <f>INDEX(DATA_DRAG_LV_EXP,F4)-(B9-B10)</f>
        <v>36940</v>
      </c>
      <c r="G5" s="226"/>
      <c r="J5" s="30" t="s">
        <v>76</v>
      </c>
      <c r="K5" s="50">
        <f>P3-P2</f>
        <v>39650</v>
      </c>
      <c r="L5" s="50"/>
      <c r="M5" s="30" t="s">
        <v>63</v>
      </c>
      <c r="N5" s="229">
        <f>IF(K6&gt;0,K5/K6,"")</f>
        <v>2478.125</v>
      </c>
      <c r="O5" s="229"/>
      <c r="P5" s="1"/>
    </row>
    <row r="6" spans="1:16" ht="25.5" customHeight="1" x14ac:dyDescent="0.25">
      <c r="A6" s="257" t="s">
        <v>65</v>
      </c>
      <c r="B6" s="258">
        <f>B3*DRAGEXP_S+B4*DRAGEXP_M+B5*DRAGEXP_L</f>
        <v>12253800</v>
      </c>
      <c r="C6" s="116" t="s">
        <v>50</v>
      </c>
      <c r="D6" s="117">
        <v>99</v>
      </c>
      <c r="J6" s="30" t="s">
        <v>29</v>
      </c>
      <c r="K6" s="52">
        <f>(K2-K3)/WINGS_RECOVER_DIAMS*6 + (L2-L3)/WINGS_CONSUME_DRAGON</f>
        <v>16</v>
      </c>
      <c r="L6" s="52"/>
      <c r="M6" s="1"/>
      <c r="N6" s="1"/>
      <c r="O6" s="1"/>
      <c r="P6" s="1"/>
    </row>
    <row r="7" spans="1:16" ht="25.5" customHeight="1" x14ac:dyDescent="0.25">
      <c r="A7" s="257" t="s">
        <v>115</v>
      </c>
      <c r="B7" s="258">
        <f>B6-B8</f>
        <v>11046380</v>
      </c>
      <c r="C7" s="116" t="s">
        <v>67</v>
      </c>
      <c r="D7" s="117">
        <v>32600</v>
      </c>
      <c r="E7" s="209" t="s">
        <v>79</v>
      </c>
      <c r="F7" s="209"/>
      <c r="G7" s="209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44" t="s">
        <v>116</v>
      </c>
      <c r="B8" s="144">
        <f>D3*DRAGON_EXP_60+D4*DRAGON_EXP_80+D5*DRAGON_EXP_100+INDEX(DATA_DRAG_ACCU_EXP,D6)+(INDEX(DATA_DRAG_LV_EXP,D6)-D7)</f>
        <v>1207420</v>
      </c>
      <c r="E8" s="209" t="s">
        <v>63</v>
      </c>
      <c r="F8" s="227">
        <f>IF(G9 &gt; 0,SUM(DATA_DRAGON_EXP)/G9,0)</f>
        <v>2673.9277652370201</v>
      </c>
      <c r="G8" s="89" t="s">
        <v>33</v>
      </c>
      <c r="M8" s="1"/>
      <c r="N8" s="1"/>
      <c r="O8" s="1"/>
      <c r="P8" s="1"/>
    </row>
    <row r="9" spans="1:16" ht="25.5" customHeight="1" x14ac:dyDescent="0.25">
      <c r="A9" s="144" t="s">
        <v>111</v>
      </c>
      <c r="B9" s="144">
        <f>MOD(B7,DRAGON_EXP_100)</f>
        <v>1126220</v>
      </c>
      <c r="E9" s="209"/>
      <c r="F9" s="227"/>
      <c r="G9" s="110">
        <f>SUM(DATA_DRAGON_PLAYS)</f>
        <v>443</v>
      </c>
      <c r="M9" s="1"/>
      <c r="N9" s="1"/>
      <c r="O9" s="1"/>
      <c r="P9" s="1"/>
    </row>
    <row r="10" spans="1:16" ht="25.5" customHeight="1" x14ac:dyDescent="0.25">
      <c r="A10" s="112" t="s">
        <v>72</v>
      </c>
      <c r="B10" s="144">
        <f>SMALL(DATA_DRAG_ACCU_EXP,COUNTIF(DATA_DRAG_ACCU_EXP,"&lt;"&amp;B9))</f>
        <v>1126080</v>
      </c>
      <c r="E10" s="141">
        <v>60</v>
      </c>
      <c r="F10" s="110">
        <f>IF($F$8&gt;0,_xlfn.CEILING.MATH(INDEX(DATA_DRAG_ACCU_EXP,E10)/$F$8),"")</f>
        <v>104</v>
      </c>
      <c r="G10" s="89" t="s">
        <v>30</v>
      </c>
    </row>
    <row r="11" spans="1:16" ht="25.5" customHeight="1" x14ac:dyDescent="0.25">
      <c r="A11" s="111"/>
      <c r="E11" s="141">
        <v>80</v>
      </c>
      <c r="F11" s="52">
        <f>IF($F$8&gt;0,_xlfn.CEILING.MATH(INDEX(DATA_DRAG_ACCU_EXP,E11)/$F$8),"")</f>
        <v>234</v>
      </c>
      <c r="G11" s="89" t="s">
        <v>30</v>
      </c>
    </row>
    <row r="12" spans="1:16" ht="25.5" customHeight="1" x14ac:dyDescent="0.25">
      <c r="A12" s="111"/>
      <c r="E12" s="141">
        <v>100</v>
      </c>
      <c r="F12" s="52">
        <f>IF($F$8&gt;0,_xlfn.CEILING.MATH(INDEX(DATA_DRAG_ACCU_EXP,E12)/$F$8),"")</f>
        <v>464</v>
      </c>
      <c r="G12" s="89" t="s">
        <v>30</v>
      </c>
    </row>
  </sheetData>
  <mergeCells count="11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K10"/>
  <sheetViews>
    <sheetView zoomScaleNormal="60" zoomScaleSheetLayoutView="100" workbookViewId="0">
      <selection activeCell="L5" sqref="L5"/>
    </sheetView>
  </sheetViews>
  <sheetFormatPr defaultColWidth="8.5703125" defaultRowHeight="18" customHeight="1" x14ac:dyDescent="0.25"/>
  <cols>
    <col min="1" max="2" width="8.5703125" style="49"/>
    <col min="3" max="3" width="9.28515625" style="49" bestFit="1" customWidth="1"/>
    <col min="4" max="16384" width="8.5703125" style="49"/>
  </cols>
  <sheetData>
    <row r="1" spans="1:11" ht="18" customHeight="1" x14ac:dyDescent="0.25">
      <c r="A1" s="51" t="s">
        <v>33</v>
      </c>
      <c r="B1" s="233">
        <v>376</v>
      </c>
      <c r="C1" s="233"/>
      <c r="E1" s="33"/>
      <c r="F1" s="32" t="s">
        <v>31</v>
      </c>
      <c r="G1" s="32" t="s">
        <v>56</v>
      </c>
      <c r="H1" s="32" t="s">
        <v>77</v>
      </c>
      <c r="I1" s="32" t="s">
        <v>78</v>
      </c>
      <c r="J1" s="32" t="s">
        <v>85</v>
      </c>
      <c r="K1" s="32" t="s">
        <v>81</v>
      </c>
    </row>
    <row r="2" spans="1:11" ht="18" customHeight="1" x14ac:dyDescent="0.25">
      <c r="E2" s="32" t="s">
        <v>57</v>
      </c>
      <c r="F2" s="261">
        <v>126399</v>
      </c>
      <c r="G2" s="261">
        <v>8</v>
      </c>
      <c r="H2" s="261">
        <v>1</v>
      </c>
      <c r="I2" s="261">
        <v>430</v>
      </c>
      <c r="J2" s="261">
        <v>12</v>
      </c>
      <c r="K2" s="261">
        <v>3</v>
      </c>
    </row>
    <row r="3" spans="1:11" ht="18" customHeight="1" x14ac:dyDescent="0.25">
      <c r="A3" s="51"/>
      <c r="B3" s="51" t="s">
        <v>82</v>
      </c>
      <c r="C3" s="51" t="s">
        <v>84</v>
      </c>
      <c r="E3" s="32" t="s">
        <v>58</v>
      </c>
      <c r="F3" s="261">
        <v>126399</v>
      </c>
      <c r="G3" s="261">
        <v>6</v>
      </c>
      <c r="H3" s="261">
        <v>1</v>
      </c>
      <c r="I3" s="261">
        <v>435</v>
      </c>
      <c r="J3" s="261">
        <v>13</v>
      </c>
      <c r="K3" s="261">
        <v>3</v>
      </c>
    </row>
    <row r="4" spans="1:11" ht="18" customHeight="1" x14ac:dyDescent="0.25">
      <c r="A4" s="36" t="s">
        <v>77</v>
      </c>
      <c r="B4" s="150">
        <f>VOID_TOTAL_GOLD/VOID_TOTAL_GAMES</f>
        <v>5.8510638297872342E-2</v>
      </c>
      <c r="C4" s="151">
        <f>VOID_TOTAL_GAMES/VOID_TOTAL_GOLD</f>
        <v>17.09090909090909</v>
      </c>
    </row>
    <row r="5" spans="1:11" ht="18" customHeight="1" x14ac:dyDescent="0.25">
      <c r="A5" s="37" t="s">
        <v>78</v>
      </c>
      <c r="B5" s="152">
        <f>VOID_TOTAL_SILVER/VOID_TOTAL_GAMES</f>
        <v>2.3191489361702127</v>
      </c>
      <c r="C5" s="153">
        <f>VOID_TOTAL_GAMES/VOID_TOTAL_SILVER</f>
        <v>0.43119266055045874</v>
      </c>
      <c r="E5" s="49" t="s">
        <v>29</v>
      </c>
      <c r="H5" s="49" t="s">
        <v>77</v>
      </c>
      <c r="I5" s="49" t="s">
        <v>78</v>
      </c>
      <c r="J5" s="49" t="s">
        <v>85</v>
      </c>
      <c r="K5" s="66" t="s">
        <v>81</v>
      </c>
    </row>
    <row r="6" spans="1:11" ht="18" customHeight="1" x14ac:dyDescent="0.25">
      <c r="A6" s="39" t="s">
        <v>85</v>
      </c>
      <c r="B6" s="154">
        <f>VOID_TOTAL_SILVER2/VOID_TOTAL_SILVER2_GAMES</f>
        <v>3.2965116279069768</v>
      </c>
      <c r="C6" s="155">
        <f>VOID_TOTAL_SILVER2_GAMES/VOID_TOTAL_SILVER2</f>
        <v>0.30335097001763667</v>
      </c>
      <c r="E6" s="28">
        <f>(F2-F3)/WINGS_RECOVER_DIAMS*6 + (G2-G3)/WINGS_CONSUME_VOID</f>
        <v>1</v>
      </c>
      <c r="G6" s="49" t="s">
        <v>79</v>
      </c>
      <c r="H6" s="28">
        <f>H3-H2</f>
        <v>0</v>
      </c>
      <c r="I6" s="28">
        <f>I3-I2</f>
        <v>5</v>
      </c>
      <c r="J6" s="28">
        <f>J3-J2</f>
        <v>1</v>
      </c>
      <c r="K6" s="28">
        <f>K3-K2</f>
        <v>0</v>
      </c>
    </row>
    <row r="7" spans="1:11" ht="18" customHeight="1" x14ac:dyDescent="0.25">
      <c r="A7" s="38" t="s">
        <v>83</v>
      </c>
      <c r="B7" s="156">
        <f>VOID_TOTAL_SPECIAL/VOID_TOTAL_GAMES</f>
        <v>8.5106382978723402E-2</v>
      </c>
      <c r="C7" s="157">
        <f>VOID_TOTAL_GAMES/VOID_TOTAL_SPECIAL</f>
        <v>11.75</v>
      </c>
      <c r="G7" s="49" t="s">
        <v>80</v>
      </c>
      <c r="H7" s="28">
        <f>IFERROR(H6/$E$6,"")</f>
        <v>0</v>
      </c>
      <c r="I7" s="28">
        <f>IFERROR(I6/$E$6,"")</f>
        <v>5</v>
      </c>
      <c r="J7" s="28">
        <f>IFERROR(J6/$E$6,"")</f>
        <v>1</v>
      </c>
      <c r="K7" s="28">
        <f>IFERROR(K6/$E$6,"")</f>
        <v>0</v>
      </c>
    </row>
    <row r="10" spans="1:11" ht="18" customHeight="1" x14ac:dyDescent="0.25">
      <c r="J10" s="149"/>
      <c r="K10" s="149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00B050"/>
  </sheetPr>
  <dimension ref="A1:L100"/>
  <sheetViews>
    <sheetView topLeftCell="A25" workbookViewId="0">
      <selection activeCell="B39" sqref="B39"/>
    </sheetView>
  </sheetViews>
  <sheetFormatPr defaultColWidth="9.140625" defaultRowHeight="15" x14ac:dyDescent="0.25"/>
  <cols>
    <col min="1" max="1" width="14" style="47" customWidth="1"/>
    <col min="2" max="3" width="9.140625" style="40"/>
    <col min="4" max="5" width="9.140625" style="29"/>
    <col min="6" max="9" width="9.140625" style="1"/>
    <col min="10" max="10" width="6.5703125" style="1" customWidth="1"/>
    <col min="11" max="12" width="11.140625" style="1" customWidth="1"/>
    <col min="13" max="16384" width="9.140625" style="1"/>
  </cols>
  <sheetData>
    <row r="1" spans="1:12" x14ac:dyDescent="0.25">
      <c r="A1" s="44" t="s">
        <v>87</v>
      </c>
      <c r="B1" s="236">
        <v>43523.916666666664</v>
      </c>
      <c r="C1" s="236"/>
      <c r="D1" s="46" t="s">
        <v>101</v>
      </c>
      <c r="E1" s="46" t="s">
        <v>89</v>
      </c>
      <c r="F1" s="209" t="s">
        <v>90</v>
      </c>
      <c r="G1" s="209"/>
      <c r="H1" s="209"/>
    </row>
    <row r="2" spans="1:12" x14ac:dyDescent="0.25">
      <c r="A2" s="44" t="s">
        <v>88</v>
      </c>
      <c r="B2" s="236">
        <v>43535.916666666664</v>
      </c>
      <c r="C2" s="236"/>
      <c r="D2" s="48" t="str">
        <f ca="1">IF(RAID_TIME_END-NOW()&lt;0,"",RAID_TIME_END-NOW())</f>
        <v/>
      </c>
      <c r="E2" s="41">
        <f>B2-B1</f>
        <v>12</v>
      </c>
      <c r="F2" s="237" t="str">
        <f ca="1">IF(NOW() &gt; $B$2,"",(NOW()-$B$1)/($B$2-$B$1))</f>
        <v/>
      </c>
      <c r="G2" s="237"/>
      <c r="H2" s="237"/>
    </row>
    <row r="4" spans="1:12" x14ac:dyDescent="0.25">
      <c r="A4" s="44"/>
      <c r="B4" s="45" t="s">
        <v>91</v>
      </c>
      <c r="C4" s="45" t="s">
        <v>93</v>
      </c>
      <c r="D4" s="45" t="s">
        <v>98</v>
      </c>
      <c r="E4" s="45" t="s">
        <v>92</v>
      </c>
      <c r="F4" s="235" t="s">
        <v>91</v>
      </c>
      <c r="G4" s="235"/>
      <c r="H4" s="30" t="s">
        <v>94</v>
      </c>
      <c r="I4" s="30" t="s">
        <v>95</v>
      </c>
      <c r="J4" s="30"/>
    </row>
    <row r="5" spans="1:12" x14ac:dyDescent="0.25">
      <c r="A5" s="44" t="s">
        <v>96</v>
      </c>
      <c r="B5" s="40">
        <f>LOOKUP(2,1/(NOT(ISBLANK(B:B))),B:B)</f>
        <v>139176</v>
      </c>
      <c r="C5" s="40">
        <f ca="1">$E$5*(NOW()-$B$1)/$E$2</f>
        <v>501274.58333336114</v>
      </c>
      <c r="D5" s="40">
        <f ca="1">B5*$E$2/(NOW()-$B$1)</f>
        <v>41646.635784277598</v>
      </c>
      <c r="E5" s="40">
        <v>150000</v>
      </c>
      <c r="F5" s="238">
        <f>B5/E5</f>
        <v>0.92784</v>
      </c>
      <c r="G5" s="238"/>
      <c r="H5" s="43">
        <f ca="1">B5 - (E5*(NOW()-$B$1)/$E$2)</f>
        <v>-362098.58333336114</v>
      </c>
      <c r="I5" s="43">
        <f ca="1">D5-RAID_GOAL_EMBLEM</f>
        <v>-108353.36421572239</v>
      </c>
      <c r="J5" s="29"/>
    </row>
    <row r="6" spans="1:12" x14ac:dyDescent="0.25">
      <c r="A6" s="44" t="s">
        <v>97</v>
      </c>
      <c r="B6" s="40">
        <f>LOOKUP(2,1/(NOT(ISBLANK(C:C))),C:C)</f>
        <v>121735</v>
      </c>
      <c r="C6" s="40">
        <f ca="1">$E$6*(NOW()-$B$1)/$E$2</f>
        <v>334183.05555557407</v>
      </c>
      <c r="D6" s="40">
        <f ca="1">B6*$E$2/(NOW()-$B$1)</f>
        <v>36427.639874684093</v>
      </c>
      <c r="E6" s="40">
        <v>100000</v>
      </c>
      <c r="F6" s="238">
        <f>B6/E6</f>
        <v>1.2173499999999999</v>
      </c>
      <c r="G6" s="238"/>
      <c r="H6" s="43">
        <f ca="1">B6 - (E6*(NOW()-$B$1)/$E$2)</f>
        <v>-212448.05555557407</v>
      </c>
      <c r="I6" s="43">
        <f ca="1">D6-RAID_GOAL_BLAZON</f>
        <v>-63572.360125315907</v>
      </c>
      <c r="J6" s="29"/>
    </row>
    <row r="8" spans="1:12" x14ac:dyDescent="0.25">
      <c r="A8" s="44"/>
      <c r="B8" s="234" t="s">
        <v>91</v>
      </c>
      <c r="C8" s="234"/>
      <c r="D8" s="235" t="s">
        <v>93</v>
      </c>
      <c r="E8" s="235"/>
      <c r="F8" s="235" t="s">
        <v>98</v>
      </c>
      <c r="G8" s="235"/>
      <c r="H8" s="209" t="s">
        <v>95</v>
      </c>
      <c r="I8" s="209"/>
      <c r="J8" s="209" t="s">
        <v>100</v>
      </c>
      <c r="K8" s="209"/>
      <c r="L8" s="209"/>
    </row>
    <row r="9" spans="1:12" x14ac:dyDescent="0.25">
      <c r="A9" s="44" t="s">
        <v>25</v>
      </c>
      <c r="B9" s="46" t="s">
        <v>96</v>
      </c>
      <c r="C9" s="46" t="s">
        <v>97</v>
      </c>
      <c r="D9" s="46" t="s">
        <v>96</v>
      </c>
      <c r="E9" s="46" t="s">
        <v>97</v>
      </c>
      <c r="F9" s="46" t="s">
        <v>96</v>
      </c>
      <c r="G9" s="46" t="s">
        <v>97</v>
      </c>
      <c r="H9" s="46" t="s">
        <v>96</v>
      </c>
      <c r="I9" s="46" t="s">
        <v>97</v>
      </c>
      <c r="J9" s="46" t="s">
        <v>99</v>
      </c>
      <c r="K9" s="46" t="s">
        <v>96</v>
      </c>
      <c r="L9" s="46" t="s">
        <v>97</v>
      </c>
    </row>
    <row r="10" spans="1:12" x14ac:dyDescent="0.25">
      <c r="A10" s="47">
        <v>43523.916666666664</v>
      </c>
      <c r="B10" s="40">
        <v>0</v>
      </c>
      <c r="C10" s="40">
        <v>0</v>
      </c>
      <c r="D10" s="42">
        <f t="shared" ref="D10:D44" si="0">$E$5*($A10-$B$1)/$E$2</f>
        <v>0</v>
      </c>
      <c r="E10" s="42">
        <f t="shared" ref="E10:E44" si="1">$E$6*($A10-$B$1)/$E$2</f>
        <v>0</v>
      </c>
      <c r="F10" s="42" t="str">
        <f t="shared" ref="F10:F44" si="2">IFERROR(B10*$E$2/($A10-$B$1),"")</f>
        <v/>
      </c>
      <c r="G10" s="42" t="str">
        <f t="shared" ref="G10:G44" si="3">IFERROR(C10*$E$2/($A10-$B$1),"")</f>
        <v/>
      </c>
      <c r="H10" s="43" t="str">
        <f t="shared" ref="H10:H44" si="4">IFERROR(F10 - RAID_GOAL_EMBLEM,"")</f>
        <v/>
      </c>
      <c r="I10" s="43" t="str">
        <f t="shared" ref="I10:I44" si="5">IFERROR(G10 - RAID_GOAL_BLAZON,"")</f>
        <v/>
      </c>
      <c r="J10" s="29"/>
    </row>
    <row r="11" spans="1:12" x14ac:dyDescent="0.25">
      <c r="A11" s="47">
        <v>43527.209027777775</v>
      </c>
      <c r="B11" s="40">
        <v>35443</v>
      </c>
      <c r="C11" s="40">
        <v>33148</v>
      </c>
      <c r="D11" s="42">
        <f t="shared" si="0"/>
        <v>41154.513888886868</v>
      </c>
      <c r="E11" s="42">
        <f t="shared" si="1"/>
        <v>27436.342592591245</v>
      </c>
      <c r="F11" s="42">
        <f t="shared" si="2"/>
        <v>129182.67032272308</v>
      </c>
      <c r="G11" s="42">
        <f t="shared" si="3"/>
        <v>120817.85277368237</v>
      </c>
      <c r="H11" s="43">
        <f t="shared" si="4"/>
        <v>-20817.329677276924</v>
      </c>
      <c r="I11" s="43">
        <f t="shared" si="5"/>
        <v>20817.852773682374</v>
      </c>
      <c r="J11" s="29"/>
      <c r="K11" s="47" t="str">
        <f t="shared" ref="K11:K44" ca="1" si="6">IFERROR(IF(AND(INDIRECT("H" &amp; $J11)&lt;0,H11-INDIRECT("H" &amp; $J11)&gt;0),((-H11*($A11-INDIRECT("$A" &amp; $J11)))/(H11-INDIRECT("H" &amp; $J11)))+INDIRECT("$A" &amp; $J11),""),"")</f>
        <v/>
      </c>
      <c r="L11" s="47" t="str">
        <f t="shared" ref="L11:L44" ca="1" si="7">IFERROR(IF(AND(INDIRECT("I" &amp; $J11)&lt;0,I11-INDIRECT("I" &amp; $J11)&gt;0),((-I11*($A11-INDIRECT("$A" &amp; $J11)))/(I11-INDIRECT("I" &amp; $J11)))+INDIRECT("$A" &amp; $J11),""),"")</f>
        <v/>
      </c>
    </row>
    <row r="12" spans="1:12" x14ac:dyDescent="0.25">
      <c r="A12" s="47">
        <v>43527.445138888892</v>
      </c>
      <c r="B12" s="40">
        <v>41400</v>
      </c>
      <c r="C12" s="40">
        <v>37937</v>
      </c>
      <c r="D12" s="42">
        <f t="shared" si="0"/>
        <v>44105.902777846495</v>
      </c>
      <c r="E12" s="42">
        <f t="shared" si="1"/>
        <v>29403.935185230996</v>
      </c>
      <c r="F12" s="42">
        <f t="shared" si="2"/>
        <v>140797.48081064463</v>
      </c>
      <c r="G12" s="42">
        <f t="shared" si="3"/>
        <v>129020.14564042092</v>
      </c>
      <c r="H12" s="43">
        <f t="shared" si="4"/>
        <v>-9202.5191893553711</v>
      </c>
      <c r="I12" s="43">
        <f t="shared" si="5"/>
        <v>29020.145640420917</v>
      </c>
      <c r="J12" s="29"/>
      <c r="K12" s="47" t="str">
        <f t="shared" ca="1" si="6"/>
        <v/>
      </c>
      <c r="L12" s="47" t="str">
        <f t="shared" ca="1" si="7"/>
        <v/>
      </c>
    </row>
    <row r="13" spans="1:12" x14ac:dyDescent="0.25">
      <c r="A13" s="47">
        <v>43527.46875</v>
      </c>
      <c r="B13" s="40">
        <v>41929</v>
      </c>
      <c r="C13" s="40">
        <v>38415</v>
      </c>
      <c r="D13" s="42">
        <f t="shared" si="0"/>
        <v>44401.041666696983</v>
      </c>
      <c r="E13" s="42">
        <f t="shared" si="1"/>
        <v>29600.694444464654</v>
      </c>
      <c r="F13" s="42">
        <f t="shared" si="2"/>
        <v>141648.70381221999</v>
      </c>
      <c r="G13" s="42">
        <f t="shared" si="3"/>
        <v>129777.36070372371</v>
      </c>
      <c r="H13" s="43">
        <f t="shared" si="4"/>
        <v>-8351.2961877800117</v>
      </c>
      <c r="I13" s="43">
        <f t="shared" si="5"/>
        <v>29777.360703723709</v>
      </c>
      <c r="J13" s="29"/>
      <c r="K13" s="47" t="str">
        <f t="shared" ca="1" si="6"/>
        <v/>
      </c>
      <c r="L13" s="47" t="str">
        <f t="shared" ca="1" si="7"/>
        <v/>
      </c>
    </row>
    <row r="14" spans="1:12" x14ac:dyDescent="0.25">
      <c r="A14" s="47">
        <v>43527.868055555555</v>
      </c>
      <c r="B14" s="40">
        <v>43438</v>
      </c>
      <c r="C14" s="40">
        <v>39551</v>
      </c>
      <c r="D14" s="42">
        <f t="shared" si="0"/>
        <v>49392.361111131322</v>
      </c>
      <c r="E14" s="42">
        <f t="shared" si="1"/>
        <v>32928.240740754212</v>
      </c>
      <c r="F14" s="42">
        <f t="shared" si="2"/>
        <v>131917.15992964726</v>
      </c>
      <c r="G14" s="42">
        <f t="shared" si="3"/>
        <v>120112.70298764856</v>
      </c>
      <c r="H14" s="43">
        <f t="shared" si="4"/>
        <v>-18082.840070352744</v>
      </c>
      <c r="I14" s="43">
        <f t="shared" si="5"/>
        <v>20112.702987648561</v>
      </c>
      <c r="J14" s="29"/>
      <c r="K14" s="47" t="str">
        <f t="shared" ca="1" si="6"/>
        <v/>
      </c>
      <c r="L14" s="47" t="str">
        <f t="shared" ca="1" si="7"/>
        <v/>
      </c>
    </row>
    <row r="15" spans="1:12" x14ac:dyDescent="0.25">
      <c r="A15" s="47">
        <v>43527.994444444441</v>
      </c>
      <c r="B15" s="40">
        <v>44772</v>
      </c>
      <c r="C15" s="40">
        <v>40959</v>
      </c>
      <c r="D15" s="42">
        <f t="shared" si="0"/>
        <v>50972.222222208075</v>
      </c>
      <c r="E15" s="42">
        <f t="shared" si="1"/>
        <v>33981.481481472052</v>
      </c>
      <c r="F15" s="42">
        <f t="shared" si="2"/>
        <v>131754.11444145345</v>
      </c>
      <c r="G15" s="42">
        <f t="shared" si="3"/>
        <v>120533.29700275825</v>
      </c>
      <c r="H15" s="43">
        <f t="shared" si="4"/>
        <v>-18245.88555854655</v>
      </c>
      <c r="I15" s="43">
        <f t="shared" si="5"/>
        <v>20533.297002758249</v>
      </c>
      <c r="J15" s="29"/>
      <c r="K15" s="47" t="str">
        <f t="shared" ca="1" si="6"/>
        <v/>
      </c>
      <c r="L15" s="47" t="str">
        <f t="shared" ca="1" si="7"/>
        <v/>
      </c>
    </row>
    <row r="16" spans="1:12" x14ac:dyDescent="0.25">
      <c r="A16" s="47">
        <v>43528.058333333334</v>
      </c>
      <c r="B16" s="40">
        <v>46140</v>
      </c>
      <c r="C16" s="40">
        <v>42221</v>
      </c>
      <c r="D16" s="42">
        <f t="shared" si="0"/>
        <v>51770.833333375776</v>
      </c>
      <c r="E16" s="42">
        <f t="shared" si="1"/>
        <v>34513.888888917187</v>
      </c>
      <c r="F16" s="42">
        <f t="shared" si="2"/>
        <v>133685.31187111777</v>
      </c>
      <c r="G16" s="42">
        <f t="shared" si="3"/>
        <v>122330.46277655967</v>
      </c>
      <c r="H16" s="43">
        <f t="shared" si="4"/>
        <v>-16314.688128882233</v>
      </c>
      <c r="I16" s="43">
        <f t="shared" si="5"/>
        <v>22330.462776559667</v>
      </c>
      <c r="J16" s="29"/>
      <c r="K16" s="47" t="str">
        <f t="shared" ca="1" si="6"/>
        <v/>
      </c>
      <c r="L16" s="47" t="str">
        <f t="shared" ca="1" si="7"/>
        <v/>
      </c>
    </row>
    <row r="17" spans="1:12" x14ac:dyDescent="0.25">
      <c r="A17" s="47">
        <v>43528.272222222222</v>
      </c>
      <c r="B17" s="40">
        <v>48207</v>
      </c>
      <c r="C17" s="40">
        <v>43929</v>
      </c>
      <c r="D17" s="42">
        <f t="shared" si="0"/>
        <v>54444.444444470719</v>
      </c>
      <c r="E17" s="42">
        <f t="shared" si="1"/>
        <v>36296.296296313812</v>
      </c>
      <c r="F17" s="42">
        <f t="shared" si="2"/>
        <v>132815.20408156855</v>
      </c>
      <c r="G17" s="42">
        <f t="shared" si="3"/>
        <v>121028.877550962</v>
      </c>
      <c r="H17" s="43">
        <f t="shared" si="4"/>
        <v>-17184.795918431453</v>
      </c>
      <c r="I17" s="43">
        <f t="shared" si="5"/>
        <v>21028.877550962003</v>
      </c>
      <c r="J17" s="29"/>
      <c r="K17" s="47" t="str">
        <f t="shared" ca="1" si="6"/>
        <v/>
      </c>
      <c r="L17" s="47" t="str">
        <f t="shared" ca="1" si="7"/>
        <v/>
      </c>
    </row>
    <row r="18" spans="1:12" x14ac:dyDescent="0.25">
      <c r="A18" s="47">
        <v>43528.572222222225</v>
      </c>
      <c r="B18" s="40">
        <v>51946</v>
      </c>
      <c r="C18" s="40">
        <v>47141</v>
      </c>
      <c r="D18" s="42">
        <f t="shared" si="0"/>
        <v>58194.444444507099</v>
      </c>
      <c r="E18" s="42">
        <f t="shared" si="1"/>
        <v>38796.296296338063</v>
      </c>
      <c r="F18" s="42">
        <f t="shared" si="2"/>
        <v>133894.22434353127</v>
      </c>
      <c r="G18" s="42">
        <f t="shared" si="3"/>
        <v>121509.02147958278</v>
      </c>
      <c r="H18" s="43">
        <f t="shared" si="4"/>
        <v>-16105.77565646873</v>
      </c>
      <c r="I18" s="43">
        <f t="shared" si="5"/>
        <v>21509.021479582778</v>
      </c>
      <c r="J18" s="29"/>
      <c r="K18" s="47" t="str">
        <f t="shared" ca="1" si="6"/>
        <v/>
      </c>
      <c r="L18" s="47" t="str">
        <f t="shared" ca="1" si="7"/>
        <v/>
      </c>
    </row>
    <row r="19" spans="1:12" x14ac:dyDescent="0.25">
      <c r="A19" s="47">
        <v>43528.772916666669</v>
      </c>
      <c r="B19" s="40">
        <v>55757</v>
      </c>
      <c r="C19" s="40">
        <v>50060</v>
      </c>
      <c r="D19" s="42">
        <f t="shared" si="0"/>
        <v>60703.12500005457</v>
      </c>
      <c r="E19" s="42">
        <f t="shared" si="1"/>
        <v>40468.75000003638</v>
      </c>
      <c r="F19" s="42">
        <f t="shared" si="2"/>
        <v>137777.91505779119</v>
      </c>
      <c r="G19" s="42">
        <f t="shared" si="3"/>
        <v>123700.3861002749</v>
      </c>
      <c r="H19" s="43">
        <f t="shared" si="4"/>
        <v>-12222.084942208807</v>
      </c>
      <c r="I19" s="43">
        <f t="shared" si="5"/>
        <v>23700.386100274904</v>
      </c>
      <c r="J19" s="29"/>
      <c r="K19" s="47" t="str">
        <f t="shared" ca="1" si="6"/>
        <v/>
      </c>
      <c r="L19" s="47" t="str">
        <f t="shared" ca="1" si="7"/>
        <v/>
      </c>
    </row>
    <row r="20" spans="1:12" x14ac:dyDescent="0.25">
      <c r="A20" s="47">
        <v>43529.173611111109</v>
      </c>
      <c r="B20" s="40">
        <v>56596</v>
      </c>
      <c r="C20" s="40">
        <v>51008</v>
      </c>
      <c r="D20" s="42">
        <f t="shared" si="0"/>
        <v>65711.805555565661</v>
      </c>
      <c r="E20" s="42">
        <f t="shared" si="1"/>
        <v>43807.87037037711</v>
      </c>
      <c r="F20" s="42">
        <f t="shared" si="2"/>
        <v>129191.397622173</v>
      </c>
      <c r="G20" s="42">
        <f t="shared" si="3"/>
        <v>116435.69881107853</v>
      </c>
      <c r="H20" s="43">
        <f t="shared" si="4"/>
        <v>-20808.602377827003</v>
      </c>
      <c r="I20" s="43">
        <f t="shared" si="5"/>
        <v>16435.698811078531</v>
      </c>
      <c r="J20" s="29"/>
      <c r="K20" s="47" t="str">
        <f t="shared" ca="1" si="6"/>
        <v/>
      </c>
      <c r="L20" s="47" t="str">
        <f t="shared" ca="1" si="7"/>
        <v/>
      </c>
    </row>
    <row r="21" spans="1:12" x14ac:dyDescent="0.25">
      <c r="A21" s="47">
        <v>43529.252083333333</v>
      </c>
      <c r="B21" s="40">
        <v>58035</v>
      </c>
      <c r="C21" s="40">
        <v>52216</v>
      </c>
      <c r="D21" s="42">
        <f t="shared" si="0"/>
        <v>66692.708333357587</v>
      </c>
      <c r="E21" s="42">
        <f t="shared" si="1"/>
        <v>44461.805555571722</v>
      </c>
      <c r="F21" s="42">
        <f t="shared" si="2"/>
        <v>130527.76259268975</v>
      </c>
      <c r="G21" s="42">
        <f t="shared" si="3"/>
        <v>117440.12495114823</v>
      </c>
      <c r="H21" s="43">
        <f t="shared" si="4"/>
        <v>-19472.237407310255</v>
      </c>
      <c r="I21" s="43">
        <f t="shared" si="5"/>
        <v>17440.124951148231</v>
      </c>
      <c r="J21" s="29"/>
      <c r="K21" s="47" t="str">
        <f t="shared" ca="1" si="6"/>
        <v/>
      </c>
      <c r="L21" s="47" t="str">
        <f t="shared" ca="1" si="7"/>
        <v/>
      </c>
    </row>
    <row r="22" spans="1:12" x14ac:dyDescent="0.25">
      <c r="A22" s="47">
        <v>43529.332638888889</v>
      </c>
      <c r="B22" s="40">
        <v>58777</v>
      </c>
      <c r="C22" s="40">
        <v>52824</v>
      </c>
      <c r="D22" s="42">
        <f t="shared" si="0"/>
        <v>67699.652777810115</v>
      </c>
      <c r="E22" s="42">
        <f t="shared" si="1"/>
        <v>45133.101851873413</v>
      </c>
      <c r="F22" s="42">
        <f t="shared" si="2"/>
        <v>130230.35773810935</v>
      </c>
      <c r="G22" s="42">
        <f t="shared" si="3"/>
        <v>117040.48211303551</v>
      </c>
      <c r="H22" s="43">
        <f t="shared" si="4"/>
        <v>-19769.642261890651</v>
      </c>
      <c r="I22" s="43">
        <f t="shared" si="5"/>
        <v>17040.482113035512</v>
      </c>
      <c r="J22" s="29"/>
      <c r="K22" s="47" t="str">
        <f t="shared" ca="1" si="6"/>
        <v/>
      </c>
      <c r="L22" s="47" t="str">
        <f t="shared" ca="1" si="7"/>
        <v/>
      </c>
    </row>
    <row r="23" spans="1:12" x14ac:dyDescent="0.25">
      <c r="A23" s="47">
        <v>43529.574999999997</v>
      </c>
      <c r="B23" s="40">
        <v>62350</v>
      </c>
      <c r="C23" s="40">
        <v>55746</v>
      </c>
      <c r="D23" s="42">
        <f t="shared" si="0"/>
        <v>70729.166666660603</v>
      </c>
      <c r="E23" s="42">
        <f t="shared" si="1"/>
        <v>47152.777777773736</v>
      </c>
      <c r="F23" s="42">
        <f t="shared" si="2"/>
        <v>132229.74963182284</v>
      </c>
      <c r="G23" s="42">
        <f t="shared" si="3"/>
        <v>118224.21207659335</v>
      </c>
      <c r="H23" s="43">
        <f t="shared" si="4"/>
        <v>-17770.250368177163</v>
      </c>
      <c r="I23" s="43">
        <f t="shared" si="5"/>
        <v>18224.212076593351</v>
      </c>
      <c r="J23" s="29"/>
      <c r="K23" s="47" t="str">
        <f t="shared" ca="1" si="6"/>
        <v/>
      </c>
      <c r="L23" s="47" t="str">
        <f t="shared" ca="1" si="7"/>
        <v/>
      </c>
    </row>
    <row r="24" spans="1:12" x14ac:dyDescent="0.25">
      <c r="A24" s="47">
        <v>43529.856249999997</v>
      </c>
      <c r="B24" s="40">
        <v>67839</v>
      </c>
      <c r="C24" s="40">
        <v>60364</v>
      </c>
      <c r="D24" s="42">
        <f t="shared" si="0"/>
        <v>74244.791666660603</v>
      </c>
      <c r="E24" s="42">
        <f t="shared" si="1"/>
        <v>49496.527777773736</v>
      </c>
      <c r="F24" s="42">
        <f t="shared" si="2"/>
        <v>137058.09891267342</v>
      </c>
      <c r="G24" s="42">
        <f t="shared" si="3"/>
        <v>121956.02946335616</v>
      </c>
      <c r="H24" s="43">
        <f t="shared" si="4"/>
        <v>-12941.90108732658</v>
      </c>
      <c r="I24" s="43">
        <f t="shared" si="5"/>
        <v>21956.029463356157</v>
      </c>
      <c r="J24" s="29"/>
      <c r="K24" s="47" t="str">
        <f t="shared" ca="1" si="6"/>
        <v/>
      </c>
      <c r="L24" s="47" t="str">
        <f t="shared" ca="1" si="7"/>
        <v/>
      </c>
    </row>
    <row r="25" spans="1:12" x14ac:dyDescent="0.25">
      <c r="A25" s="47">
        <v>43530.330555555556</v>
      </c>
      <c r="B25" s="40">
        <v>70607</v>
      </c>
      <c r="C25" s="40">
        <v>62967</v>
      </c>
      <c r="D25" s="42">
        <f t="shared" si="0"/>
        <v>80173.611111149512</v>
      </c>
      <c r="E25" s="42">
        <f t="shared" si="1"/>
        <v>53449.074074099677</v>
      </c>
      <c r="F25" s="42">
        <f t="shared" si="2"/>
        <v>132101.44651357899</v>
      </c>
      <c r="G25" s="42">
        <f t="shared" si="3"/>
        <v>117807.46643563002</v>
      </c>
      <c r="H25" s="43">
        <f t="shared" si="4"/>
        <v>-17898.553486421006</v>
      </c>
      <c r="I25" s="43">
        <f t="shared" si="5"/>
        <v>17807.46643563002</v>
      </c>
      <c r="J25" s="29"/>
      <c r="K25" s="47" t="str">
        <f t="shared" ca="1" si="6"/>
        <v/>
      </c>
      <c r="L25" s="47" t="str">
        <f t="shared" ca="1" si="7"/>
        <v/>
      </c>
    </row>
    <row r="26" spans="1:12" x14ac:dyDescent="0.25">
      <c r="A26" s="47">
        <v>43530.547222222223</v>
      </c>
      <c r="B26" s="40">
        <v>74563</v>
      </c>
      <c r="C26" s="40">
        <v>66120</v>
      </c>
      <c r="D26" s="42">
        <f t="shared" si="0"/>
        <v>82881.944444488909</v>
      </c>
      <c r="E26" s="42">
        <f t="shared" si="1"/>
        <v>55254.62962965927</v>
      </c>
      <c r="F26" s="42">
        <f t="shared" si="2"/>
        <v>134944.34855459875</v>
      </c>
      <c r="G26" s="42">
        <f t="shared" si="3"/>
        <v>119664.18098024582</v>
      </c>
      <c r="H26" s="43">
        <f t="shared" si="4"/>
        <v>-15055.65144540125</v>
      </c>
      <c r="I26" s="43">
        <f t="shared" si="5"/>
        <v>19664.180980245816</v>
      </c>
      <c r="J26" s="29">
        <v>23</v>
      </c>
      <c r="K26" s="47">
        <f t="shared" ca="1" si="6"/>
        <v>43534.967118438748</v>
      </c>
      <c r="L26" s="47" t="str">
        <f t="shared" ca="1" si="7"/>
        <v/>
      </c>
    </row>
    <row r="27" spans="1:12" x14ac:dyDescent="0.25">
      <c r="A27" s="47">
        <v>43530.617361111108</v>
      </c>
      <c r="B27" s="40">
        <v>75335</v>
      </c>
      <c r="C27" s="40">
        <v>67021</v>
      </c>
      <c r="D27" s="42">
        <f t="shared" si="0"/>
        <v>83758.680555547471</v>
      </c>
      <c r="E27" s="42">
        <f t="shared" si="1"/>
        <v>55839.120370364981</v>
      </c>
      <c r="F27" s="42">
        <f t="shared" si="2"/>
        <v>134914.37454659815</v>
      </c>
      <c r="G27" s="42">
        <f t="shared" si="3"/>
        <v>120025.17152037639</v>
      </c>
      <c r="H27" s="43">
        <f t="shared" si="4"/>
        <v>-15085.625453401852</v>
      </c>
      <c r="I27" s="43">
        <f t="shared" si="5"/>
        <v>20025.171520376389</v>
      </c>
      <c r="J27" s="29">
        <v>20</v>
      </c>
      <c r="K27" s="47">
        <f t="shared" ca="1" si="6"/>
        <v>43532.979300359199</v>
      </c>
      <c r="L27" s="47" t="str">
        <f t="shared" ca="1" si="7"/>
        <v/>
      </c>
    </row>
    <row r="28" spans="1:12" x14ac:dyDescent="0.25">
      <c r="A28" s="47">
        <v>43530.895138888889</v>
      </c>
      <c r="B28" s="40">
        <v>76314</v>
      </c>
      <c r="C28" s="40">
        <v>67874</v>
      </c>
      <c r="D28" s="42">
        <f t="shared" si="0"/>
        <v>87230.902777810115</v>
      </c>
      <c r="E28" s="42">
        <f t="shared" si="1"/>
        <v>58153.935185206741</v>
      </c>
      <c r="F28" s="42">
        <f t="shared" si="2"/>
        <v>131227.57687327208</v>
      </c>
      <c r="G28" s="42">
        <f t="shared" si="3"/>
        <v>116714.37157921835</v>
      </c>
      <c r="H28" s="43">
        <f t="shared" si="4"/>
        <v>-18772.423126727925</v>
      </c>
      <c r="I28" s="43">
        <f t="shared" si="5"/>
        <v>16714.37157921835</v>
      </c>
      <c r="J28" s="29">
        <v>20</v>
      </c>
      <c r="K28" s="47">
        <f t="shared" ca="1" si="6"/>
        <v>43545.045125297031</v>
      </c>
      <c r="L28" s="47" t="str">
        <f t="shared" ca="1" si="7"/>
        <v/>
      </c>
    </row>
    <row r="29" spans="1:12" x14ac:dyDescent="0.25">
      <c r="A29" s="47">
        <v>43531.416666666664</v>
      </c>
      <c r="B29" s="40">
        <v>82871</v>
      </c>
      <c r="C29" s="40">
        <v>73536</v>
      </c>
      <c r="D29" s="42">
        <f t="shared" si="0"/>
        <v>93750</v>
      </c>
      <c r="E29" s="42">
        <f t="shared" si="1"/>
        <v>62500</v>
      </c>
      <c r="F29" s="42">
        <f t="shared" si="2"/>
        <v>132593.60000000001</v>
      </c>
      <c r="G29" s="42">
        <f t="shared" si="3"/>
        <v>117657.60000000001</v>
      </c>
      <c r="H29" s="43">
        <f t="shared" si="4"/>
        <v>-17406.399999999994</v>
      </c>
      <c r="I29" s="43">
        <f t="shared" si="5"/>
        <v>17657.600000000006</v>
      </c>
      <c r="J29" s="29">
        <v>20</v>
      </c>
      <c r="K29" s="47">
        <f t="shared" ca="1" si="6"/>
        <v>43540.649566356064</v>
      </c>
      <c r="L29" s="47" t="str">
        <f t="shared" ca="1" si="7"/>
        <v/>
      </c>
    </row>
    <row r="30" spans="1:12" x14ac:dyDescent="0.25">
      <c r="A30" s="47">
        <v>43531.775694444441</v>
      </c>
      <c r="B30" s="40">
        <v>85079</v>
      </c>
      <c r="C30" s="40">
        <v>75412</v>
      </c>
      <c r="D30" s="42">
        <f t="shared" si="0"/>
        <v>98237.847222208089</v>
      </c>
      <c r="E30" s="42">
        <f t="shared" si="1"/>
        <v>65491.898148138716</v>
      </c>
      <c r="F30" s="42">
        <f t="shared" si="2"/>
        <v>129907.67164444744</v>
      </c>
      <c r="G30" s="42">
        <f t="shared" si="3"/>
        <v>115147.06724398583</v>
      </c>
      <c r="H30" s="43">
        <f t="shared" si="4"/>
        <v>-20092.328355552556</v>
      </c>
      <c r="I30" s="43">
        <f t="shared" si="5"/>
        <v>15147.067243985832</v>
      </c>
      <c r="J30" s="29">
        <v>20</v>
      </c>
      <c r="K30" s="47">
        <f t="shared" ca="1" si="6"/>
        <v>43602.16510754398</v>
      </c>
      <c r="L30" s="47" t="str">
        <f t="shared" ca="1" si="7"/>
        <v/>
      </c>
    </row>
    <row r="31" spans="1:12" x14ac:dyDescent="0.25">
      <c r="A31" s="47">
        <v>43533.052777777775</v>
      </c>
      <c r="B31" s="40">
        <v>100956</v>
      </c>
      <c r="C31" s="40">
        <v>89048</v>
      </c>
      <c r="D31" s="42">
        <f t="shared" si="0"/>
        <v>114201.38888888685</v>
      </c>
      <c r="E31" s="42">
        <f t="shared" si="1"/>
        <v>76134.259259257917</v>
      </c>
      <c r="F31" s="42">
        <f t="shared" si="2"/>
        <v>132602.59045302757</v>
      </c>
      <c r="G31" s="42">
        <f t="shared" si="3"/>
        <v>116961.79993919331</v>
      </c>
      <c r="H31" s="43">
        <f t="shared" si="4"/>
        <v>-17397.409546972427</v>
      </c>
      <c r="I31" s="43">
        <f t="shared" si="5"/>
        <v>16961.799939193312</v>
      </c>
      <c r="J31" s="29">
        <v>30</v>
      </c>
      <c r="K31" s="47">
        <f t="shared" ca="1" si="6"/>
        <v>43540.020077059933</v>
      </c>
      <c r="L31" s="47" t="str">
        <f t="shared" ca="1" si="7"/>
        <v/>
      </c>
    </row>
    <row r="32" spans="1:12" x14ac:dyDescent="0.25">
      <c r="A32" s="47">
        <v>43533.246527777781</v>
      </c>
      <c r="B32" s="40">
        <v>105020</v>
      </c>
      <c r="C32" s="40">
        <v>92512</v>
      </c>
      <c r="D32" s="42">
        <f t="shared" si="0"/>
        <v>116623.26388895961</v>
      </c>
      <c r="E32" s="42">
        <f t="shared" si="1"/>
        <v>77748.842592639747</v>
      </c>
      <c r="F32" s="42">
        <f t="shared" si="2"/>
        <v>135075.9657609899</v>
      </c>
      <c r="G32" s="42">
        <f t="shared" si="3"/>
        <v>118988.26646810795</v>
      </c>
      <c r="H32" s="43">
        <f t="shared" si="4"/>
        <v>-14924.0342390101</v>
      </c>
      <c r="I32" s="43">
        <f t="shared" si="5"/>
        <v>18988.266468107948</v>
      </c>
      <c r="J32" s="29">
        <v>31</v>
      </c>
      <c r="K32" s="47">
        <f t="shared" ca="1" si="6"/>
        <v>43534.221840808597</v>
      </c>
      <c r="L32" s="47" t="str">
        <f t="shared" ca="1" si="7"/>
        <v/>
      </c>
    </row>
    <row r="33" spans="1:12" x14ac:dyDescent="0.25">
      <c r="A33" s="47">
        <v>43533.673611111109</v>
      </c>
      <c r="B33" s="40">
        <v>113822</v>
      </c>
      <c r="C33" s="40">
        <v>99777</v>
      </c>
      <c r="D33" s="42">
        <f t="shared" si="0"/>
        <v>121961.80555556568</v>
      </c>
      <c r="E33" s="42">
        <f t="shared" si="1"/>
        <v>81307.870370377103</v>
      </c>
      <c r="F33" s="42">
        <f t="shared" si="2"/>
        <v>139988.90818504177</v>
      </c>
      <c r="G33" s="42">
        <f t="shared" si="3"/>
        <v>122715.05765123539</v>
      </c>
      <c r="H33" s="43">
        <f t="shared" si="4"/>
        <v>-10011.091814958228</v>
      </c>
      <c r="I33" s="43">
        <f t="shared" si="5"/>
        <v>22715.057651235387</v>
      </c>
      <c r="J33" s="29">
        <v>31</v>
      </c>
      <c r="K33" s="47">
        <f t="shared" ca="1" si="6"/>
        <v>43533.894228108955</v>
      </c>
      <c r="L33" s="47" t="str">
        <f t="shared" ca="1" si="7"/>
        <v/>
      </c>
    </row>
    <row r="34" spans="1:12" x14ac:dyDescent="0.25">
      <c r="A34" s="47">
        <v>43534.036111111112</v>
      </c>
      <c r="B34" s="40">
        <v>117115</v>
      </c>
      <c r="C34" s="40">
        <v>102551</v>
      </c>
      <c r="D34" s="42">
        <f t="shared" si="0"/>
        <v>126493.05555560203</v>
      </c>
      <c r="E34" s="42">
        <f t="shared" si="1"/>
        <v>84328.703703734689</v>
      </c>
      <c r="F34" s="42">
        <f t="shared" si="2"/>
        <v>138879.16552286962</v>
      </c>
      <c r="G34" s="42">
        <f t="shared" si="3"/>
        <v>121608.65220967258</v>
      </c>
      <c r="H34" s="43">
        <f t="shared" si="4"/>
        <v>-11120.834477130382</v>
      </c>
      <c r="I34" s="43">
        <f t="shared" si="5"/>
        <v>21608.652209672582</v>
      </c>
      <c r="J34" s="29">
        <v>31</v>
      </c>
      <c r="K34" s="47">
        <f t="shared" ca="1" si="6"/>
        <v>43534.795047584827</v>
      </c>
      <c r="L34" s="47" t="str">
        <f t="shared" ca="1" si="7"/>
        <v/>
      </c>
    </row>
    <row r="35" spans="1:12" x14ac:dyDescent="0.25">
      <c r="A35" s="47">
        <v>43534.129166666666</v>
      </c>
      <c r="B35" s="40">
        <v>117115</v>
      </c>
      <c r="C35" s="40">
        <v>102859</v>
      </c>
      <c r="D35" s="42">
        <f t="shared" si="0"/>
        <v>127656.2500000182</v>
      </c>
      <c r="E35" s="42">
        <f t="shared" si="1"/>
        <v>85104.166666678793</v>
      </c>
      <c r="F35" s="42">
        <f t="shared" si="2"/>
        <v>137613.70869031086</v>
      </c>
      <c r="G35" s="42">
        <f t="shared" si="3"/>
        <v>120862.47246020309</v>
      </c>
      <c r="H35" s="43">
        <f t="shared" si="4"/>
        <v>-12386.291309689143</v>
      </c>
      <c r="I35" s="43">
        <f t="shared" si="5"/>
        <v>20862.472460203091</v>
      </c>
      <c r="J35" s="29">
        <v>31</v>
      </c>
      <c r="K35" s="47">
        <f t="shared" ca="1" si="6"/>
        <v>43535.713354860374</v>
      </c>
      <c r="L35" s="47" t="str">
        <f t="shared" ca="1" si="7"/>
        <v/>
      </c>
    </row>
    <row r="36" spans="1:12" x14ac:dyDescent="0.25">
      <c r="A36" s="47">
        <v>43534.231944444444</v>
      </c>
      <c r="B36" s="40">
        <v>119175</v>
      </c>
      <c r="C36" s="40">
        <v>104678</v>
      </c>
      <c r="D36" s="42">
        <f t="shared" si="0"/>
        <v>128940.97222224444</v>
      </c>
      <c r="E36" s="42">
        <f t="shared" si="1"/>
        <v>85960.648148162974</v>
      </c>
      <c r="F36" s="42">
        <f t="shared" si="2"/>
        <v>138639.01979262455</v>
      </c>
      <c r="G36" s="42">
        <f t="shared" si="3"/>
        <v>121774.32610742481</v>
      </c>
      <c r="H36" s="43">
        <f t="shared" si="4"/>
        <v>-11360.980207375454</v>
      </c>
      <c r="I36" s="43">
        <f t="shared" si="5"/>
        <v>21774.326107424815</v>
      </c>
      <c r="J36" s="29">
        <v>31</v>
      </c>
      <c r="K36" s="47">
        <f t="shared" ca="1" si="6"/>
        <v>43535.272051525142</v>
      </c>
      <c r="L36" s="47" t="str">
        <f t="shared" ca="1" si="7"/>
        <v/>
      </c>
    </row>
    <row r="37" spans="1:12" x14ac:dyDescent="0.25">
      <c r="A37" s="47">
        <v>43534.314583333333</v>
      </c>
      <c r="B37" s="40">
        <v>119175</v>
      </c>
      <c r="C37" s="40">
        <v>104678</v>
      </c>
      <c r="D37" s="42">
        <f t="shared" si="0"/>
        <v>129973.95833335759</v>
      </c>
      <c r="E37" s="42">
        <f t="shared" si="1"/>
        <v>86649.305555571729</v>
      </c>
      <c r="F37" s="42">
        <f t="shared" si="2"/>
        <v>137537.1669003951</v>
      </c>
      <c r="G37" s="42">
        <f t="shared" si="3"/>
        <v>120806.50771386245</v>
      </c>
      <c r="H37" s="43">
        <f t="shared" si="4"/>
        <v>-12462.833099604904</v>
      </c>
      <c r="I37" s="43">
        <f t="shared" si="5"/>
        <v>20806.507713862447</v>
      </c>
      <c r="J37" s="29">
        <v>31</v>
      </c>
      <c r="K37" s="47">
        <f t="shared" ca="1" si="6"/>
        <v>43536.239610976285</v>
      </c>
      <c r="L37" s="47" t="str">
        <f t="shared" ca="1" si="7"/>
        <v/>
      </c>
    </row>
    <row r="38" spans="1:12" x14ac:dyDescent="0.25">
      <c r="A38" s="47">
        <v>43534.486805555556</v>
      </c>
      <c r="B38" s="40">
        <v>122906</v>
      </c>
      <c r="C38" s="40">
        <v>107941</v>
      </c>
      <c r="D38" s="42">
        <f t="shared" si="0"/>
        <v>132126.73611114951</v>
      </c>
      <c r="E38" s="42">
        <f t="shared" si="1"/>
        <v>88084.490740766341</v>
      </c>
      <c r="F38" s="42">
        <f t="shared" si="2"/>
        <v>139531.94139671393</v>
      </c>
      <c r="G38" s="42">
        <f t="shared" si="3"/>
        <v>122542.57144730687</v>
      </c>
      <c r="H38" s="43">
        <f t="shared" si="4"/>
        <v>-10468.058603286074</v>
      </c>
      <c r="I38" s="43">
        <f t="shared" si="5"/>
        <v>22542.571447306866</v>
      </c>
      <c r="J38" s="29">
        <v>31</v>
      </c>
      <c r="K38" s="47">
        <f t="shared" ca="1" si="6"/>
        <v>43535.219140390742</v>
      </c>
      <c r="L38" s="47" t="str">
        <f t="shared" ca="1" si="7"/>
        <v/>
      </c>
    </row>
    <row r="39" spans="1:12" x14ac:dyDescent="0.25">
      <c r="A39" s="47">
        <v>43535.138888888891</v>
      </c>
      <c r="B39" s="40">
        <v>125282</v>
      </c>
      <c r="C39" s="40">
        <v>110340</v>
      </c>
      <c r="D39" s="42">
        <f t="shared" si="0"/>
        <v>140277.77777782831</v>
      </c>
      <c r="E39" s="42">
        <f t="shared" si="1"/>
        <v>93518.518518552199</v>
      </c>
      <c r="F39" s="42">
        <f t="shared" si="2"/>
        <v>133964.91089104087</v>
      </c>
      <c r="G39" s="42">
        <f t="shared" si="3"/>
        <v>117987.32673263077</v>
      </c>
      <c r="H39" s="43">
        <f t="shared" si="4"/>
        <v>-16035.089108959131</v>
      </c>
      <c r="I39" s="43">
        <f t="shared" si="5"/>
        <v>17987.326732630769</v>
      </c>
      <c r="J39" s="29"/>
      <c r="K39" s="47" t="str">
        <f t="shared" ca="1" si="6"/>
        <v/>
      </c>
      <c r="L39" s="47" t="str">
        <f t="shared" ca="1" si="7"/>
        <v/>
      </c>
    </row>
    <row r="40" spans="1:12" x14ac:dyDescent="0.25">
      <c r="A40" s="47">
        <v>43535.189583333333</v>
      </c>
      <c r="B40" s="40">
        <v>126683</v>
      </c>
      <c r="C40" s="40">
        <v>111358</v>
      </c>
      <c r="D40" s="42">
        <f t="shared" si="0"/>
        <v>140911.45833335759</v>
      </c>
      <c r="E40" s="42">
        <f t="shared" si="1"/>
        <v>93940.972222238386</v>
      </c>
      <c r="F40" s="42">
        <f t="shared" si="2"/>
        <v>134853.831084804</v>
      </c>
      <c r="G40" s="42">
        <f t="shared" si="3"/>
        <v>118540.39549064676</v>
      </c>
      <c r="H40" s="43">
        <f t="shared" si="4"/>
        <v>-15146.168915196002</v>
      </c>
      <c r="I40" s="43">
        <f t="shared" si="5"/>
        <v>18540.395490646755</v>
      </c>
      <c r="J40" s="29">
        <v>39</v>
      </c>
      <c r="K40" s="47">
        <f t="shared" ca="1" si="6"/>
        <v>43536.002663414401</v>
      </c>
      <c r="L40" s="47" t="str">
        <f t="shared" ca="1" si="7"/>
        <v/>
      </c>
    </row>
    <row r="41" spans="1:12" x14ac:dyDescent="0.25">
      <c r="A41" s="47">
        <v>43535.3125</v>
      </c>
      <c r="B41" s="40">
        <v>129105</v>
      </c>
      <c r="C41" s="40">
        <v>113395</v>
      </c>
      <c r="D41" s="42">
        <f t="shared" si="0"/>
        <v>142447.91666669698</v>
      </c>
      <c r="E41" s="42">
        <f t="shared" si="1"/>
        <v>94965.277777797994</v>
      </c>
      <c r="F41" s="42">
        <f t="shared" si="2"/>
        <v>135949.68921386503</v>
      </c>
      <c r="G41" s="42">
        <f t="shared" si="3"/>
        <v>119406.80073123601</v>
      </c>
      <c r="H41" s="43">
        <f t="shared" si="4"/>
        <v>-14050.310786134971</v>
      </c>
      <c r="I41" s="43">
        <f t="shared" si="5"/>
        <v>19406.800731236013</v>
      </c>
      <c r="J41" s="29">
        <v>39</v>
      </c>
      <c r="K41" s="47">
        <f t="shared" ca="1" si="6"/>
        <v>43536.367887633467</v>
      </c>
      <c r="L41" s="47" t="str">
        <f t="shared" ca="1" si="7"/>
        <v/>
      </c>
    </row>
    <row r="42" spans="1:12" x14ac:dyDescent="0.25">
      <c r="A42" s="47">
        <v>43535.543055555558</v>
      </c>
      <c r="B42" s="40">
        <v>134214</v>
      </c>
      <c r="C42" s="40">
        <v>117529</v>
      </c>
      <c r="D42" s="42">
        <f t="shared" si="0"/>
        <v>145329.8611111677</v>
      </c>
      <c r="E42" s="42">
        <f t="shared" si="1"/>
        <v>96886.574074111806</v>
      </c>
      <c r="F42" s="42">
        <f t="shared" si="2"/>
        <v>138526.93346070344</v>
      </c>
      <c r="G42" s="42">
        <f t="shared" si="3"/>
        <v>121305.76514151291</v>
      </c>
      <c r="H42" s="43">
        <f t="shared" si="4"/>
        <v>-11473.06653929656</v>
      </c>
      <c r="I42" s="43">
        <f t="shared" si="5"/>
        <v>21305.765141512908</v>
      </c>
      <c r="J42" s="29">
        <v>39</v>
      </c>
      <c r="K42" s="47">
        <f t="shared" ca="1" si="6"/>
        <v>43536.15533082639</v>
      </c>
      <c r="L42" s="47" t="str">
        <f t="shared" ca="1" si="7"/>
        <v/>
      </c>
    </row>
    <row r="43" spans="1:12" x14ac:dyDescent="0.25">
      <c r="A43" s="47">
        <v>43535.70416666667</v>
      </c>
      <c r="B43" s="40">
        <v>137350</v>
      </c>
      <c r="C43" s="40">
        <v>120226</v>
      </c>
      <c r="D43" s="42">
        <f t="shared" si="0"/>
        <v>147343.75000007276</v>
      </c>
      <c r="E43" s="42">
        <f t="shared" si="1"/>
        <v>98229.166666715173</v>
      </c>
      <c r="F43" s="42">
        <f t="shared" si="2"/>
        <v>139826.08695645269</v>
      </c>
      <c r="G43" s="42">
        <f t="shared" si="3"/>
        <v>122393.38282072429</v>
      </c>
      <c r="H43" s="43">
        <f t="shared" si="4"/>
        <v>-10173.913043547305</v>
      </c>
      <c r="I43" s="43">
        <f t="shared" si="5"/>
        <v>22393.382820724291</v>
      </c>
      <c r="J43" s="29">
        <v>39</v>
      </c>
      <c r="K43" s="47">
        <f t="shared" ca="1" si="6"/>
        <v>43536.120106121132</v>
      </c>
      <c r="L43" s="47" t="str">
        <f t="shared" ca="1" si="7"/>
        <v/>
      </c>
    </row>
    <row r="44" spans="1:12" x14ac:dyDescent="0.25">
      <c r="A44" s="47">
        <v>43535.788194444445</v>
      </c>
      <c r="B44" s="40">
        <v>139176</v>
      </c>
      <c r="C44" s="40">
        <v>121735</v>
      </c>
      <c r="D44" s="42">
        <f t="shared" si="0"/>
        <v>148394.09722226264</v>
      </c>
      <c r="E44" s="42">
        <f t="shared" si="1"/>
        <v>98929.398148175096</v>
      </c>
      <c r="F44" s="42">
        <f t="shared" si="2"/>
        <v>140682.14565658642</v>
      </c>
      <c r="G44" s="42">
        <f t="shared" si="3"/>
        <v>123052.40128689248</v>
      </c>
      <c r="H44" s="43">
        <f t="shared" si="4"/>
        <v>-9317.854343413579</v>
      </c>
      <c r="I44" s="43">
        <f t="shared" si="5"/>
        <v>23052.401286892476</v>
      </c>
      <c r="J44" s="29">
        <v>39</v>
      </c>
      <c r="K44" s="47">
        <f t="shared" ca="1" si="6"/>
        <v>43536.039577163487</v>
      </c>
      <c r="L44" s="47" t="str">
        <f t="shared" ca="1" si="7"/>
        <v/>
      </c>
    </row>
    <row r="45" spans="1:12" x14ac:dyDescent="0.25">
      <c r="D45" s="42"/>
      <c r="E45" s="42"/>
    </row>
    <row r="46" spans="1:12" x14ac:dyDescent="0.25">
      <c r="D46" s="42"/>
      <c r="E46" s="42"/>
    </row>
    <row r="47" spans="1:12" x14ac:dyDescent="0.25">
      <c r="D47" s="42"/>
      <c r="E47" s="42"/>
    </row>
    <row r="48" spans="1:12" x14ac:dyDescent="0.25">
      <c r="D48" s="42"/>
      <c r="E48" s="42"/>
    </row>
    <row r="49" spans="4:5" x14ac:dyDescent="0.25">
      <c r="D49" s="42"/>
      <c r="E49" s="42"/>
    </row>
    <row r="50" spans="4:5" x14ac:dyDescent="0.25">
      <c r="D50" s="42"/>
      <c r="E50" s="42"/>
    </row>
    <row r="51" spans="4:5" x14ac:dyDescent="0.25">
      <c r="D51" s="42"/>
      <c r="E51" s="42"/>
    </row>
    <row r="52" spans="4:5" x14ac:dyDescent="0.25">
      <c r="D52" s="42"/>
      <c r="E52" s="42"/>
    </row>
    <row r="53" spans="4:5" x14ac:dyDescent="0.25">
      <c r="D53" s="42"/>
      <c r="E53" s="42"/>
    </row>
    <row r="54" spans="4:5" x14ac:dyDescent="0.25">
      <c r="D54" s="42"/>
      <c r="E54" s="42"/>
    </row>
    <row r="55" spans="4:5" x14ac:dyDescent="0.25">
      <c r="D55" s="42"/>
      <c r="E55" s="42"/>
    </row>
    <row r="56" spans="4:5" x14ac:dyDescent="0.25">
      <c r="D56" s="42"/>
      <c r="E56" s="42"/>
    </row>
    <row r="57" spans="4:5" x14ac:dyDescent="0.25">
      <c r="D57" s="42"/>
      <c r="E57" s="42"/>
    </row>
    <row r="58" spans="4:5" x14ac:dyDescent="0.25">
      <c r="D58" s="42"/>
      <c r="E58" s="42"/>
    </row>
    <row r="59" spans="4:5" x14ac:dyDescent="0.25">
      <c r="D59" s="42"/>
      <c r="E59" s="42"/>
    </row>
    <row r="60" spans="4:5" x14ac:dyDescent="0.25">
      <c r="D60" s="42"/>
      <c r="E60" s="42"/>
    </row>
    <row r="61" spans="4:5" x14ac:dyDescent="0.25">
      <c r="D61" s="42"/>
      <c r="E61" s="42"/>
    </row>
    <row r="62" spans="4:5" x14ac:dyDescent="0.25">
      <c r="D62" s="42"/>
      <c r="E62" s="42"/>
    </row>
    <row r="63" spans="4:5" x14ac:dyDescent="0.25">
      <c r="D63" s="42"/>
      <c r="E63" s="42"/>
    </row>
    <row r="64" spans="4:5" x14ac:dyDescent="0.25">
      <c r="D64" s="42"/>
      <c r="E64" s="42"/>
    </row>
    <row r="65" spans="4:5" x14ac:dyDescent="0.25">
      <c r="D65" s="42"/>
      <c r="E65" s="42"/>
    </row>
    <row r="66" spans="4:5" x14ac:dyDescent="0.25">
      <c r="D66" s="42"/>
      <c r="E66" s="42"/>
    </row>
    <row r="67" spans="4:5" x14ac:dyDescent="0.25">
      <c r="D67" s="42"/>
      <c r="E67" s="42"/>
    </row>
    <row r="68" spans="4:5" x14ac:dyDescent="0.25">
      <c r="D68" s="42"/>
      <c r="E68" s="42"/>
    </row>
    <row r="69" spans="4:5" x14ac:dyDescent="0.25">
      <c r="D69" s="42"/>
      <c r="E69" s="42"/>
    </row>
    <row r="70" spans="4:5" x14ac:dyDescent="0.25">
      <c r="D70" s="42"/>
      <c r="E70" s="42"/>
    </row>
    <row r="71" spans="4:5" x14ac:dyDescent="0.25">
      <c r="D71" s="42"/>
      <c r="E71" s="42"/>
    </row>
    <row r="72" spans="4:5" x14ac:dyDescent="0.25">
      <c r="D72" s="42"/>
      <c r="E72" s="42"/>
    </row>
    <row r="73" spans="4:5" x14ac:dyDescent="0.25">
      <c r="D73" s="42"/>
      <c r="E73" s="42"/>
    </row>
    <row r="74" spans="4:5" x14ac:dyDescent="0.25">
      <c r="D74" s="42"/>
      <c r="E74" s="42"/>
    </row>
    <row r="75" spans="4:5" x14ac:dyDescent="0.25">
      <c r="D75" s="42"/>
      <c r="E75" s="42"/>
    </row>
    <row r="76" spans="4:5" x14ac:dyDescent="0.25">
      <c r="D76" s="42"/>
      <c r="E76" s="42"/>
    </row>
    <row r="77" spans="4:5" x14ac:dyDescent="0.25">
      <c r="D77" s="42"/>
      <c r="E77" s="42"/>
    </row>
    <row r="78" spans="4:5" x14ac:dyDescent="0.25">
      <c r="D78" s="42"/>
      <c r="E78" s="42"/>
    </row>
    <row r="79" spans="4:5" x14ac:dyDescent="0.25">
      <c r="D79" s="42"/>
      <c r="E79" s="42"/>
    </row>
    <row r="80" spans="4:5" x14ac:dyDescent="0.25">
      <c r="D80" s="42"/>
      <c r="E80" s="42"/>
    </row>
    <row r="81" spans="4:5" x14ac:dyDescent="0.25">
      <c r="D81" s="42"/>
      <c r="E81" s="42"/>
    </row>
    <row r="82" spans="4:5" x14ac:dyDescent="0.25">
      <c r="D82" s="42"/>
      <c r="E82" s="42"/>
    </row>
    <row r="83" spans="4:5" x14ac:dyDescent="0.25">
      <c r="D83" s="42"/>
      <c r="E83" s="42"/>
    </row>
    <row r="84" spans="4:5" x14ac:dyDescent="0.25">
      <c r="D84" s="42"/>
      <c r="E84" s="42"/>
    </row>
    <row r="85" spans="4:5" x14ac:dyDescent="0.25">
      <c r="D85" s="42"/>
      <c r="E85" s="42"/>
    </row>
    <row r="86" spans="4:5" x14ac:dyDescent="0.25">
      <c r="D86" s="42"/>
      <c r="E86" s="42"/>
    </row>
    <row r="87" spans="4:5" x14ac:dyDescent="0.25">
      <c r="D87" s="42"/>
      <c r="E87" s="42"/>
    </row>
    <row r="88" spans="4:5" x14ac:dyDescent="0.25">
      <c r="D88" s="42"/>
      <c r="E88" s="42"/>
    </row>
    <row r="89" spans="4:5" x14ac:dyDescent="0.25">
      <c r="D89" s="42"/>
      <c r="E89" s="42"/>
    </row>
    <row r="90" spans="4:5" x14ac:dyDescent="0.25">
      <c r="D90" s="42"/>
      <c r="E90" s="42"/>
    </row>
    <row r="91" spans="4:5" x14ac:dyDescent="0.25">
      <c r="D91" s="42"/>
      <c r="E91" s="42"/>
    </row>
    <row r="92" spans="4:5" x14ac:dyDescent="0.25">
      <c r="D92" s="42"/>
      <c r="E92" s="42"/>
    </row>
    <row r="93" spans="4:5" x14ac:dyDescent="0.25">
      <c r="D93" s="42"/>
      <c r="E93" s="42"/>
    </row>
    <row r="94" spans="4:5" x14ac:dyDescent="0.25">
      <c r="D94" s="42"/>
      <c r="E94" s="42"/>
    </row>
    <row r="95" spans="4:5" x14ac:dyDescent="0.25">
      <c r="D95" s="42"/>
      <c r="E95" s="42"/>
    </row>
    <row r="96" spans="4:5" x14ac:dyDescent="0.25">
      <c r="D96" s="42"/>
      <c r="E96" s="42"/>
    </row>
    <row r="97" spans="4:5" x14ac:dyDescent="0.25">
      <c r="D97" s="42"/>
      <c r="E97" s="42"/>
    </row>
    <row r="98" spans="4:5" x14ac:dyDescent="0.25">
      <c r="D98" s="42"/>
      <c r="E98" s="42"/>
    </row>
    <row r="99" spans="4:5" x14ac:dyDescent="0.25">
      <c r="D99" s="42"/>
      <c r="E99" s="42"/>
    </row>
    <row r="100" spans="4:5" x14ac:dyDescent="0.25">
      <c r="D100" s="42"/>
      <c r="E100" s="42"/>
    </row>
  </sheetData>
  <mergeCells count="12">
    <mergeCell ref="J8:L8"/>
    <mergeCell ref="H8:I8"/>
    <mergeCell ref="F4:G4"/>
    <mergeCell ref="F5:G5"/>
    <mergeCell ref="F6:G6"/>
    <mergeCell ref="B8:C8"/>
    <mergeCell ref="D8:E8"/>
    <mergeCell ref="F8:G8"/>
    <mergeCell ref="B1:C1"/>
    <mergeCell ref="B2:C2"/>
    <mergeCell ref="F1:H1"/>
    <mergeCell ref="F2:H2"/>
  </mergeCells>
  <conditionalFormatting sqref="F2">
    <cfRule type="dataBar" priority="3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F5:F6">
    <cfRule type="dataBar" priority="3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{908A6850-7554-40D8-BEA2-7C68B02FD618}</x14:id>
        </ext>
      </extLst>
    </cfRule>
  </conditionalFormatting>
  <conditionalFormatting sqref="B10:B36 B38:B900">
    <cfRule type="dataBar" priority="33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10:C36 C38:C900">
    <cfRule type="dataBar" priority="32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K1:L8 K10:L18 K45:L1048576">
    <cfRule type="cellIs" dxfId="26" priority="29" operator="greaterThan">
      <formula>RAID_TIME_END</formula>
    </cfRule>
  </conditionalFormatting>
  <conditionalFormatting sqref="K19:L19">
    <cfRule type="cellIs" dxfId="25" priority="28" operator="greaterThan">
      <formula>RAID_TIME_END</formula>
    </cfRule>
  </conditionalFormatting>
  <conditionalFormatting sqref="K20:L20">
    <cfRule type="cellIs" dxfId="24" priority="27" operator="greaterThan">
      <formula>RAID_TIME_END</formula>
    </cfRule>
  </conditionalFormatting>
  <conditionalFormatting sqref="K21:L21">
    <cfRule type="cellIs" dxfId="23" priority="26" operator="greaterThan">
      <formula>RAID_TIME_END</formula>
    </cfRule>
  </conditionalFormatting>
  <conditionalFormatting sqref="K22:L22">
    <cfRule type="cellIs" dxfId="22" priority="25" operator="greaterThan">
      <formula>RAID_TIME_END</formula>
    </cfRule>
  </conditionalFormatting>
  <conditionalFormatting sqref="K23:L23">
    <cfRule type="cellIs" dxfId="21" priority="24" operator="greaterThan">
      <formula>RAID_TIME_END</formula>
    </cfRule>
  </conditionalFormatting>
  <conditionalFormatting sqref="K24:L24">
    <cfRule type="cellIs" dxfId="20" priority="23" operator="greaterThan">
      <formula>RAID_TIME_END</formula>
    </cfRule>
  </conditionalFormatting>
  <conditionalFormatting sqref="K25:L25">
    <cfRule type="cellIs" dxfId="19" priority="22" operator="greaterThan">
      <formula>RAID_TIME_END</formula>
    </cfRule>
  </conditionalFormatting>
  <conditionalFormatting sqref="K26:L26">
    <cfRule type="cellIs" dxfId="18" priority="21" operator="greaterThan">
      <formula>RAID_TIME_END</formula>
    </cfRule>
  </conditionalFormatting>
  <conditionalFormatting sqref="K27:L27">
    <cfRule type="cellIs" dxfId="17" priority="20" operator="greaterThan">
      <formula>RAID_TIME_END</formula>
    </cfRule>
  </conditionalFormatting>
  <conditionalFormatting sqref="K28:L28">
    <cfRule type="cellIs" dxfId="16" priority="19" operator="greaterThan">
      <formula>RAID_TIME_END</formula>
    </cfRule>
  </conditionalFormatting>
  <conditionalFormatting sqref="K29:L29">
    <cfRule type="cellIs" dxfId="15" priority="18" operator="greaterThan">
      <formula>RAID_TIME_END</formula>
    </cfRule>
  </conditionalFormatting>
  <conditionalFormatting sqref="K30:L30">
    <cfRule type="cellIs" dxfId="14" priority="17" operator="greaterThan">
      <formula>RAID_TIME_END</formula>
    </cfRule>
  </conditionalFormatting>
  <conditionalFormatting sqref="K31:L31">
    <cfRule type="cellIs" dxfId="13" priority="16" operator="greaterThan">
      <formula>RAID_TIME_END</formula>
    </cfRule>
  </conditionalFormatting>
  <conditionalFormatting sqref="K32:L32">
    <cfRule type="cellIs" dxfId="12" priority="15" operator="greaterThan">
      <formula>RAID_TIME_END</formula>
    </cfRule>
  </conditionalFormatting>
  <conditionalFormatting sqref="K33:L33">
    <cfRule type="cellIs" dxfId="11" priority="14" operator="greaterThan">
      <formula>RAID_TIME_END</formula>
    </cfRule>
  </conditionalFormatting>
  <conditionalFormatting sqref="K34:L34">
    <cfRule type="cellIs" dxfId="10" priority="13" operator="greaterThan">
      <formula>RAID_TIME_END</formula>
    </cfRule>
  </conditionalFormatting>
  <conditionalFormatting sqref="K35:L35">
    <cfRule type="cellIs" dxfId="9" priority="12" operator="greaterThan">
      <formula>RAID_TIME_END</formula>
    </cfRule>
  </conditionalFormatting>
  <conditionalFormatting sqref="K36:L36">
    <cfRule type="cellIs" dxfId="8" priority="11" operator="greaterThan">
      <formula>RAID_TIME_END</formula>
    </cfRule>
  </conditionalFormatting>
  <conditionalFormatting sqref="B37">
    <cfRule type="dataBar" priority="10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7">
    <cfRule type="dataBar" priority="9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K37:L37">
    <cfRule type="cellIs" dxfId="7" priority="8" operator="greaterThan">
      <formula>RAID_TIME_END</formula>
    </cfRule>
  </conditionalFormatting>
  <conditionalFormatting sqref="K38:L38">
    <cfRule type="cellIs" dxfId="6" priority="7" operator="greaterThan">
      <formula>RAID_TIME_END</formula>
    </cfRule>
  </conditionalFormatting>
  <conditionalFormatting sqref="K39:L39">
    <cfRule type="cellIs" dxfId="5" priority="6" operator="greaterThan">
      <formula>RAID_TIME_END</formula>
    </cfRule>
  </conditionalFormatting>
  <conditionalFormatting sqref="K40:L40">
    <cfRule type="cellIs" dxfId="4" priority="5" operator="greaterThan">
      <formula>RAID_TIME_END</formula>
    </cfRule>
  </conditionalFormatting>
  <conditionalFormatting sqref="K41:L41">
    <cfRule type="cellIs" dxfId="3" priority="4" operator="greaterThan">
      <formula>RAID_TIME_END</formula>
    </cfRule>
  </conditionalFormatting>
  <conditionalFormatting sqref="K42:L42">
    <cfRule type="cellIs" dxfId="2" priority="3" operator="greaterThan">
      <formula>RAID_TIME_END</formula>
    </cfRule>
  </conditionalFormatting>
  <conditionalFormatting sqref="K43:L43">
    <cfRule type="cellIs" dxfId="1" priority="2" operator="greaterThan">
      <formula>RAID_TIME_END</formula>
    </cfRule>
  </conditionalFormatting>
  <conditionalFormatting sqref="K44:L44">
    <cfRule type="cellIs" dxfId="0" priority="1" operator="greaterThan">
      <formula>RAID_TIME_END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08A6850-7554-40D8-BEA2-7C68B02FD6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B10:B36 B38:B900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C10:C36 C38:C900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G101"/>
  <sheetViews>
    <sheetView workbookViewId="0">
      <selection activeCell="A2" sqref="A2"/>
    </sheetView>
  </sheetViews>
  <sheetFormatPr defaultColWidth="9.140625" defaultRowHeight="15" x14ac:dyDescent="0.25"/>
  <cols>
    <col min="1" max="2" width="9.140625" style="20"/>
    <col min="3" max="3" width="9.140625" style="35"/>
    <col min="4" max="16384" width="9.140625" style="20"/>
  </cols>
  <sheetData>
    <row r="1" spans="1:7" x14ac:dyDescent="0.25">
      <c r="A1" s="20" t="s">
        <v>76</v>
      </c>
      <c r="B1" s="20" t="s">
        <v>29</v>
      </c>
      <c r="C1" s="35" t="s">
        <v>32</v>
      </c>
      <c r="E1" s="20" t="s">
        <v>50</v>
      </c>
      <c r="F1" s="20" t="s">
        <v>72</v>
      </c>
      <c r="G1" s="20" t="s">
        <v>73</v>
      </c>
    </row>
    <row r="2" spans="1:7" x14ac:dyDescent="0.25">
      <c r="A2" s="20">
        <v>15850</v>
      </c>
      <c r="B2" s="20">
        <v>7</v>
      </c>
      <c r="C2" s="35">
        <f>IF(ISBLANK(A2),"",A2/B2)</f>
        <v>2264.2857142857142</v>
      </c>
      <c r="E2" s="21">
        <v>1</v>
      </c>
      <c r="F2" s="21">
        <v>240</v>
      </c>
      <c r="G2" s="21">
        <v>0</v>
      </c>
    </row>
    <row r="3" spans="1:7" x14ac:dyDescent="0.25">
      <c r="A3" s="20">
        <v>46200</v>
      </c>
      <c r="B3" s="20">
        <v>19</v>
      </c>
      <c r="C3" s="35">
        <f t="shared" ref="C3:C66" si="0">IF(ISBLANK(A3),"",A3/B3)</f>
        <v>2431.5789473684213</v>
      </c>
      <c r="E3" s="21">
        <v>2</v>
      </c>
      <c r="F3" s="21">
        <v>300</v>
      </c>
      <c r="G3" s="21">
        <v>240</v>
      </c>
    </row>
    <row r="4" spans="1:7" x14ac:dyDescent="0.25">
      <c r="A4" s="20">
        <v>115100</v>
      </c>
      <c r="B4" s="20">
        <v>36</v>
      </c>
      <c r="C4" s="35">
        <f t="shared" si="0"/>
        <v>3197.2222222222222</v>
      </c>
      <c r="E4" s="21">
        <v>3</v>
      </c>
      <c r="F4" s="21">
        <v>360</v>
      </c>
      <c r="G4" s="21">
        <v>540</v>
      </c>
    </row>
    <row r="5" spans="1:7" x14ac:dyDescent="0.25">
      <c r="A5" s="20">
        <v>14900</v>
      </c>
      <c r="B5" s="20">
        <v>6</v>
      </c>
      <c r="C5" s="35">
        <f t="shared" si="0"/>
        <v>2483.3333333333335</v>
      </c>
      <c r="E5" s="21">
        <v>4</v>
      </c>
      <c r="F5" s="21">
        <v>420</v>
      </c>
      <c r="G5" s="21">
        <v>900</v>
      </c>
    </row>
    <row r="6" spans="1:7" x14ac:dyDescent="0.25">
      <c r="A6" s="20">
        <v>149500</v>
      </c>
      <c r="B6" s="20">
        <v>57</v>
      </c>
      <c r="C6" s="35">
        <f t="shared" si="0"/>
        <v>2622.8070175438597</v>
      </c>
      <c r="E6" s="21">
        <v>5</v>
      </c>
      <c r="F6" s="21">
        <v>480</v>
      </c>
      <c r="G6" s="21">
        <v>1320</v>
      </c>
    </row>
    <row r="7" spans="1:7" x14ac:dyDescent="0.25">
      <c r="A7" s="20">
        <v>14300</v>
      </c>
      <c r="B7" s="20">
        <v>5</v>
      </c>
      <c r="C7" s="35">
        <f t="shared" si="0"/>
        <v>2860</v>
      </c>
      <c r="E7" s="21">
        <v>6</v>
      </c>
      <c r="F7" s="21">
        <v>540</v>
      </c>
      <c r="G7" s="21">
        <v>1800</v>
      </c>
    </row>
    <row r="8" spans="1:7" x14ac:dyDescent="0.25">
      <c r="A8" s="20">
        <v>6400</v>
      </c>
      <c r="B8" s="20">
        <v>2</v>
      </c>
      <c r="C8" s="35">
        <f t="shared" si="0"/>
        <v>3200</v>
      </c>
      <c r="E8" s="21">
        <v>7</v>
      </c>
      <c r="F8" s="21">
        <v>600</v>
      </c>
      <c r="G8" s="21">
        <v>2340</v>
      </c>
    </row>
    <row r="9" spans="1:7" x14ac:dyDescent="0.25">
      <c r="A9" s="20">
        <v>364050</v>
      </c>
      <c r="B9" s="20">
        <v>145</v>
      </c>
      <c r="C9" s="35">
        <f t="shared" si="0"/>
        <v>2510.6896551724139</v>
      </c>
      <c r="E9" s="21">
        <v>8</v>
      </c>
      <c r="F9" s="21">
        <v>660</v>
      </c>
      <c r="G9" s="21">
        <v>2940</v>
      </c>
    </row>
    <row r="10" spans="1:7" x14ac:dyDescent="0.25">
      <c r="A10" s="20">
        <v>17400</v>
      </c>
      <c r="B10" s="20">
        <v>7</v>
      </c>
      <c r="C10" s="35">
        <f t="shared" si="0"/>
        <v>2485.7142857142858</v>
      </c>
      <c r="E10" s="21">
        <v>9</v>
      </c>
      <c r="F10" s="21">
        <v>720</v>
      </c>
      <c r="G10" s="21">
        <v>3600</v>
      </c>
    </row>
    <row r="11" spans="1:7" x14ac:dyDescent="0.25">
      <c r="A11" s="20">
        <v>12300</v>
      </c>
      <c r="B11" s="20">
        <v>5</v>
      </c>
      <c r="C11" s="35">
        <f t="shared" si="0"/>
        <v>2460</v>
      </c>
      <c r="E11" s="21">
        <v>10</v>
      </c>
      <c r="F11" s="21">
        <v>780</v>
      </c>
      <c r="G11" s="21">
        <v>4320</v>
      </c>
    </row>
    <row r="12" spans="1:7" x14ac:dyDescent="0.25">
      <c r="A12" s="20">
        <v>13150</v>
      </c>
      <c r="B12" s="20">
        <v>5</v>
      </c>
      <c r="C12" s="35">
        <f t="shared" si="0"/>
        <v>2630</v>
      </c>
      <c r="E12" s="21">
        <v>11</v>
      </c>
      <c r="F12" s="21">
        <v>900</v>
      </c>
      <c r="G12" s="21">
        <v>5100</v>
      </c>
    </row>
    <row r="13" spans="1:7" x14ac:dyDescent="0.25">
      <c r="A13" s="20">
        <v>62700</v>
      </c>
      <c r="B13" s="20">
        <v>26</v>
      </c>
      <c r="C13" s="35">
        <f t="shared" si="0"/>
        <v>2411.5384615384614</v>
      </c>
      <c r="E13" s="21">
        <v>12</v>
      </c>
      <c r="F13" s="21">
        <v>1020</v>
      </c>
      <c r="G13" s="21">
        <v>6000</v>
      </c>
    </row>
    <row r="14" spans="1:7" x14ac:dyDescent="0.25">
      <c r="A14" s="20">
        <v>13800</v>
      </c>
      <c r="B14" s="20">
        <v>4</v>
      </c>
      <c r="C14" s="35">
        <f t="shared" si="0"/>
        <v>3450</v>
      </c>
      <c r="E14" s="21">
        <v>13</v>
      </c>
      <c r="F14" s="21">
        <v>1140</v>
      </c>
      <c r="G14" s="21">
        <v>7020</v>
      </c>
    </row>
    <row r="15" spans="1:7" x14ac:dyDescent="0.25">
      <c r="A15" s="20">
        <v>255900</v>
      </c>
      <c r="B15" s="20">
        <v>88</v>
      </c>
      <c r="C15" s="35">
        <f t="shared" si="0"/>
        <v>2907.9545454545455</v>
      </c>
      <c r="E15" s="21">
        <v>14</v>
      </c>
      <c r="F15" s="21">
        <v>1260</v>
      </c>
      <c r="G15" s="21">
        <v>8160</v>
      </c>
    </row>
    <row r="16" spans="1:7" x14ac:dyDescent="0.25">
      <c r="A16" s="20">
        <v>43350</v>
      </c>
      <c r="B16" s="20">
        <v>15</v>
      </c>
      <c r="C16" s="35">
        <f t="shared" si="0"/>
        <v>2890</v>
      </c>
      <c r="E16" s="21">
        <v>15</v>
      </c>
      <c r="F16" s="21">
        <v>1380</v>
      </c>
      <c r="G16" s="21">
        <v>9420</v>
      </c>
    </row>
    <row r="17" spans="1:7" x14ac:dyDescent="0.25">
      <c r="A17" s="20">
        <v>39650</v>
      </c>
      <c r="B17" s="20">
        <v>16</v>
      </c>
      <c r="C17" s="35">
        <f t="shared" si="0"/>
        <v>2478.125</v>
      </c>
      <c r="E17" s="21">
        <v>16</v>
      </c>
      <c r="F17" s="21">
        <v>1500</v>
      </c>
      <c r="G17" s="21">
        <v>10800</v>
      </c>
    </row>
    <row r="18" spans="1:7" x14ac:dyDescent="0.25">
      <c r="C18" s="35" t="str">
        <f t="shared" si="0"/>
        <v/>
      </c>
      <c r="E18" s="21">
        <v>17</v>
      </c>
      <c r="F18" s="21">
        <v>1620</v>
      </c>
      <c r="G18" s="21">
        <v>12300</v>
      </c>
    </row>
    <row r="19" spans="1:7" x14ac:dyDescent="0.25">
      <c r="C19" s="35" t="str">
        <f t="shared" si="0"/>
        <v/>
      </c>
      <c r="E19" s="21">
        <v>18</v>
      </c>
      <c r="F19" s="21">
        <v>1740</v>
      </c>
      <c r="G19" s="21">
        <v>13920</v>
      </c>
    </row>
    <row r="20" spans="1:7" x14ac:dyDescent="0.25">
      <c r="C20" s="35" t="str">
        <f t="shared" si="0"/>
        <v/>
      </c>
      <c r="E20" s="21">
        <v>19</v>
      </c>
      <c r="F20" s="21">
        <v>1860</v>
      </c>
      <c r="G20" s="21">
        <v>15660</v>
      </c>
    </row>
    <row r="21" spans="1:7" x14ac:dyDescent="0.25">
      <c r="C21" s="35" t="str">
        <f t="shared" si="0"/>
        <v/>
      </c>
      <c r="E21" s="21">
        <v>20</v>
      </c>
      <c r="F21" s="21">
        <v>1980</v>
      </c>
      <c r="G21" s="21">
        <v>17520</v>
      </c>
    </row>
    <row r="22" spans="1:7" x14ac:dyDescent="0.25">
      <c r="C22" s="35" t="str">
        <f t="shared" si="0"/>
        <v/>
      </c>
      <c r="E22" s="21">
        <v>21</v>
      </c>
      <c r="F22" s="21">
        <v>2160</v>
      </c>
      <c r="G22" s="21">
        <v>19500</v>
      </c>
    </row>
    <row r="23" spans="1:7" x14ac:dyDescent="0.25">
      <c r="C23" s="35" t="str">
        <f t="shared" si="0"/>
        <v/>
      </c>
      <c r="E23" s="21">
        <v>22</v>
      </c>
      <c r="F23" s="21">
        <v>2340</v>
      </c>
      <c r="G23" s="21">
        <v>21660</v>
      </c>
    </row>
    <row r="24" spans="1:7" x14ac:dyDescent="0.25">
      <c r="C24" s="35" t="str">
        <f t="shared" si="0"/>
        <v/>
      </c>
      <c r="E24" s="21">
        <v>23</v>
      </c>
      <c r="F24" s="21">
        <v>2520</v>
      </c>
      <c r="G24" s="21">
        <v>24000</v>
      </c>
    </row>
    <row r="25" spans="1:7" x14ac:dyDescent="0.25">
      <c r="C25" s="35" t="str">
        <f t="shared" si="0"/>
        <v/>
      </c>
      <c r="E25" s="21">
        <v>24</v>
      </c>
      <c r="F25" s="21">
        <v>2700</v>
      </c>
      <c r="G25" s="21">
        <v>26520</v>
      </c>
    </row>
    <row r="26" spans="1:7" x14ac:dyDescent="0.25">
      <c r="C26" s="35" t="str">
        <f t="shared" si="0"/>
        <v/>
      </c>
      <c r="E26" s="21">
        <v>25</v>
      </c>
      <c r="F26" s="21">
        <v>2880</v>
      </c>
      <c r="G26" s="21">
        <v>29220</v>
      </c>
    </row>
    <row r="27" spans="1:7" x14ac:dyDescent="0.25">
      <c r="C27" s="35" t="str">
        <f t="shared" si="0"/>
        <v/>
      </c>
      <c r="E27" s="21">
        <v>26</v>
      </c>
      <c r="F27" s="21">
        <v>3060</v>
      </c>
      <c r="G27" s="21">
        <v>32100</v>
      </c>
    </row>
    <row r="28" spans="1:7" x14ac:dyDescent="0.25">
      <c r="C28" s="35" t="str">
        <f t="shared" si="0"/>
        <v/>
      </c>
      <c r="E28" s="21">
        <v>27</v>
      </c>
      <c r="F28" s="21">
        <v>3240</v>
      </c>
      <c r="G28" s="21">
        <v>35160</v>
      </c>
    </row>
    <row r="29" spans="1:7" x14ac:dyDescent="0.25">
      <c r="C29" s="35" t="str">
        <f t="shared" si="0"/>
        <v/>
      </c>
      <c r="E29" s="21">
        <v>28</v>
      </c>
      <c r="F29" s="21">
        <v>3420</v>
      </c>
      <c r="G29" s="21">
        <v>38400</v>
      </c>
    </row>
    <row r="30" spans="1:7" x14ac:dyDescent="0.25">
      <c r="C30" s="35" t="str">
        <f t="shared" si="0"/>
        <v/>
      </c>
      <c r="E30" s="21">
        <v>29</v>
      </c>
      <c r="F30" s="21">
        <v>3600</v>
      </c>
      <c r="G30" s="21">
        <v>41820</v>
      </c>
    </row>
    <row r="31" spans="1:7" x14ac:dyDescent="0.25">
      <c r="C31" s="35" t="str">
        <f t="shared" si="0"/>
        <v/>
      </c>
      <c r="E31" s="21">
        <v>30</v>
      </c>
      <c r="F31" s="21">
        <v>3780</v>
      </c>
      <c r="G31" s="21">
        <v>45420</v>
      </c>
    </row>
    <row r="32" spans="1:7" x14ac:dyDescent="0.25">
      <c r="C32" s="35" t="str">
        <f t="shared" si="0"/>
        <v/>
      </c>
      <c r="E32" s="21">
        <v>31</v>
      </c>
      <c r="F32" s="21">
        <v>4020</v>
      </c>
      <c r="G32" s="21">
        <v>49200</v>
      </c>
    </row>
    <row r="33" spans="3:7" x14ac:dyDescent="0.25">
      <c r="C33" s="35" t="str">
        <f t="shared" si="0"/>
        <v/>
      </c>
      <c r="E33" s="21">
        <v>32</v>
      </c>
      <c r="F33" s="21">
        <v>4260</v>
      </c>
      <c r="G33" s="21">
        <v>53220</v>
      </c>
    </row>
    <row r="34" spans="3:7" x14ac:dyDescent="0.25">
      <c r="C34" s="35" t="str">
        <f t="shared" si="0"/>
        <v/>
      </c>
      <c r="E34" s="21">
        <v>33</v>
      </c>
      <c r="F34" s="21">
        <v>4500</v>
      </c>
      <c r="G34" s="21">
        <v>57480</v>
      </c>
    </row>
    <row r="35" spans="3:7" x14ac:dyDescent="0.25">
      <c r="C35" s="35" t="str">
        <f t="shared" si="0"/>
        <v/>
      </c>
      <c r="E35" s="21">
        <v>34</v>
      </c>
      <c r="F35" s="21">
        <v>4740</v>
      </c>
      <c r="G35" s="21">
        <v>61980</v>
      </c>
    </row>
    <row r="36" spans="3:7" x14ac:dyDescent="0.25">
      <c r="C36" s="35" t="str">
        <f t="shared" si="0"/>
        <v/>
      </c>
      <c r="E36" s="21">
        <v>35</v>
      </c>
      <c r="F36" s="21">
        <v>4980</v>
      </c>
      <c r="G36" s="21">
        <v>66720</v>
      </c>
    </row>
    <row r="37" spans="3:7" x14ac:dyDescent="0.25">
      <c r="C37" s="35" t="str">
        <f t="shared" si="0"/>
        <v/>
      </c>
      <c r="E37" s="21">
        <v>36</v>
      </c>
      <c r="F37" s="21">
        <v>5220</v>
      </c>
      <c r="G37" s="21">
        <v>71700</v>
      </c>
    </row>
    <row r="38" spans="3:7" x14ac:dyDescent="0.25">
      <c r="C38" s="35" t="str">
        <f t="shared" si="0"/>
        <v/>
      </c>
      <c r="E38" s="21">
        <v>37</v>
      </c>
      <c r="F38" s="21">
        <v>5460</v>
      </c>
      <c r="G38" s="21">
        <v>76920</v>
      </c>
    </row>
    <row r="39" spans="3:7" x14ac:dyDescent="0.25">
      <c r="C39" s="35" t="str">
        <f t="shared" si="0"/>
        <v/>
      </c>
      <c r="E39" s="21">
        <v>38</v>
      </c>
      <c r="F39" s="21">
        <v>5700</v>
      </c>
      <c r="G39" s="21">
        <v>82380</v>
      </c>
    </row>
    <row r="40" spans="3:7" x14ac:dyDescent="0.25">
      <c r="C40" s="35" t="str">
        <f t="shared" si="0"/>
        <v/>
      </c>
      <c r="E40" s="21">
        <v>39</v>
      </c>
      <c r="F40" s="21">
        <v>5940</v>
      </c>
      <c r="G40" s="21">
        <v>88080</v>
      </c>
    </row>
    <row r="41" spans="3:7" x14ac:dyDescent="0.25">
      <c r="C41" s="35" t="str">
        <f t="shared" si="0"/>
        <v/>
      </c>
      <c r="E41" s="21">
        <v>40</v>
      </c>
      <c r="F41" s="21">
        <v>6180</v>
      </c>
      <c r="G41" s="21">
        <v>94020</v>
      </c>
    </row>
    <row r="42" spans="3:7" x14ac:dyDescent="0.25">
      <c r="C42" s="35" t="str">
        <f t="shared" si="0"/>
        <v/>
      </c>
      <c r="E42" s="21">
        <v>41</v>
      </c>
      <c r="F42" s="21">
        <v>6480</v>
      </c>
      <c r="G42" s="21">
        <v>100200</v>
      </c>
    </row>
    <row r="43" spans="3:7" x14ac:dyDescent="0.25">
      <c r="C43" s="35" t="str">
        <f t="shared" si="0"/>
        <v/>
      </c>
      <c r="E43" s="21">
        <v>42</v>
      </c>
      <c r="F43" s="21">
        <v>6780</v>
      </c>
      <c r="G43" s="21">
        <v>106680</v>
      </c>
    </row>
    <row r="44" spans="3:7" x14ac:dyDescent="0.25">
      <c r="C44" s="35" t="str">
        <f t="shared" si="0"/>
        <v/>
      </c>
      <c r="E44" s="21">
        <v>43</v>
      </c>
      <c r="F44" s="21">
        <v>7080</v>
      </c>
      <c r="G44" s="21">
        <v>113460</v>
      </c>
    </row>
    <row r="45" spans="3:7" x14ac:dyDescent="0.25">
      <c r="C45" s="35" t="str">
        <f t="shared" si="0"/>
        <v/>
      </c>
      <c r="E45" s="21">
        <v>44</v>
      </c>
      <c r="F45" s="21">
        <v>7380</v>
      </c>
      <c r="G45" s="21">
        <v>120540</v>
      </c>
    </row>
    <row r="46" spans="3:7" x14ac:dyDescent="0.25">
      <c r="C46" s="35" t="str">
        <f t="shared" si="0"/>
        <v/>
      </c>
      <c r="E46" s="21">
        <v>45</v>
      </c>
      <c r="F46" s="21">
        <v>7680</v>
      </c>
      <c r="G46" s="21">
        <v>127920</v>
      </c>
    </row>
    <row r="47" spans="3:7" x14ac:dyDescent="0.25">
      <c r="C47" s="35" t="str">
        <f t="shared" si="0"/>
        <v/>
      </c>
      <c r="E47" s="21">
        <v>46</v>
      </c>
      <c r="F47" s="21">
        <v>7980</v>
      </c>
      <c r="G47" s="21">
        <v>135600</v>
      </c>
    </row>
    <row r="48" spans="3:7" x14ac:dyDescent="0.25">
      <c r="C48" s="35" t="str">
        <f t="shared" si="0"/>
        <v/>
      </c>
      <c r="E48" s="21">
        <v>47</v>
      </c>
      <c r="F48" s="21">
        <v>8280</v>
      </c>
      <c r="G48" s="21">
        <v>143580</v>
      </c>
    </row>
    <row r="49" spans="3:7" x14ac:dyDescent="0.25">
      <c r="C49" s="35" t="str">
        <f t="shared" si="0"/>
        <v/>
      </c>
      <c r="E49" s="21">
        <v>48</v>
      </c>
      <c r="F49" s="21">
        <v>8580</v>
      </c>
      <c r="G49" s="21">
        <v>151860</v>
      </c>
    </row>
    <row r="50" spans="3:7" x14ac:dyDescent="0.25">
      <c r="C50" s="35" t="str">
        <f t="shared" si="0"/>
        <v/>
      </c>
      <c r="E50" s="21">
        <v>49</v>
      </c>
      <c r="F50" s="21">
        <v>8880</v>
      </c>
      <c r="G50" s="21">
        <v>160440</v>
      </c>
    </row>
    <row r="51" spans="3:7" x14ac:dyDescent="0.25">
      <c r="C51" s="35" t="str">
        <f t="shared" si="0"/>
        <v/>
      </c>
      <c r="E51" s="21">
        <v>50</v>
      </c>
      <c r="F51" s="21">
        <v>9180</v>
      </c>
      <c r="G51" s="21">
        <v>169320</v>
      </c>
    </row>
    <row r="52" spans="3:7" x14ac:dyDescent="0.25">
      <c r="C52" s="35" t="str">
        <f t="shared" si="0"/>
        <v/>
      </c>
      <c r="E52" s="21">
        <v>51</v>
      </c>
      <c r="F52" s="21">
        <v>9540</v>
      </c>
      <c r="G52" s="21">
        <v>178500</v>
      </c>
    </row>
    <row r="53" spans="3:7" x14ac:dyDescent="0.25">
      <c r="C53" s="35" t="str">
        <f t="shared" si="0"/>
        <v/>
      </c>
      <c r="E53" s="21">
        <v>52</v>
      </c>
      <c r="F53" s="21">
        <v>9900</v>
      </c>
      <c r="G53" s="21">
        <v>188040</v>
      </c>
    </row>
    <row r="54" spans="3:7" x14ac:dyDescent="0.25">
      <c r="C54" s="35" t="str">
        <f t="shared" si="0"/>
        <v/>
      </c>
      <c r="E54" s="21">
        <v>53</v>
      </c>
      <c r="F54" s="21">
        <v>10260</v>
      </c>
      <c r="G54" s="21">
        <v>197940</v>
      </c>
    </row>
    <row r="55" spans="3:7" x14ac:dyDescent="0.25">
      <c r="C55" s="35" t="str">
        <f t="shared" si="0"/>
        <v/>
      </c>
      <c r="E55" s="21">
        <v>54</v>
      </c>
      <c r="F55" s="21">
        <v>10620</v>
      </c>
      <c r="G55" s="21">
        <v>208200</v>
      </c>
    </row>
    <row r="56" spans="3:7" x14ac:dyDescent="0.25">
      <c r="C56" s="35" t="str">
        <f t="shared" si="0"/>
        <v/>
      </c>
      <c r="E56" s="21">
        <v>55</v>
      </c>
      <c r="F56" s="21">
        <v>10980</v>
      </c>
      <c r="G56" s="21">
        <v>218820</v>
      </c>
    </row>
    <row r="57" spans="3:7" x14ac:dyDescent="0.25">
      <c r="C57" s="35" t="str">
        <f t="shared" si="0"/>
        <v/>
      </c>
      <c r="E57" s="21">
        <v>56</v>
      </c>
      <c r="F57" s="21">
        <v>11340</v>
      </c>
      <c r="G57" s="21">
        <v>229800</v>
      </c>
    </row>
    <row r="58" spans="3:7" x14ac:dyDescent="0.25">
      <c r="C58" s="35" t="str">
        <f t="shared" si="0"/>
        <v/>
      </c>
      <c r="E58" s="21">
        <v>57</v>
      </c>
      <c r="F58" s="21">
        <v>11700</v>
      </c>
      <c r="G58" s="21">
        <v>241140</v>
      </c>
    </row>
    <row r="59" spans="3:7" x14ac:dyDescent="0.25">
      <c r="C59" s="35" t="str">
        <f t="shared" si="0"/>
        <v/>
      </c>
      <c r="E59" s="21">
        <v>58</v>
      </c>
      <c r="F59" s="21">
        <v>12060</v>
      </c>
      <c r="G59" s="21">
        <v>252840</v>
      </c>
    </row>
    <row r="60" spans="3:7" x14ac:dyDescent="0.25">
      <c r="C60" s="35" t="str">
        <f t="shared" si="0"/>
        <v/>
      </c>
      <c r="E60" s="21">
        <v>59</v>
      </c>
      <c r="F60" s="21">
        <v>12420</v>
      </c>
      <c r="G60" s="21">
        <v>264900</v>
      </c>
    </row>
    <row r="61" spans="3:7" x14ac:dyDescent="0.25">
      <c r="C61" s="35" t="str">
        <f t="shared" si="0"/>
        <v/>
      </c>
      <c r="E61" s="21">
        <v>60</v>
      </c>
      <c r="F61" s="21">
        <v>12780</v>
      </c>
      <c r="G61" s="21">
        <v>277320</v>
      </c>
    </row>
    <row r="62" spans="3:7" x14ac:dyDescent="0.25">
      <c r="C62" s="35" t="str">
        <f t="shared" si="0"/>
        <v/>
      </c>
      <c r="E62" s="21">
        <v>61</v>
      </c>
      <c r="F62" s="21">
        <v>13230</v>
      </c>
      <c r="G62" s="21">
        <v>290100</v>
      </c>
    </row>
    <row r="63" spans="3:7" x14ac:dyDescent="0.25">
      <c r="C63" s="35" t="str">
        <f t="shared" si="0"/>
        <v/>
      </c>
      <c r="E63" s="21">
        <v>62</v>
      </c>
      <c r="F63" s="21">
        <v>13680</v>
      </c>
      <c r="G63" s="21">
        <v>303330</v>
      </c>
    </row>
    <row r="64" spans="3:7" x14ac:dyDescent="0.25">
      <c r="C64" s="35" t="str">
        <f t="shared" si="0"/>
        <v/>
      </c>
      <c r="E64" s="21">
        <v>63</v>
      </c>
      <c r="F64" s="21">
        <v>14130</v>
      </c>
      <c r="G64" s="21">
        <v>317010</v>
      </c>
    </row>
    <row r="65" spans="3:7" x14ac:dyDescent="0.25">
      <c r="C65" s="35" t="str">
        <f t="shared" si="0"/>
        <v/>
      </c>
      <c r="E65" s="21">
        <v>64</v>
      </c>
      <c r="F65" s="21">
        <v>14580</v>
      </c>
      <c r="G65" s="21">
        <v>331140</v>
      </c>
    </row>
    <row r="66" spans="3:7" x14ac:dyDescent="0.25">
      <c r="C66" s="35" t="str">
        <f t="shared" si="0"/>
        <v/>
      </c>
      <c r="E66" s="21">
        <v>65</v>
      </c>
      <c r="F66" s="21">
        <v>15030</v>
      </c>
      <c r="G66" s="21">
        <v>345720</v>
      </c>
    </row>
    <row r="67" spans="3:7" x14ac:dyDescent="0.25">
      <c r="C67" s="35" t="str">
        <f t="shared" ref="C67:C101" si="1">IF(ISBLANK(A67),"",A67/B67)</f>
        <v/>
      </c>
      <c r="E67" s="21">
        <v>66</v>
      </c>
      <c r="F67" s="21">
        <v>15480</v>
      </c>
      <c r="G67" s="21">
        <v>360750</v>
      </c>
    </row>
    <row r="68" spans="3:7" x14ac:dyDescent="0.25">
      <c r="C68" s="35" t="str">
        <f t="shared" si="1"/>
        <v/>
      </c>
      <c r="E68" s="21">
        <v>67</v>
      </c>
      <c r="F68" s="21">
        <v>15930</v>
      </c>
      <c r="G68" s="21">
        <v>376230</v>
      </c>
    </row>
    <row r="69" spans="3:7" x14ac:dyDescent="0.25">
      <c r="C69" s="35" t="str">
        <f t="shared" si="1"/>
        <v/>
      </c>
      <c r="E69" s="21">
        <v>68</v>
      </c>
      <c r="F69" s="21">
        <v>16380</v>
      </c>
      <c r="G69" s="21">
        <v>392160</v>
      </c>
    </row>
    <row r="70" spans="3:7" x14ac:dyDescent="0.25">
      <c r="C70" s="35" t="str">
        <f t="shared" si="1"/>
        <v/>
      </c>
      <c r="E70" s="21">
        <v>69</v>
      </c>
      <c r="F70" s="21">
        <v>16830</v>
      </c>
      <c r="G70" s="21">
        <v>408540</v>
      </c>
    </row>
    <row r="71" spans="3:7" x14ac:dyDescent="0.25">
      <c r="C71" s="35" t="str">
        <f t="shared" si="1"/>
        <v/>
      </c>
      <c r="E71" s="21">
        <v>70</v>
      </c>
      <c r="F71" s="21">
        <v>17280</v>
      </c>
      <c r="G71" s="21">
        <v>425370</v>
      </c>
    </row>
    <row r="72" spans="3:7" x14ac:dyDescent="0.25">
      <c r="C72" s="35" t="str">
        <f t="shared" si="1"/>
        <v/>
      </c>
      <c r="E72" s="21">
        <v>71</v>
      </c>
      <c r="F72" s="21">
        <v>17880</v>
      </c>
      <c r="G72" s="21">
        <v>442650</v>
      </c>
    </row>
    <row r="73" spans="3:7" x14ac:dyDescent="0.25">
      <c r="C73" s="35" t="str">
        <f t="shared" si="1"/>
        <v/>
      </c>
      <c r="E73" s="21">
        <v>72</v>
      </c>
      <c r="F73" s="21">
        <v>18480</v>
      </c>
      <c r="G73" s="21">
        <v>460530</v>
      </c>
    </row>
    <row r="74" spans="3:7" x14ac:dyDescent="0.25">
      <c r="C74" s="35" t="str">
        <f t="shared" si="1"/>
        <v/>
      </c>
      <c r="E74" s="21">
        <v>73</v>
      </c>
      <c r="F74" s="21">
        <v>19080</v>
      </c>
      <c r="G74" s="21">
        <v>479010</v>
      </c>
    </row>
    <row r="75" spans="3:7" x14ac:dyDescent="0.25">
      <c r="C75" s="35" t="str">
        <f t="shared" si="1"/>
        <v/>
      </c>
      <c r="E75" s="21">
        <v>74</v>
      </c>
      <c r="F75" s="21">
        <v>19680</v>
      </c>
      <c r="G75" s="21">
        <v>498090</v>
      </c>
    </row>
    <row r="76" spans="3:7" x14ac:dyDescent="0.25">
      <c r="C76" s="35" t="str">
        <f t="shared" si="1"/>
        <v/>
      </c>
      <c r="E76" s="21">
        <v>75</v>
      </c>
      <c r="F76" s="21">
        <v>20280</v>
      </c>
      <c r="G76" s="21">
        <v>517770</v>
      </c>
    </row>
    <row r="77" spans="3:7" x14ac:dyDescent="0.25">
      <c r="C77" s="35" t="str">
        <f t="shared" si="1"/>
        <v/>
      </c>
      <c r="E77" s="21">
        <v>76</v>
      </c>
      <c r="F77" s="21">
        <v>20880</v>
      </c>
      <c r="G77" s="21">
        <v>538050</v>
      </c>
    </row>
    <row r="78" spans="3:7" x14ac:dyDescent="0.25">
      <c r="C78" s="35" t="str">
        <f t="shared" si="1"/>
        <v/>
      </c>
      <c r="E78" s="21">
        <v>77</v>
      </c>
      <c r="F78" s="21">
        <v>21480</v>
      </c>
      <c r="G78" s="21">
        <v>558930</v>
      </c>
    </row>
    <row r="79" spans="3:7" x14ac:dyDescent="0.25">
      <c r="C79" s="35" t="str">
        <f t="shared" si="1"/>
        <v/>
      </c>
      <c r="E79" s="21">
        <v>78</v>
      </c>
      <c r="F79" s="21">
        <v>22080</v>
      </c>
      <c r="G79" s="21">
        <v>580410</v>
      </c>
    </row>
    <row r="80" spans="3:7" x14ac:dyDescent="0.25">
      <c r="C80" s="35" t="str">
        <f t="shared" si="1"/>
        <v/>
      </c>
      <c r="E80" s="21">
        <v>79</v>
      </c>
      <c r="F80" s="21">
        <v>22680</v>
      </c>
      <c r="G80" s="21">
        <v>602490</v>
      </c>
    </row>
    <row r="81" spans="3:7" x14ac:dyDescent="0.25">
      <c r="C81" s="35" t="str">
        <f t="shared" si="1"/>
        <v/>
      </c>
      <c r="E81" s="21">
        <v>80</v>
      </c>
      <c r="F81" s="21">
        <v>23280</v>
      </c>
      <c r="G81" s="21">
        <v>625170</v>
      </c>
    </row>
    <row r="82" spans="3:7" x14ac:dyDescent="0.25">
      <c r="C82" s="35" t="str">
        <f t="shared" si="1"/>
        <v/>
      </c>
      <c r="E82" s="21">
        <v>81</v>
      </c>
      <c r="F82" s="21">
        <v>24030</v>
      </c>
      <c r="G82" s="21">
        <v>648450</v>
      </c>
    </row>
    <row r="83" spans="3:7" x14ac:dyDescent="0.25">
      <c r="C83" s="35" t="str">
        <f t="shared" si="1"/>
        <v/>
      </c>
      <c r="E83" s="21">
        <v>82</v>
      </c>
      <c r="F83" s="21">
        <v>24780</v>
      </c>
      <c r="G83" s="21">
        <v>672480</v>
      </c>
    </row>
    <row r="84" spans="3:7" x14ac:dyDescent="0.25">
      <c r="C84" s="35" t="str">
        <f t="shared" si="1"/>
        <v/>
      </c>
      <c r="E84" s="21">
        <v>83</v>
      </c>
      <c r="F84" s="21">
        <v>25530</v>
      </c>
      <c r="G84" s="21">
        <v>697260</v>
      </c>
    </row>
    <row r="85" spans="3:7" x14ac:dyDescent="0.25">
      <c r="C85" s="35" t="str">
        <f t="shared" si="1"/>
        <v/>
      </c>
      <c r="E85" s="21">
        <v>84</v>
      </c>
      <c r="F85" s="21">
        <v>26280</v>
      </c>
      <c r="G85" s="21">
        <v>722790</v>
      </c>
    </row>
    <row r="86" spans="3:7" x14ac:dyDescent="0.25">
      <c r="C86" s="35" t="str">
        <f t="shared" si="1"/>
        <v/>
      </c>
      <c r="E86" s="21">
        <v>85</v>
      </c>
      <c r="F86" s="21">
        <v>27030</v>
      </c>
      <c r="G86" s="21">
        <v>749070</v>
      </c>
    </row>
    <row r="87" spans="3:7" x14ac:dyDescent="0.25">
      <c r="C87" s="35" t="str">
        <f t="shared" si="1"/>
        <v/>
      </c>
      <c r="E87" s="21">
        <v>86</v>
      </c>
      <c r="F87" s="21">
        <v>27780</v>
      </c>
      <c r="G87" s="21">
        <v>776100</v>
      </c>
    </row>
    <row r="88" spans="3:7" x14ac:dyDescent="0.25">
      <c r="C88" s="35" t="str">
        <f t="shared" si="1"/>
        <v/>
      </c>
      <c r="E88" s="21">
        <v>87</v>
      </c>
      <c r="F88" s="21">
        <v>28530</v>
      </c>
      <c r="G88" s="21">
        <v>803880</v>
      </c>
    </row>
    <row r="89" spans="3:7" x14ac:dyDescent="0.25">
      <c r="C89" s="35" t="str">
        <f t="shared" si="1"/>
        <v/>
      </c>
      <c r="E89" s="21">
        <v>88</v>
      </c>
      <c r="F89" s="21">
        <v>29280</v>
      </c>
      <c r="G89" s="21">
        <v>832410</v>
      </c>
    </row>
    <row r="90" spans="3:7" x14ac:dyDescent="0.25">
      <c r="C90" s="35" t="str">
        <f t="shared" si="1"/>
        <v/>
      </c>
      <c r="E90" s="21">
        <v>89</v>
      </c>
      <c r="F90" s="21">
        <v>30030</v>
      </c>
      <c r="G90" s="21">
        <v>861690</v>
      </c>
    </row>
    <row r="91" spans="3:7" x14ac:dyDescent="0.25">
      <c r="C91" s="35" t="str">
        <f t="shared" si="1"/>
        <v/>
      </c>
      <c r="E91" s="21">
        <v>90</v>
      </c>
      <c r="F91" s="21">
        <v>30780</v>
      </c>
      <c r="G91" s="21">
        <v>891720</v>
      </c>
    </row>
    <row r="92" spans="3:7" x14ac:dyDescent="0.25">
      <c r="C92" s="35" t="str">
        <f t="shared" si="1"/>
        <v/>
      </c>
      <c r="E92" s="21">
        <v>91</v>
      </c>
      <c r="F92" s="21">
        <v>31680</v>
      </c>
      <c r="G92" s="21">
        <v>922500</v>
      </c>
    </row>
    <row r="93" spans="3:7" x14ac:dyDescent="0.25">
      <c r="C93" s="35" t="str">
        <f t="shared" si="1"/>
        <v/>
      </c>
      <c r="E93" s="21">
        <v>92</v>
      </c>
      <c r="F93" s="21">
        <v>32580</v>
      </c>
      <c r="G93" s="21">
        <v>954180</v>
      </c>
    </row>
    <row r="94" spans="3:7" x14ac:dyDescent="0.25">
      <c r="C94" s="35" t="str">
        <f t="shared" si="1"/>
        <v/>
      </c>
      <c r="E94" s="21">
        <v>93</v>
      </c>
      <c r="F94" s="21">
        <v>33480</v>
      </c>
      <c r="G94" s="21">
        <v>986760</v>
      </c>
    </row>
    <row r="95" spans="3:7" x14ac:dyDescent="0.25">
      <c r="C95" s="35" t="str">
        <f t="shared" si="1"/>
        <v/>
      </c>
      <c r="E95" s="21">
        <v>94</v>
      </c>
      <c r="F95" s="21">
        <v>34380</v>
      </c>
      <c r="G95" s="21">
        <v>1020240</v>
      </c>
    </row>
    <row r="96" spans="3:7" x14ac:dyDescent="0.25">
      <c r="C96" s="35" t="str">
        <f t="shared" si="1"/>
        <v/>
      </c>
      <c r="E96" s="21">
        <v>95</v>
      </c>
      <c r="F96" s="21">
        <v>35280</v>
      </c>
      <c r="G96" s="21">
        <v>1054620</v>
      </c>
    </row>
    <row r="97" spans="3:7" x14ac:dyDescent="0.25">
      <c r="C97" s="35" t="str">
        <f t="shared" si="1"/>
        <v/>
      </c>
      <c r="E97" s="21">
        <v>96</v>
      </c>
      <c r="F97" s="21">
        <v>36180</v>
      </c>
      <c r="G97" s="21">
        <v>1089900</v>
      </c>
    </row>
    <row r="98" spans="3:7" x14ac:dyDescent="0.25">
      <c r="C98" s="35" t="str">
        <f t="shared" si="1"/>
        <v/>
      </c>
      <c r="E98" s="21">
        <v>97</v>
      </c>
      <c r="F98" s="21">
        <v>37080</v>
      </c>
      <c r="G98" s="21">
        <v>1126080</v>
      </c>
    </row>
    <row r="99" spans="3:7" x14ac:dyDescent="0.25">
      <c r="C99" s="35" t="str">
        <f t="shared" si="1"/>
        <v/>
      </c>
      <c r="E99" s="21">
        <v>98</v>
      </c>
      <c r="F99" s="21">
        <v>37980</v>
      </c>
      <c r="G99" s="21">
        <v>1163160</v>
      </c>
    </row>
    <row r="100" spans="3:7" x14ac:dyDescent="0.25">
      <c r="C100" s="35" t="str">
        <f t="shared" si="1"/>
        <v/>
      </c>
      <c r="E100" s="21">
        <v>99</v>
      </c>
      <c r="F100" s="21">
        <v>38880</v>
      </c>
      <c r="G100" s="21">
        <v>1201140</v>
      </c>
    </row>
    <row r="101" spans="3:7" x14ac:dyDescent="0.25">
      <c r="C101" s="35" t="str">
        <f t="shared" si="1"/>
        <v/>
      </c>
      <c r="E101" s="21">
        <v>100</v>
      </c>
      <c r="F101" s="21">
        <v>0</v>
      </c>
      <c r="G101" s="21">
        <v>1240020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theme="4" tint="0.59999389629810485"/>
  </sheetPr>
  <dimension ref="A1:AR33"/>
  <sheetViews>
    <sheetView workbookViewId="0">
      <selection activeCell="Q13" sqref="Q13"/>
    </sheetView>
  </sheetViews>
  <sheetFormatPr defaultRowHeight="15" x14ac:dyDescent="0.25"/>
  <cols>
    <col min="1" max="1" width="6.85546875" style="74" customWidth="1"/>
    <col min="2" max="2" width="4.85546875" style="175" customWidth="1"/>
    <col min="3" max="3" width="6.85546875" style="74" customWidth="1"/>
    <col min="4" max="4" width="4.85546875" style="175" customWidth="1"/>
    <col min="5" max="5" width="4.85546875" style="90" customWidth="1"/>
    <col min="6" max="6" width="6.85546875" style="9" customWidth="1"/>
    <col min="7" max="7" width="4.85546875" style="6" customWidth="1"/>
    <col min="8" max="8" width="6.85546875" style="75" customWidth="1"/>
    <col min="9" max="9" width="4.85546875" style="182" customWidth="1"/>
    <col min="10" max="10" width="4.85546875" style="91" customWidth="1"/>
    <col min="11" max="11" width="6.85546875" style="76" customWidth="1"/>
    <col min="12" max="12" width="4.85546875" style="173" customWidth="1"/>
    <col min="13" max="13" width="6.85546875" style="76" customWidth="1"/>
    <col min="14" max="14" width="4.85546875" style="173" customWidth="1"/>
    <col min="15" max="15" width="4.85546875" style="92" customWidth="1"/>
    <col min="16" max="16" width="6.85546875" style="77" customWidth="1"/>
    <col min="17" max="17" width="4.85546875" style="171" customWidth="1"/>
    <col min="18" max="18" width="6.85546875" style="77" customWidth="1"/>
    <col min="19" max="19" width="4.85546875" style="171" customWidth="1"/>
    <col min="20" max="20" width="4.85546875" style="93" customWidth="1"/>
    <col min="21" max="21" width="6.85546875" style="78" customWidth="1"/>
    <col min="22" max="22" width="4.85546875" style="184" customWidth="1"/>
    <col min="23" max="23" width="6.85546875" style="78" customWidth="1"/>
    <col min="24" max="24" width="4.85546875" style="184" customWidth="1"/>
    <col min="25" max="25" width="4.85546875" style="94" customWidth="1"/>
    <col min="26" max="26" width="6.85546875" style="179" customWidth="1"/>
    <col min="27" max="27" width="4.85546875" style="186" customWidth="1"/>
    <col min="28" max="28" width="4.85546875" style="160" customWidth="1"/>
    <col min="29" max="29" width="6.85546875" style="162" customWidth="1"/>
    <col min="30" max="30" width="4.85546875" style="188" customWidth="1"/>
    <col min="31" max="31" width="4.85546875" style="163" customWidth="1"/>
    <col min="32" max="32" width="6.85546875" style="168" customWidth="1"/>
    <col min="33" max="33" width="4.85546875" style="190" customWidth="1"/>
    <col min="34" max="34" width="4.85546875" style="169" customWidth="1"/>
    <col min="35" max="35" width="3.5703125" customWidth="1"/>
    <col min="36" max="36" width="4.28515625" style="72" customWidth="1"/>
    <col min="37" max="43" width="5.42578125" style="72" customWidth="1"/>
    <col min="44" max="44" width="9.42578125" style="72" customWidth="1"/>
    <col min="45" max="16381" width="8.5703125" style="73"/>
    <col min="16382" max="16384" width="9.140625" style="73" bestFit="1" customWidth="1"/>
  </cols>
  <sheetData>
    <row r="1" spans="1:44" x14ac:dyDescent="0.25">
      <c r="A1" s="245" t="s">
        <v>108</v>
      </c>
      <c r="B1" s="245"/>
      <c r="C1" s="255" t="s">
        <v>109</v>
      </c>
      <c r="D1" s="255"/>
      <c r="E1" s="245" t="s">
        <v>30</v>
      </c>
      <c r="F1" s="251" t="s">
        <v>108</v>
      </c>
      <c r="G1" s="251"/>
      <c r="H1" s="254" t="s">
        <v>109</v>
      </c>
      <c r="I1" s="254"/>
      <c r="J1" s="251" t="s">
        <v>30</v>
      </c>
      <c r="K1" s="252" t="s">
        <v>108</v>
      </c>
      <c r="L1" s="252"/>
      <c r="M1" s="253" t="s">
        <v>109</v>
      </c>
      <c r="N1" s="253"/>
      <c r="O1" s="252" t="s">
        <v>30</v>
      </c>
      <c r="P1" s="249" t="s">
        <v>108</v>
      </c>
      <c r="Q1" s="249"/>
      <c r="R1" s="250" t="s">
        <v>109</v>
      </c>
      <c r="S1" s="250"/>
      <c r="T1" s="249" t="s">
        <v>30</v>
      </c>
      <c r="U1" s="247" t="s">
        <v>108</v>
      </c>
      <c r="V1" s="247"/>
      <c r="W1" s="248" t="s">
        <v>109</v>
      </c>
      <c r="X1" s="248"/>
      <c r="Y1" s="247" t="s">
        <v>30</v>
      </c>
      <c r="Z1" s="241" t="s">
        <v>109</v>
      </c>
      <c r="AA1" s="241"/>
      <c r="AB1" s="242" t="s">
        <v>30</v>
      </c>
      <c r="AC1" s="243" t="s">
        <v>109</v>
      </c>
      <c r="AD1" s="243"/>
      <c r="AE1" s="244" t="s">
        <v>30</v>
      </c>
      <c r="AF1" s="239" t="s">
        <v>109</v>
      </c>
      <c r="AG1" s="239"/>
      <c r="AH1" s="240" t="s">
        <v>30</v>
      </c>
      <c r="AJ1" s="246" t="s">
        <v>71</v>
      </c>
      <c r="AK1" s="246"/>
      <c r="AL1" s="246"/>
      <c r="AM1" s="246"/>
      <c r="AN1" s="246"/>
      <c r="AO1" s="246"/>
      <c r="AP1" s="246"/>
      <c r="AQ1" s="246"/>
      <c r="AR1" s="246"/>
    </row>
    <row r="2" spans="1:44" x14ac:dyDescent="0.25">
      <c r="A2" s="177" t="s">
        <v>32</v>
      </c>
      <c r="B2" s="180" t="s">
        <v>118</v>
      </c>
      <c r="C2" s="178" t="s">
        <v>32</v>
      </c>
      <c r="D2" s="180" t="s">
        <v>118</v>
      </c>
      <c r="E2" s="245"/>
      <c r="F2" s="176" t="s">
        <v>32</v>
      </c>
      <c r="G2" s="174" t="s">
        <v>118</v>
      </c>
      <c r="H2" s="145" t="s">
        <v>32</v>
      </c>
      <c r="I2" s="181" t="s">
        <v>118</v>
      </c>
      <c r="J2" s="251"/>
      <c r="K2" s="146" t="s">
        <v>32</v>
      </c>
      <c r="L2" s="172" t="s">
        <v>118</v>
      </c>
      <c r="M2" s="146" t="s">
        <v>32</v>
      </c>
      <c r="N2" s="172" t="s">
        <v>118</v>
      </c>
      <c r="O2" s="252"/>
      <c r="P2" s="147" t="s">
        <v>32</v>
      </c>
      <c r="Q2" s="170" t="s">
        <v>118</v>
      </c>
      <c r="R2" s="147" t="s">
        <v>32</v>
      </c>
      <c r="S2" s="170" t="s">
        <v>118</v>
      </c>
      <c r="T2" s="249"/>
      <c r="U2" s="148" t="s">
        <v>32</v>
      </c>
      <c r="V2" s="183" t="s">
        <v>118</v>
      </c>
      <c r="W2" s="148" t="s">
        <v>32</v>
      </c>
      <c r="X2" s="183" t="s">
        <v>118</v>
      </c>
      <c r="Y2" s="247"/>
      <c r="Z2" s="159" t="s">
        <v>32</v>
      </c>
      <c r="AA2" s="185" t="s">
        <v>118</v>
      </c>
      <c r="AB2" s="242"/>
      <c r="AC2" s="161" t="s">
        <v>32</v>
      </c>
      <c r="AD2" s="187" t="s">
        <v>118</v>
      </c>
      <c r="AE2" s="244"/>
      <c r="AF2" s="167" t="s">
        <v>32</v>
      </c>
      <c r="AG2" s="189" t="s">
        <v>118</v>
      </c>
      <c r="AH2" s="240"/>
      <c r="AJ2" s="72" t="s">
        <v>19</v>
      </c>
      <c r="AK2" s="72" t="s">
        <v>18</v>
      </c>
      <c r="AL2" s="72" t="s">
        <v>17</v>
      </c>
      <c r="AM2" s="72" t="s">
        <v>16</v>
      </c>
      <c r="AN2" s="72" t="s">
        <v>15</v>
      </c>
      <c r="AO2" s="72" t="s">
        <v>96</v>
      </c>
      <c r="AP2" s="72" t="s">
        <v>1</v>
      </c>
      <c r="AQ2" s="72" t="s">
        <v>0</v>
      </c>
      <c r="AR2" s="72" t="s">
        <v>25</v>
      </c>
    </row>
    <row r="3" spans="1:44" x14ac:dyDescent="0.25">
      <c r="A3" s="74">
        <f>B3/E3</f>
        <v>0</v>
      </c>
      <c r="B3" s="7"/>
      <c r="C3" s="74">
        <f>D3/E3</f>
        <v>3.5363427697016068</v>
      </c>
      <c r="D3" s="175">
        <v>4622</v>
      </c>
      <c r="E3" s="90">
        <v>1307</v>
      </c>
      <c r="F3" s="9">
        <f t="shared" ref="F3:F17" si="0">G3/J3</f>
        <v>0</v>
      </c>
      <c r="H3" s="75">
        <f t="shared" ref="H3:H17" si="1">I3/J3</f>
        <v>3.5274390243902438</v>
      </c>
      <c r="I3" s="182">
        <v>1157</v>
      </c>
      <c r="J3" s="91">
        <v>328</v>
      </c>
      <c r="K3" s="76">
        <f t="shared" ref="K3:K8" si="2">L3/O3</f>
        <v>0</v>
      </c>
      <c r="M3" s="76">
        <f t="shared" ref="M3:M8" si="3">N3/O3</f>
        <v>3.5833333333333335</v>
      </c>
      <c r="N3" s="173">
        <v>172</v>
      </c>
      <c r="O3" s="92">
        <v>48</v>
      </c>
      <c r="P3" s="77">
        <f t="shared" ref="P3:P8" si="4">Q3/T3</f>
        <v>0</v>
      </c>
      <c r="R3" s="77">
        <f t="shared" ref="R3:R8" si="5">S3/T3</f>
        <v>3.5063291139240507</v>
      </c>
      <c r="S3" s="171">
        <v>554</v>
      </c>
      <c r="T3" s="93">
        <v>158</v>
      </c>
      <c r="U3" s="12">
        <f>V3/Y3</f>
        <v>0</v>
      </c>
      <c r="W3" s="78">
        <f>X3/Y3</f>
        <v>3.547945205479452</v>
      </c>
      <c r="X3" s="184">
        <v>518</v>
      </c>
      <c r="Y3" s="65">
        <v>146</v>
      </c>
      <c r="AJ3" s="72">
        <v>1</v>
      </c>
      <c r="AK3" s="72">
        <v>2380</v>
      </c>
      <c r="AL3" s="72">
        <v>715</v>
      </c>
      <c r="AM3" s="72">
        <v>650</v>
      </c>
      <c r="AN3" s="72">
        <v>1430</v>
      </c>
      <c r="AO3" s="72">
        <v>200</v>
      </c>
      <c r="AP3" s="72">
        <v>3</v>
      </c>
      <c r="AQ3" s="72">
        <v>3</v>
      </c>
      <c r="AR3" s="79">
        <v>25.6875</v>
      </c>
    </row>
    <row r="4" spans="1:44" x14ac:dyDescent="0.25">
      <c r="A4" s="74">
        <f>B4/E4</f>
        <v>0</v>
      </c>
      <c r="B4" s="7"/>
      <c r="C4" s="74">
        <f>D4/E4</f>
        <v>3.4642857142857144</v>
      </c>
      <c r="D4" s="175">
        <v>97</v>
      </c>
      <c r="E4" s="90">
        <v>28</v>
      </c>
      <c r="F4" s="9">
        <f t="shared" si="0"/>
        <v>0</v>
      </c>
      <c r="H4" s="75">
        <f t="shared" si="1"/>
        <v>3.625</v>
      </c>
      <c r="I4" s="182">
        <v>58</v>
      </c>
      <c r="J4" s="91">
        <v>16</v>
      </c>
      <c r="K4" s="76">
        <f t="shared" si="2"/>
        <v>0</v>
      </c>
      <c r="M4" s="76">
        <f t="shared" si="3"/>
        <v>3.4444444444444446</v>
      </c>
      <c r="N4" s="173">
        <v>93</v>
      </c>
      <c r="O4" s="92">
        <v>27</v>
      </c>
      <c r="P4" s="77">
        <f t="shared" si="4"/>
        <v>0</v>
      </c>
      <c r="R4" s="77">
        <f t="shared" si="5"/>
        <v>3.4966442953020134</v>
      </c>
      <c r="S4" s="171">
        <v>521</v>
      </c>
      <c r="T4" s="93">
        <v>149</v>
      </c>
      <c r="U4" s="12">
        <f>V4/Y4</f>
        <v>0</v>
      </c>
      <c r="W4" s="78">
        <f>X4/Y4</f>
        <v>3.3333333333333335</v>
      </c>
      <c r="X4" s="184">
        <v>10</v>
      </c>
      <c r="Y4" s="65">
        <v>3</v>
      </c>
      <c r="AJ4" s="72">
        <v>2</v>
      </c>
      <c r="AK4" s="72">
        <v>2370</v>
      </c>
      <c r="AL4" s="72">
        <v>715</v>
      </c>
      <c r="AM4" s="72">
        <v>650</v>
      </c>
      <c r="AN4" s="72">
        <v>1430</v>
      </c>
      <c r="AO4" s="72">
        <v>200</v>
      </c>
      <c r="AP4" s="72">
        <v>3.5</v>
      </c>
      <c r="AQ4" s="72">
        <v>3</v>
      </c>
      <c r="AR4" s="79">
        <v>25.666666666666668</v>
      </c>
    </row>
    <row r="5" spans="1:44" x14ac:dyDescent="0.25">
      <c r="A5" s="74">
        <f>B5/E5</f>
        <v>0</v>
      </c>
      <c r="B5" s="7"/>
      <c r="C5" s="74">
        <f>D5/E5</f>
        <v>3.5</v>
      </c>
      <c r="D5" s="175">
        <v>7</v>
      </c>
      <c r="E5" s="90">
        <v>2</v>
      </c>
      <c r="F5" s="9">
        <f t="shared" si="0"/>
        <v>0</v>
      </c>
      <c r="H5" s="75">
        <f t="shared" si="1"/>
        <v>3.48</v>
      </c>
      <c r="I5" s="182">
        <v>87</v>
      </c>
      <c r="J5" s="91">
        <v>25</v>
      </c>
      <c r="K5" s="76">
        <f t="shared" si="2"/>
        <v>0</v>
      </c>
      <c r="M5" s="76">
        <f t="shared" si="3"/>
        <v>3.3571428571428572</v>
      </c>
      <c r="N5" s="173">
        <v>94</v>
      </c>
      <c r="O5" s="92">
        <v>28</v>
      </c>
      <c r="P5" s="77">
        <f t="shared" si="4"/>
        <v>0</v>
      </c>
      <c r="R5" s="77">
        <f t="shared" si="5"/>
        <v>3.5</v>
      </c>
      <c r="S5" s="171">
        <v>63</v>
      </c>
      <c r="T5" s="93">
        <v>18</v>
      </c>
      <c r="U5" s="12">
        <f>V5/Y5</f>
        <v>0</v>
      </c>
      <c r="W5" s="78">
        <f>X5/Y5</f>
        <v>3.4727272727272727</v>
      </c>
      <c r="X5" s="184">
        <v>191</v>
      </c>
      <c r="Y5" s="65">
        <v>55</v>
      </c>
      <c r="AJ5" s="72">
        <v>3</v>
      </c>
      <c r="AK5" s="72">
        <v>2360</v>
      </c>
      <c r="AL5" s="72">
        <v>715</v>
      </c>
      <c r="AM5" s="72">
        <v>650</v>
      </c>
      <c r="AN5" s="72">
        <v>1430</v>
      </c>
      <c r="AO5" s="72">
        <v>200</v>
      </c>
      <c r="AP5" s="72">
        <v>3.5</v>
      </c>
      <c r="AQ5" s="72">
        <v>3.5</v>
      </c>
      <c r="AR5" s="79">
        <v>25.625</v>
      </c>
    </row>
    <row r="6" spans="1:44" x14ac:dyDescent="0.25">
      <c r="B6" s="7"/>
      <c r="C6" s="74" t="s">
        <v>110</v>
      </c>
      <c r="F6" s="9">
        <f t="shared" si="0"/>
        <v>0</v>
      </c>
      <c r="H6" s="75">
        <f t="shared" si="1"/>
        <v>3</v>
      </c>
      <c r="I6" s="182">
        <v>12</v>
      </c>
      <c r="J6" s="91">
        <v>4</v>
      </c>
      <c r="K6" s="76">
        <f t="shared" si="2"/>
        <v>0</v>
      </c>
      <c r="M6" s="76">
        <f t="shared" si="3"/>
        <v>3.3157894736842106</v>
      </c>
      <c r="N6" s="173">
        <v>63</v>
      </c>
      <c r="O6" s="92">
        <v>19</v>
      </c>
      <c r="P6" s="77">
        <f t="shared" si="4"/>
        <v>0</v>
      </c>
      <c r="R6" s="77">
        <f t="shared" si="5"/>
        <v>3.5142857142857142</v>
      </c>
      <c r="S6" s="171">
        <v>123</v>
      </c>
      <c r="T6" s="93">
        <v>35</v>
      </c>
      <c r="U6" s="12">
        <f>V6/Y6</f>
        <v>0</v>
      </c>
      <c r="V6" s="3"/>
      <c r="W6" s="78">
        <f>X6/Y6</f>
        <v>3.6</v>
      </c>
      <c r="X6" s="184">
        <v>90</v>
      </c>
      <c r="Y6" s="65">
        <v>25</v>
      </c>
      <c r="AJ6" s="72">
        <v>4</v>
      </c>
      <c r="AK6" s="72">
        <v>2350</v>
      </c>
      <c r="AL6" s="72">
        <v>715</v>
      </c>
      <c r="AM6" s="72">
        <v>650</v>
      </c>
      <c r="AN6" s="72">
        <v>1430</v>
      </c>
      <c r="AO6" s="72">
        <v>200</v>
      </c>
      <c r="AP6" s="72">
        <v>4</v>
      </c>
      <c r="AQ6" s="72">
        <v>3.5</v>
      </c>
      <c r="AR6" s="79">
        <v>25.541666666666668</v>
      </c>
    </row>
    <row r="7" spans="1:44" x14ac:dyDescent="0.25">
      <c r="B7" s="7"/>
      <c r="C7" s="74" t="s">
        <v>110</v>
      </c>
      <c r="F7" s="9">
        <f t="shared" si="0"/>
        <v>0</v>
      </c>
      <c r="H7" s="75">
        <f t="shared" si="1"/>
        <v>3.5118110236220472</v>
      </c>
      <c r="I7" s="182">
        <v>446</v>
      </c>
      <c r="J7" s="91">
        <v>127</v>
      </c>
      <c r="K7" s="76">
        <f t="shared" si="2"/>
        <v>0</v>
      </c>
      <c r="M7" s="76">
        <f t="shared" si="3"/>
        <v>3.6842105263157894</v>
      </c>
      <c r="N7" s="173">
        <v>70</v>
      </c>
      <c r="O7" s="92">
        <v>19</v>
      </c>
      <c r="P7" s="77">
        <f t="shared" si="4"/>
        <v>0</v>
      </c>
      <c r="R7" s="77">
        <f t="shared" si="5"/>
        <v>3.8181818181818183</v>
      </c>
      <c r="S7" s="171">
        <v>42</v>
      </c>
      <c r="T7" s="93">
        <v>11</v>
      </c>
      <c r="U7" s="12">
        <f>V7/Y7</f>
        <v>0</v>
      </c>
      <c r="W7" s="78">
        <f>X7/Y7</f>
        <v>3.5925925925925926</v>
      </c>
      <c r="X7" s="184">
        <v>194</v>
      </c>
      <c r="Y7" s="94">
        <v>54</v>
      </c>
      <c r="AJ7" s="72">
        <v>5</v>
      </c>
      <c r="AK7" s="72">
        <v>2340</v>
      </c>
      <c r="AL7" s="72">
        <v>715</v>
      </c>
      <c r="AM7" s="72">
        <v>650</v>
      </c>
      <c r="AN7" s="72">
        <v>1430</v>
      </c>
      <c r="AO7" s="72">
        <v>200</v>
      </c>
      <c r="AP7" s="72">
        <v>4</v>
      </c>
      <c r="AQ7" s="72">
        <v>4</v>
      </c>
      <c r="AR7" s="79">
        <v>25.416666666666668</v>
      </c>
    </row>
    <row r="8" spans="1:44" x14ac:dyDescent="0.25">
      <c r="B8" s="7"/>
      <c r="C8" s="74" t="s">
        <v>110</v>
      </c>
      <c r="F8" s="9">
        <f t="shared" si="0"/>
        <v>0</v>
      </c>
      <c r="H8" s="75">
        <f t="shared" si="1"/>
        <v>3.4133333333333336</v>
      </c>
      <c r="I8" s="182">
        <v>256</v>
      </c>
      <c r="J8" s="91">
        <v>75</v>
      </c>
      <c r="K8" s="76">
        <f t="shared" si="2"/>
        <v>0</v>
      </c>
      <c r="M8" s="76">
        <f t="shared" si="3"/>
        <v>4</v>
      </c>
      <c r="N8" s="173">
        <v>4</v>
      </c>
      <c r="O8" s="92">
        <v>1</v>
      </c>
      <c r="P8" s="77">
        <f t="shared" si="4"/>
        <v>0</v>
      </c>
      <c r="R8" s="77">
        <f t="shared" si="5"/>
        <v>3.6666666666666665</v>
      </c>
      <c r="S8" s="171">
        <v>22</v>
      </c>
      <c r="T8" s="93">
        <v>6</v>
      </c>
      <c r="W8" s="78" t="s">
        <v>110</v>
      </c>
      <c r="AC8" s="162" t="s">
        <v>110</v>
      </c>
      <c r="AF8" s="168" t="s">
        <v>110</v>
      </c>
      <c r="AJ8" s="72">
        <v>6</v>
      </c>
      <c r="AK8" s="72">
        <v>2320</v>
      </c>
      <c r="AL8" s="72">
        <v>715</v>
      </c>
      <c r="AM8" s="72">
        <v>650</v>
      </c>
      <c r="AN8" s="72">
        <v>1430</v>
      </c>
      <c r="AO8" s="72">
        <v>200</v>
      </c>
      <c r="AP8" s="72">
        <v>4.5</v>
      </c>
      <c r="AQ8" s="72">
        <v>4</v>
      </c>
      <c r="AR8" s="79">
        <v>25.25</v>
      </c>
    </row>
    <row r="9" spans="1:44" x14ac:dyDescent="0.25">
      <c r="B9" s="7"/>
      <c r="C9" s="74" t="s">
        <v>110</v>
      </c>
      <c r="F9" s="9">
        <f t="shared" si="0"/>
        <v>0</v>
      </c>
      <c r="H9" s="75">
        <f t="shared" si="1"/>
        <v>3.5</v>
      </c>
      <c r="I9" s="182">
        <v>140</v>
      </c>
      <c r="J9" s="91">
        <v>40</v>
      </c>
      <c r="M9" s="76" t="s">
        <v>110</v>
      </c>
      <c r="R9" s="77" t="s">
        <v>110</v>
      </c>
      <c r="W9" s="78" t="s">
        <v>110</v>
      </c>
      <c r="AC9" s="162" t="s">
        <v>110</v>
      </c>
      <c r="AF9" s="168" t="s">
        <v>110</v>
      </c>
      <c r="AJ9" s="72">
        <v>7</v>
      </c>
      <c r="AK9" s="72">
        <v>2300</v>
      </c>
      <c r="AL9" s="72">
        <v>715</v>
      </c>
      <c r="AM9" s="72">
        <v>650</v>
      </c>
      <c r="AN9" s="72">
        <v>1430</v>
      </c>
      <c r="AO9" s="72">
        <v>200</v>
      </c>
      <c r="AP9" s="72">
        <v>4.5</v>
      </c>
      <c r="AQ9" s="72">
        <v>4.5</v>
      </c>
      <c r="AR9" s="79">
        <v>25.041666666666668</v>
      </c>
    </row>
    <row r="10" spans="1:44" x14ac:dyDescent="0.25">
      <c r="B10" s="7"/>
      <c r="C10" s="74" t="s">
        <v>110</v>
      </c>
      <c r="F10" s="9">
        <f t="shared" si="0"/>
        <v>0</v>
      </c>
      <c r="H10" s="75">
        <f t="shared" si="1"/>
        <v>3.4545454545454546</v>
      </c>
      <c r="I10" s="182">
        <v>608</v>
      </c>
      <c r="J10" s="91">
        <v>176</v>
      </c>
      <c r="M10" s="76" t="s">
        <v>110</v>
      </c>
      <c r="R10" s="77" t="s">
        <v>110</v>
      </c>
      <c r="W10" s="78" t="s">
        <v>110</v>
      </c>
      <c r="AC10" s="162" t="s">
        <v>110</v>
      </c>
      <c r="AF10" s="168" t="s">
        <v>110</v>
      </c>
      <c r="AJ10" s="72">
        <v>8</v>
      </c>
      <c r="AK10" s="72">
        <v>2280</v>
      </c>
      <c r="AL10" s="72">
        <v>715</v>
      </c>
      <c r="AM10" s="72">
        <v>650</v>
      </c>
      <c r="AN10" s="72">
        <v>1430</v>
      </c>
      <c r="AO10" s="72">
        <v>200</v>
      </c>
      <c r="AP10" s="72">
        <v>5</v>
      </c>
      <c r="AQ10" s="72">
        <v>4.5</v>
      </c>
      <c r="AR10" s="79">
        <v>24.791666666666668</v>
      </c>
    </row>
    <row r="11" spans="1:44" x14ac:dyDescent="0.25">
      <c r="B11" s="7"/>
      <c r="C11" s="74" t="s">
        <v>110</v>
      </c>
      <c r="F11" s="9">
        <f t="shared" si="0"/>
        <v>0</v>
      </c>
      <c r="H11" s="75">
        <f t="shared" si="1"/>
        <v>3.1111111111111112</v>
      </c>
      <c r="I11" s="182">
        <v>28</v>
      </c>
      <c r="J11" s="91">
        <v>9</v>
      </c>
      <c r="M11" s="76" t="s">
        <v>110</v>
      </c>
      <c r="R11" s="77" t="s">
        <v>110</v>
      </c>
      <c r="W11" s="78" t="s">
        <v>110</v>
      </c>
      <c r="AC11" s="162" t="s">
        <v>110</v>
      </c>
      <c r="AF11" s="168" t="s">
        <v>110</v>
      </c>
      <c r="AJ11" s="72">
        <v>9</v>
      </c>
      <c r="AK11" s="72">
        <v>2260</v>
      </c>
      <c r="AL11" s="72">
        <v>715</v>
      </c>
      <c r="AM11" s="72">
        <v>650</v>
      </c>
      <c r="AN11" s="72">
        <v>1430</v>
      </c>
      <c r="AO11" s="72">
        <v>200</v>
      </c>
      <c r="AP11" s="72">
        <v>5</v>
      </c>
      <c r="AQ11" s="72">
        <v>5</v>
      </c>
      <c r="AR11" s="79">
        <v>24.5</v>
      </c>
    </row>
    <row r="12" spans="1:44" x14ac:dyDescent="0.25">
      <c r="B12" s="7"/>
      <c r="C12" s="74" t="s">
        <v>110</v>
      </c>
      <c r="F12" s="9">
        <f t="shared" si="0"/>
        <v>0</v>
      </c>
      <c r="H12" s="75">
        <f t="shared" si="1"/>
        <v>3.3333333333333335</v>
      </c>
      <c r="I12" s="182">
        <v>60</v>
      </c>
      <c r="J12" s="91">
        <v>18</v>
      </c>
      <c r="M12" s="76" t="s">
        <v>110</v>
      </c>
      <c r="R12" s="77" t="s">
        <v>110</v>
      </c>
      <c r="W12" s="78" t="s">
        <v>110</v>
      </c>
      <c r="AC12" s="162" t="s">
        <v>110</v>
      </c>
      <c r="AF12" s="168" t="s">
        <v>110</v>
      </c>
      <c r="AJ12" s="72">
        <v>10</v>
      </c>
      <c r="AK12" s="72">
        <v>2240</v>
      </c>
      <c r="AL12" s="72">
        <v>715</v>
      </c>
      <c r="AM12" s="72">
        <v>650</v>
      </c>
      <c r="AN12" s="72">
        <v>1430</v>
      </c>
      <c r="AO12" s="72">
        <v>200</v>
      </c>
      <c r="AP12" s="72">
        <v>5.5</v>
      </c>
      <c r="AQ12" s="72">
        <v>5</v>
      </c>
      <c r="AR12" s="79">
        <v>24.166666666666668</v>
      </c>
    </row>
    <row r="13" spans="1:44" x14ac:dyDescent="0.25">
      <c r="B13" s="7"/>
      <c r="C13" s="74" t="s">
        <v>110</v>
      </c>
      <c r="F13" s="9">
        <f t="shared" si="0"/>
        <v>0</v>
      </c>
      <c r="H13" s="75">
        <f t="shared" si="1"/>
        <v>3.25</v>
      </c>
      <c r="I13" s="182">
        <v>13</v>
      </c>
      <c r="J13" s="91">
        <v>4</v>
      </c>
      <c r="M13" s="76" t="s">
        <v>110</v>
      </c>
      <c r="R13" s="77" t="s">
        <v>110</v>
      </c>
      <c r="W13" s="78" t="s">
        <v>110</v>
      </c>
      <c r="AC13" s="162" t="s">
        <v>110</v>
      </c>
      <c r="AF13" s="168" t="s">
        <v>110</v>
      </c>
      <c r="AJ13" s="72">
        <v>11</v>
      </c>
      <c r="AK13" s="72">
        <v>2210</v>
      </c>
      <c r="AL13" s="72">
        <v>710</v>
      </c>
      <c r="AM13" s="72">
        <v>650</v>
      </c>
      <c r="AN13" s="72">
        <v>1420</v>
      </c>
      <c r="AO13" s="72">
        <v>200</v>
      </c>
      <c r="AP13" s="72">
        <v>5.5</v>
      </c>
      <c r="AQ13" s="72">
        <v>5.5</v>
      </c>
      <c r="AR13" s="79">
        <v>23.75</v>
      </c>
    </row>
    <row r="14" spans="1:44" x14ac:dyDescent="0.25">
      <c r="B14" s="7"/>
      <c r="C14" s="74" t="s">
        <v>110</v>
      </c>
      <c r="F14" s="9">
        <f t="shared" si="0"/>
        <v>0</v>
      </c>
      <c r="H14" s="75">
        <f t="shared" si="1"/>
        <v>3.6</v>
      </c>
      <c r="I14" s="182">
        <v>18</v>
      </c>
      <c r="J14" s="91">
        <v>5</v>
      </c>
      <c r="M14" s="76" t="s">
        <v>110</v>
      </c>
      <c r="R14" s="77" t="s">
        <v>110</v>
      </c>
      <c r="W14" s="78" t="s">
        <v>110</v>
      </c>
      <c r="AC14" s="162" t="s">
        <v>110</v>
      </c>
      <c r="AF14" s="168" t="s">
        <v>110</v>
      </c>
      <c r="AJ14" s="72">
        <v>12</v>
      </c>
      <c r="AK14" s="72">
        <v>2180</v>
      </c>
      <c r="AL14" s="72">
        <v>705</v>
      </c>
      <c r="AM14" s="72">
        <v>650</v>
      </c>
      <c r="AN14" s="72">
        <v>1410</v>
      </c>
      <c r="AO14" s="72">
        <v>200</v>
      </c>
      <c r="AP14" s="72">
        <v>6</v>
      </c>
      <c r="AQ14" s="72">
        <v>5.5</v>
      </c>
      <c r="AR14" s="79">
        <v>23.25</v>
      </c>
    </row>
    <row r="15" spans="1:44" x14ac:dyDescent="0.25">
      <c r="B15" s="7"/>
      <c r="C15" s="74" t="s">
        <v>110</v>
      </c>
      <c r="F15" s="9">
        <f t="shared" si="0"/>
        <v>0</v>
      </c>
      <c r="H15" s="75">
        <f t="shared" si="1"/>
        <v>3.3529411764705883</v>
      </c>
      <c r="I15" s="182">
        <v>57</v>
      </c>
      <c r="J15" s="91">
        <v>17</v>
      </c>
      <c r="M15" s="76" t="s">
        <v>110</v>
      </c>
      <c r="R15" s="77" t="s">
        <v>110</v>
      </c>
      <c r="W15" s="78" t="s">
        <v>110</v>
      </c>
      <c r="AC15" s="162" t="s">
        <v>110</v>
      </c>
      <c r="AF15" s="168" t="s">
        <v>110</v>
      </c>
      <c r="AJ15" s="72">
        <v>13</v>
      </c>
      <c r="AK15" s="72">
        <v>2150</v>
      </c>
      <c r="AL15" s="72">
        <v>700</v>
      </c>
      <c r="AM15" s="72">
        <v>650</v>
      </c>
      <c r="AN15" s="72">
        <v>1400</v>
      </c>
      <c r="AO15" s="72">
        <v>200</v>
      </c>
      <c r="AP15" s="72">
        <v>6</v>
      </c>
      <c r="AQ15" s="72">
        <v>6</v>
      </c>
      <c r="AR15" s="79">
        <v>22.666666666666668</v>
      </c>
    </row>
    <row r="16" spans="1:44" x14ac:dyDescent="0.25">
      <c r="B16" s="7"/>
      <c r="C16" s="74" t="s">
        <v>110</v>
      </c>
      <c r="F16" s="9">
        <f t="shared" si="0"/>
        <v>0</v>
      </c>
      <c r="H16" s="75">
        <f t="shared" si="1"/>
        <v>3</v>
      </c>
      <c r="I16" s="182">
        <v>15</v>
      </c>
      <c r="J16" s="91">
        <v>5</v>
      </c>
      <c r="M16" s="76" t="s">
        <v>110</v>
      </c>
      <c r="R16" s="77" t="s">
        <v>110</v>
      </c>
      <c r="W16" s="78" t="s">
        <v>110</v>
      </c>
      <c r="AC16" s="162" t="s">
        <v>110</v>
      </c>
      <c r="AF16" s="168" t="s">
        <v>110</v>
      </c>
      <c r="AJ16" s="72">
        <v>15</v>
      </c>
      <c r="AK16" s="72">
        <v>2120</v>
      </c>
      <c r="AL16" s="72">
        <v>690</v>
      </c>
      <c r="AM16" s="72">
        <v>650</v>
      </c>
      <c r="AN16" s="72">
        <v>1380</v>
      </c>
      <c r="AO16" s="72">
        <v>200</v>
      </c>
      <c r="AP16" s="72">
        <v>6.5</v>
      </c>
      <c r="AQ16" s="72">
        <v>6</v>
      </c>
      <c r="AR16" s="79">
        <v>22</v>
      </c>
    </row>
    <row r="17" spans="2:44" x14ac:dyDescent="0.25">
      <c r="B17" s="7"/>
      <c r="C17" s="74" t="s">
        <v>110</v>
      </c>
      <c r="F17" s="9">
        <f t="shared" si="0"/>
        <v>0</v>
      </c>
      <c r="H17" s="75">
        <f t="shared" si="1"/>
        <v>3.40625</v>
      </c>
      <c r="I17" s="182">
        <v>109</v>
      </c>
      <c r="J17" s="91">
        <v>32</v>
      </c>
      <c r="M17" s="76" t="s">
        <v>110</v>
      </c>
      <c r="R17" s="77" t="s">
        <v>110</v>
      </c>
      <c r="W17" s="78" t="s">
        <v>110</v>
      </c>
      <c r="AC17" s="162" t="s">
        <v>110</v>
      </c>
      <c r="AF17" s="168" t="s">
        <v>110</v>
      </c>
      <c r="AJ17" s="72">
        <v>15</v>
      </c>
      <c r="AK17" s="72">
        <v>2120</v>
      </c>
      <c r="AL17" s="72">
        <v>690</v>
      </c>
      <c r="AM17" s="72">
        <v>650</v>
      </c>
      <c r="AN17" s="72">
        <v>1380</v>
      </c>
      <c r="AO17" s="72">
        <v>200</v>
      </c>
      <c r="AP17" s="72">
        <v>6.5</v>
      </c>
      <c r="AQ17" s="72">
        <v>6</v>
      </c>
      <c r="AR17" s="79">
        <v>21.25</v>
      </c>
    </row>
    <row r="18" spans="2:44" x14ac:dyDescent="0.25">
      <c r="B18" s="7"/>
      <c r="C18" s="74" t="s">
        <v>110</v>
      </c>
      <c r="H18" s="75" t="s">
        <v>110</v>
      </c>
      <c r="M18" s="76" t="s">
        <v>110</v>
      </c>
      <c r="R18" s="77" t="s">
        <v>110</v>
      </c>
      <c r="W18" s="78" t="s">
        <v>110</v>
      </c>
      <c r="AC18" s="162" t="s">
        <v>110</v>
      </c>
      <c r="AF18" s="168" t="s">
        <v>110</v>
      </c>
      <c r="AJ18" s="72">
        <v>16</v>
      </c>
      <c r="AK18" s="72">
        <v>2040</v>
      </c>
      <c r="AL18" s="72">
        <v>660</v>
      </c>
      <c r="AM18" s="72">
        <v>650</v>
      </c>
      <c r="AN18" s="72">
        <v>1320</v>
      </c>
      <c r="AO18" s="72">
        <v>200</v>
      </c>
      <c r="AP18" s="72">
        <v>8</v>
      </c>
      <c r="AQ18" s="72">
        <v>8</v>
      </c>
      <c r="AR18" s="79">
        <v>20.416666666666668</v>
      </c>
    </row>
    <row r="19" spans="2:44" x14ac:dyDescent="0.25">
      <c r="B19" s="7"/>
      <c r="C19" s="74" t="s">
        <v>110</v>
      </c>
      <c r="H19" s="75" t="s">
        <v>110</v>
      </c>
      <c r="M19" s="76" t="s">
        <v>110</v>
      </c>
      <c r="R19" s="77" t="s">
        <v>110</v>
      </c>
      <c r="W19" s="78" t="s">
        <v>110</v>
      </c>
      <c r="AC19" s="162" t="s">
        <v>110</v>
      </c>
      <c r="AF19" s="168" t="s">
        <v>110</v>
      </c>
      <c r="AJ19" s="72">
        <v>17</v>
      </c>
      <c r="AK19" s="72">
        <v>1990</v>
      </c>
      <c r="AL19" s="72">
        <v>640</v>
      </c>
      <c r="AM19" s="72">
        <v>650</v>
      </c>
      <c r="AN19" s="72">
        <v>1280</v>
      </c>
      <c r="AO19" s="72">
        <v>200</v>
      </c>
      <c r="AP19" s="72">
        <v>8</v>
      </c>
      <c r="AQ19" s="72">
        <v>8.5</v>
      </c>
      <c r="AR19" s="79">
        <v>19.5</v>
      </c>
    </row>
    <row r="20" spans="2:44" x14ac:dyDescent="0.25">
      <c r="B20" s="7"/>
      <c r="C20" s="74" t="s">
        <v>110</v>
      </c>
      <c r="H20" s="75" t="s">
        <v>110</v>
      </c>
      <c r="M20" s="76" t="s">
        <v>110</v>
      </c>
      <c r="R20" s="77" t="s">
        <v>110</v>
      </c>
      <c r="W20" s="78" t="s">
        <v>110</v>
      </c>
      <c r="AC20" s="162" t="s">
        <v>110</v>
      </c>
      <c r="AF20" s="168" t="s">
        <v>110</v>
      </c>
      <c r="AJ20" s="72">
        <v>18</v>
      </c>
      <c r="AK20" s="72">
        <v>1940</v>
      </c>
      <c r="AL20" s="72">
        <v>620</v>
      </c>
      <c r="AM20" s="72">
        <v>650</v>
      </c>
      <c r="AN20" s="72">
        <v>1240</v>
      </c>
      <c r="AO20" s="72">
        <v>200</v>
      </c>
      <c r="AP20" s="72">
        <v>8.5</v>
      </c>
      <c r="AQ20" s="72">
        <v>8.5</v>
      </c>
      <c r="AR20" s="79">
        <v>18.5</v>
      </c>
    </row>
    <row r="21" spans="2:44" x14ac:dyDescent="0.25">
      <c r="B21" s="7"/>
      <c r="C21" s="74" t="s">
        <v>110</v>
      </c>
      <c r="H21" s="75" t="s">
        <v>110</v>
      </c>
      <c r="M21" s="76" t="s">
        <v>110</v>
      </c>
      <c r="R21" s="77" t="s">
        <v>110</v>
      </c>
      <c r="W21" s="78" t="s">
        <v>110</v>
      </c>
      <c r="AC21" s="162" t="s">
        <v>110</v>
      </c>
      <c r="AF21" s="168" t="s">
        <v>110</v>
      </c>
      <c r="AJ21" s="72">
        <v>19</v>
      </c>
      <c r="AK21" s="72">
        <v>1870</v>
      </c>
      <c r="AL21" s="72">
        <v>590</v>
      </c>
      <c r="AM21" s="72">
        <v>650</v>
      </c>
      <c r="AN21" s="72">
        <v>1180</v>
      </c>
      <c r="AO21" s="72">
        <v>200</v>
      </c>
      <c r="AP21" s="72">
        <v>8.5</v>
      </c>
      <c r="AQ21" s="72">
        <v>9</v>
      </c>
      <c r="AR21" s="79">
        <v>17.416666666666668</v>
      </c>
    </row>
    <row r="22" spans="2:44" x14ac:dyDescent="0.25">
      <c r="B22" s="7"/>
      <c r="C22" s="74" t="s">
        <v>110</v>
      </c>
      <c r="H22" s="75" t="s">
        <v>110</v>
      </c>
      <c r="M22" s="76" t="s">
        <v>110</v>
      </c>
      <c r="R22" s="77" t="s">
        <v>110</v>
      </c>
      <c r="W22" s="78" t="s">
        <v>110</v>
      </c>
      <c r="AC22" s="162" t="s">
        <v>110</v>
      </c>
      <c r="AF22" s="168" t="s">
        <v>110</v>
      </c>
      <c r="AJ22" s="72">
        <v>20</v>
      </c>
      <c r="AK22" s="72">
        <v>1800</v>
      </c>
      <c r="AL22" s="72">
        <v>560</v>
      </c>
      <c r="AM22" s="72">
        <v>650</v>
      </c>
      <c r="AN22" s="72">
        <v>1120</v>
      </c>
      <c r="AO22" s="72">
        <v>200</v>
      </c>
      <c r="AP22" s="72">
        <v>9</v>
      </c>
      <c r="AQ22" s="72">
        <v>9</v>
      </c>
      <c r="AR22" s="79">
        <v>16.25</v>
      </c>
    </row>
    <row r="23" spans="2:44" x14ac:dyDescent="0.25">
      <c r="B23" s="7"/>
      <c r="C23" s="74" t="s">
        <v>110</v>
      </c>
      <c r="H23" s="75" t="s">
        <v>110</v>
      </c>
      <c r="M23" s="76" t="s">
        <v>110</v>
      </c>
      <c r="R23" s="77" t="s">
        <v>110</v>
      </c>
      <c r="W23" s="78" t="s">
        <v>110</v>
      </c>
      <c r="AC23" s="162" t="s">
        <v>110</v>
      </c>
      <c r="AF23" s="168" t="s">
        <v>110</v>
      </c>
      <c r="AJ23" s="72">
        <v>21</v>
      </c>
      <c r="AK23" s="72">
        <v>1700</v>
      </c>
      <c r="AL23" s="72">
        <v>520</v>
      </c>
      <c r="AM23" s="72">
        <v>630</v>
      </c>
      <c r="AN23" s="72">
        <v>1040</v>
      </c>
      <c r="AO23" s="72">
        <v>200</v>
      </c>
      <c r="AP23" s="72">
        <v>9</v>
      </c>
      <c r="AQ23" s="72">
        <v>9.5</v>
      </c>
      <c r="AR23" s="79">
        <v>15</v>
      </c>
    </row>
    <row r="24" spans="2:44" x14ac:dyDescent="0.25">
      <c r="B24" s="7"/>
      <c r="C24" s="74" t="s">
        <v>110</v>
      </c>
      <c r="H24" s="75" t="s">
        <v>110</v>
      </c>
      <c r="M24" s="76" t="s">
        <v>110</v>
      </c>
      <c r="R24" s="77" t="s">
        <v>110</v>
      </c>
      <c r="W24" s="78" t="s">
        <v>110</v>
      </c>
      <c r="AC24" s="162" t="s">
        <v>110</v>
      </c>
      <c r="AF24" s="168" t="s">
        <v>110</v>
      </c>
      <c r="AJ24" s="72">
        <v>22</v>
      </c>
      <c r="AK24" s="72">
        <v>1600</v>
      </c>
      <c r="AL24" s="72">
        <v>480</v>
      </c>
      <c r="AM24" s="72">
        <v>600</v>
      </c>
      <c r="AN24" s="72">
        <v>960</v>
      </c>
      <c r="AO24" s="72">
        <v>200</v>
      </c>
      <c r="AP24" s="72">
        <v>9.5</v>
      </c>
      <c r="AQ24" s="72">
        <v>9.5</v>
      </c>
      <c r="AR24" s="79">
        <v>13.666666666666666</v>
      </c>
    </row>
    <row r="25" spans="2:44" x14ac:dyDescent="0.25">
      <c r="B25" s="7"/>
      <c r="C25" s="74" t="s">
        <v>110</v>
      </c>
      <c r="H25" s="75" t="s">
        <v>110</v>
      </c>
      <c r="M25" s="76" t="s">
        <v>110</v>
      </c>
      <c r="R25" s="77" t="s">
        <v>110</v>
      </c>
      <c r="W25" s="78" t="s">
        <v>110</v>
      </c>
      <c r="AC25" s="162" t="s">
        <v>110</v>
      </c>
      <c r="AF25" s="168" t="s">
        <v>110</v>
      </c>
      <c r="AJ25" s="72">
        <v>23</v>
      </c>
      <c r="AK25" s="72">
        <v>1500</v>
      </c>
      <c r="AL25" s="72">
        <v>440</v>
      </c>
      <c r="AM25" s="72">
        <v>560</v>
      </c>
      <c r="AN25" s="72">
        <v>880</v>
      </c>
      <c r="AO25" s="72">
        <v>200</v>
      </c>
      <c r="AP25" s="72">
        <v>9.5</v>
      </c>
      <c r="AQ25" s="72">
        <v>10</v>
      </c>
      <c r="AR25" s="79">
        <v>12.25</v>
      </c>
    </row>
    <row r="26" spans="2:44" x14ac:dyDescent="0.25">
      <c r="B26" s="7"/>
      <c r="C26" s="74" t="s">
        <v>110</v>
      </c>
      <c r="H26" s="75" t="s">
        <v>110</v>
      </c>
      <c r="M26" s="76" t="s">
        <v>110</v>
      </c>
      <c r="R26" s="77" t="s">
        <v>110</v>
      </c>
      <c r="W26" s="78" t="s">
        <v>110</v>
      </c>
      <c r="AC26" s="162" t="s">
        <v>110</v>
      </c>
      <c r="AF26" s="168" t="s">
        <v>110</v>
      </c>
      <c r="AJ26" s="72">
        <v>24</v>
      </c>
      <c r="AK26" s="72">
        <v>1350</v>
      </c>
      <c r="AL26" s="72">
        <v>390</v>
      </c>
      <c r="AM26" s="72">
        <v>510</v>
      </c>
      <c r="AN26" s="72">
        <v>780</v>
      </c>
      <c r="AO26" s="72">
        <v>200</v>
      </c>
      <c r="AP26" s="72">
        <v>10</v>
      </c>
      <c r="AQ26" s="72">
        <v>10</v>
      </c>
      <c r="AR26" s="79">
        <v>10.75</v>
      </c>
    </row>
    <row r="27" spans="2:44" x14ac:dyDescent="0.25">
      <c r="B27" s="7"/>
      <c r="AJ27" s="72">
        <v>25</v>
      </c>
      <c r="AK27" s="72">
        <v>1200</v>
      </c>
      <c r="AL27" s="72">
        <v>340</v>
      </c>
      <c r="AM27" s="72">
        <v>450</v>
      </c>
      <c r="AN27" s="72">
        <v>680</v>
      </c>
      <c r="AO27" s="72">
        <v>200</v>
      </c>
      <c r="AP27" s="72">
        <v>10</v>
      </c>
      <c r="AQ27" s="72">
        <v>10.5</v>
      </c>
      <c r="AR27" s="79">
        <v>9.1666666666666661</v>
      </c>
    </row>
    <row r="28" spans="2:44" x14ac:dyDescent="0.25">
      <c r="B28" s="7"/>
      <c r="AJ28" s="72">
        <v>26</v>
      </c>
      <c r="AK28" s="72">
        <v>1000</v>
      </c>
      <c r="AL28" s="72">
        <v>280</v>
      </c>
      <c r="AM28" s="72">
        <v>380</v>
      </c>
      <c r="AN28" s="72">
        <v>560</v>
      </c>
      <c r="AO28" s="72">
        <v>180</v>
      </c>
      <c r="AP28" s="72">
        <v>10.5</v>
      </c>
      <c r="AQ28" s="72">
        <v>10.5</v>
      </c>
      <c r="AR28" s="79">
        <v>7.5</v>
      </c>
    </row>
    <row r="29" spans="2:44" x14ac:dyDescent="0.25">
      <c r="B29" s="7"/>
      <c r="AJ29" s="72">
        <v>27</v>
      </c>
      <c r="AK29" s="72">
        <v>800</v>
      </c>
      <c r="AL29" s="72">
        <v>220</v>
      </c>
      <c r="AM29" s="72">
        <v>300</v>
      </c>
      <c r="AN29" s="72">
        <v>440</v>
      </c>
      <c r="AO29" s="72">
        <v>150</v>
      </c>
      <c r="AP29" s="72">
        <v>10.5</v>
      </c>
      <c r="AQ29" s="72">
        <v>11</v>
      </c>
      <c r="AR29" s="79">
        <v>5.75</v>
      </c>
    </row>
    <row r="30" spans="2:44" x14ac:dyDescent="0.25">
      <c r="B30" s="7"/>
      <c r="AJ30" s="72">
        <v>28</v>
      </c>
      <c r="AK30" s="72">
        <v>600</v>
      </c>
      <c r="AL30" s="72">
        <v>160</v>
      </c>
      <c r="AM30" s="72">
        <v>210</v>
      </c>
      <c r="AN30" s="72">
        <v>320</v>
      </c>
      <c r="AO30" s="72">
        <v>110</v>
      </c>
      <c r="AP30" s="72">
        <v>11</v>
      </c>
      <c r="AQ30" s="72">
        <v>11</v>
      </c>
      <c r="AR30" s="79">
        <v>3.9166666666666665</v>
      </c>
    </row>
    <row r="31" spans="2:44" x14ac:dyDescent="0.25">
      <c r="B31" s="7"/>
      <c r="AJ31" s="72">
        <v>29</v>
      </c>
      <c r="AK31" s="72">
        <v>300</v>
      </c>
      <c r="AL31" s="72">
        <v>80</v>
      </c>
      <c r="AM31" s="72">
        <v>110</v>
      </c>
      <c r="AN31" s="72">
        <v>160</v>
      </c>
      <c r="AO31" s="72">
        <v>60</v>
      </c>
      <c r="AP31" s="72">
        <v>11</v>
      </c>
      <c r="AQ31" s="72">
        <v>11.5</v>
      </c>
      <c r="AR31" s="79">
        <v>2</v>
      </c>
    </row>
    <row r="32" spans="2:44" x14ac:dyDescent="0.25">
      <c r="B32" s="7"/>
      <c r="AJ32" s="72">
        <v>30</v>
      </c>
      <c r="AK32" s="72">
        <v>0</v>
      </c>
      <c r="AL32" s="72">
        <v>0</v>
      </c>
      <c r="AM32" s="72">
        <v>0</v>
      </c>
      <c r="AN32" s="72">
        <v>0</v>
      </c>
      <c r="AO32" s="72">
        <v>0</v>
      </c>
      <c r="AP32" s="72">
        <v>11.5</v>
      </c>
      <c r="AQ32" s="72">
        <v>11.5</v>
      </c>
      <c r="AR32" s="79">
        <v>0</v>
      </c>
    </row>
    <row r="33" spans="2:2" x14ac:dyDescent="0.25">
      <c r="B33" s="7"/>
    </row>
  </sheetData>
  <mergeCells count="22">
    <mergeCell ref="A1:B1"/>
    <mergeCell ref="AJ1:AR1"/>
    <mergeCell ref="Y1:Y2"/>
    <mergeCell ref="W1:X1"/>
    <mergeCell ref="U1:V1"/>
    <mergeCell ref="T1:T2"/>
    <mergeCell ref="R1:S1"/>
    <mergeCell ref="P1:Q1"/>
    <mergeCell ref="E1:E2"/>
    <mergeCell ref="J1:J2"/>
    <mergeCell ref="O1:O2"/>
    <mergeCell ref="M1:N1"/>
    <mergeCell ref="K1:L1"/>
    <mergeCell ref="H1:I1"/>
    <mergeCell ref="F1:G1"/>
    <mergeCell ref="C1:D1"/>
    <mergeCell ref="AF1:AG1"/>
    <mergeCell ref="AH1:AH2"/>
    <mergeCell ref="Z1:AA1"/>
    <mergeCell ref="AB1:AB2"/>
    <mergeCell ref="AC1:AD1"/>
    <mergeCell ref="AE1:A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theme="4" tint="0.59999389629810485"/>
  </sheetPr>
  <dimension ref="A1:G28"/>
  <sheetViews>
    <sheetView workbookViewId="0">
      <selection activeCell="J10" sqref="J10"/>
    </sheetView>
  </sheetViews>
  <sheetFormatPr defaultColWidth="9.140625" defaultRowHeight="15" x14ac:dyDescent="0.25"/>
  <cols>
    <col min="1" max="4" width="9.140625" style="1"/>
    <col min="5" max="5" width="0" style="1" hidden="1" customWidth="1"/>
    <col min="6" max="16384" width="9.140625" style="1"/>
  </cols>
  <sheetData>
    <row r="1" spans="1:7" x14ac:dyDescent="0.25">
      <c r="A1" s="1" t="s">
        <v>30</v>
      </c>
      <c r="B1" s="1" t="s">
        <v>77</v>
      </c>
      <c r="C1" s="1" t="s">
        <v>78</v>
      </c>
      <c r="D1" s="1" t="s">
        <v>85</v>
      </c>
      <c r="E1" s="1" t="s">
        <v>86</v>
      </c>
      <c r="F1" s="1" t="s">
        <v>81</v>
      </c>
      <c r="G1" s="1" t="s">
        <v>124</v>
      </c>
    </row>
    <row r="2" spans="1:7" x14ac:dyDescent="0.25">
      <c r="A2" s="1">
        <v>37</v>
      </c>
      <c r="B2" s="1">
        <v>3</v>
      </c>
      <c r="C2" s="1">
        <v>75</v>
      </c>
      <c r="E2" s="1">
        <f t="shared" ref="E2:E28" si="0">IF(D2&gt;0,A2,0)</f>
        <v>0</v>
      </c>
      <c r="F2" s="1">
        <v>3</v>
      </c>
      <c r="G2" s="1" t="s">
        <v>102</v>
      </c>
    </row>
    <row r="3" spans="1:7" x14ac:dyDescent="0.25">
      <c r="A3" s="1">
        <v>67</v>
      </c>
      <c r="B3" s="1">
        <v>0</v>
      </c>
      <c r="C3" s="1">
        <v>185</v>
      </c>
      <c r="E3" s="1">
        <f t="shared" si="0"/>
        <v>0</v>
      </c>
      <c r="F3" s="1">
        <v>15</v>
      </c>
      <c r="G3" s="1" t="s">
        <v>102</v>
      </c>
    </row>
    <row r="4" spans="1:7" x14ac:dyDescent="0.25">
      <c r="A4" s="1">
        <v>27</v>
      </c>
      <c r="B4" s="1">
        <v>3</v>
      </c>
      <c r="C4" s="1">
        <v>45</v>
      </c>
      <c r="E4" s="1">
        <f t="shared" si="0"/>
        <v>0</v>
      </c>
      <c r="F4" s="1">
        <v>4</v>
      </c>
      <c r="G4" s="1" t="s">
        <v>102</v>
      </c>
    </row>
    <row r="5" spans="1:7" x14ac:dyDescent="0.25">
      <c r="A5" s="1">
        <v>9</v>
      </c>
      <c r="B5" s="1">
        <v>0</v>
      </c>
      <c r="C5" s="1">
        <v>14</v>
      </c>
      <c r="E5" s="1">
        <f t="shared" si="0"/>
        <v>0</v>
      </c>
      <c r="F5" s="1">
        <v>1</v>
      </c>
      <c r="G5" s="1" t="s">
        <v>103</v>
      </c>
    </row>
    <row r="6" spans="1:7" x14ac:dyDescent="0.25">
      <c r="A6" s="1">
        <v>30</v>
      </c>
      <c r="B6" s="1">
        <v>0</v>
      </c>
      <c r="C6" s="1">
        <v>42</v>
      </c>
      <c r="E6" s="1">
        <f t="shared" si="0"/>
        <v>0</v>
      </c>
      <c r="F6" s="1">
        <v>1</v>
      </c>
      <c r="G6" s="1" t="s">
        <v>103</v>
      </c>
    </row>
    <row r="7" spans="1:7" x14ac:dyDescent="0.25">
      <c r="A7" s="1">
        <v>21</v>
      </c>
      <c r="B7" s="1">
        <v>1</v>
      </c>
      <c r="C7" s="1">
        <v>64</v>
      </c>
      <c r="D7" s="1">
        <v>86</v>
      </c>
      <c r="E7" s="1">
        <f t="shared" si="0"/>
        <v>21</v>
      </c>
      <c r="F7" s="1">
        <v>1</v>
      </c>
      <c r="G7" s="1" t="s">
        <v>104</v>
      </c>
    </row>
    <row r="8" spans="1:7" x14ac:dyDescent="0.25">
      <c r="A8" s="1">
        <v>13</v>
      </c>
      <c r="B8" s="1">
        <v>1</v>
      </c>
      <c r="C8" s="1">
        <v>33</v>
      </c>
      <c r="D8" s="1">
        <v>42</v>
      </c>
      <c r="E8" s="1">
        <f t="shared" si="0"/>
        <v>13</v>
      </c>
      <c r="F8" s="1">
        <v>0</v>
      </c>
      <c r="G8" s="1" t="s">
        <v>105</v>
      </c>
    </row>
    <row r="9" spans="1:7" x14ac:dyDescent="0.25">
      <c r="A9" s="1">
        <v>30</v>
      </c>
      <c r="B9" s="1">
        <v>1</v>
      </c>
      <c r="C9" s="1">
        <v>40</v>
      </c>
      <c r="E9" s="1">
        <f t="shared" si="0"/>
        <v>0</v>
      </c>
      <c r="F9" s="1">
        <v>0</v>
      </c>
      <c r="G9" s="1" t="s">
        <v>105</v>
      </c>
    </row>
    <row r="10" spans="1:7" x14ac:dyDescent="0.25">
      <c r="A10" s="1">
        <v>58</v>
      </c>
      <c r="B10" s="1">
        <v>3</v>
      </c>
      <c r="C10" s="1">
        <v>122</v>
      </c>
      <c r="D10" s="1">
        <v>153</v>
      </c>
      <c r="E10" s="1">
        <f t="shared" si="0"/>
        <v>58</v>
      </c>
      <c r="F10" s="1">
        <v>3</v>
      </c>
      <c r="G10" s="1" t="s">
        <v>105</v>
      </c>
    </row>
    <row r="11" spans="1:7" x14ac:dyDescent="0.25">
      <c r="A11" s="1">
        <v>13</v>
      </c>
      <c r="B11" s="1">
        <v>2</v>
      </c>
      <c r="C11" s="1">
        <v>43</v>
      </c>
      <c r="D11" s="1">
        <v>46</v>
      </c>
      <c r="E11" s="1">
        <f t="shared" si="0"/>
        <v>13</v>
      </c>
      <c r="F11" s="1">
        <v>0</v>
      </c>
      <c r="G11" s="1" t="s">
        <v>105</v>
      </c>
    </row>
    <row r="12" spans="1:7" x14ac:dyDescent="0.25">
      <c r="A12" s="1">
        <v>30</v>
      </c>
      <c r="B12" s="1">
        <v>1</v>
      </c>
      <c r="C12" s="1">
        <v>87</v>
      </c>
      <c r="D12" s="1">
        <v>114</v>
      </c>
      <c r="E12" s="1">
        <f t="shared" si="0"/>
        <v>30</v>
      </c>
      <c r="F12" s="1">
        <v>1</v>
      </c>
      <c r="G12" s="1" t="s">
        <v>105</v>
      </c>
    </row>
    <row r="13" spans="1:7" x14ac:dyDescent="0.25">
      <c r="A13" s="1">
        <v>4</v>
      </c>
      <c r="B13" s="1">
        <v>0</v>
      </c>
      <c r="C13" s="1">
        <v>5</v>
      </c>
      <c r="E13" s="1">
        <f t="shared" si="0"/>
        <v>0</v>
      </c>
      <c r="F13" s="1">
        <v>0</v>
      </c>
      <c r="G13" s="1" t="s">
        <v>103</v>
      </c>
    </row>
    <row r="14" spans="1:7" x14ac:dyDescent="0.25">
      <c r="A14" s="1">
        <v>17</v>
      </c>
      <c r="B14" s="1">
        <v>3</v>
      </c>
      <c r="C14" s="1">
        <v>54</v>
      </c>
      <c r="D14" s="1">
        <v>68</v>
      </c>
      <c r="E14" s="1">
        <f t="shared" si="0"/>
        <v>17</v>
      </c>
      <c r="F14" s="1">
        <v>2</v>
      </c>
      <c r="G14" s="1" t="s">
        <v>104</v>
      </c>
    </row>
    <row r="15" spans="1:7" x14ac:dyDescent="0.25">
      <c r="A15" s="1">
        <v>11</v>
      </c>
      <c r="B15" s="1">
        <v>3</v>
      </c>
      <c r="C15" s="1">
        <v>32</v>
      </c>
      <c r="D15" s="1">
        <v>51</v>
      </c>
      <c r="E15" s="1">
        <f t="shared" si="0"/>
        <v>11</v>
      </c>
      <c r="F15" s="1">
        <v>0</v>
      </c>
      <c r="G15" s="1" t="s">
        <v>104</v>
      </c>
    </row>
    <row r="16" spans="1:7" x14ac:dyDescent="0.25">
      <c r="A16" s="1">
        <v>8</v>
      </c>
      <c r="B16" s="1">
        <v>1</v>
      </c>
      <c r="C16" s="1">
        <v>27</v>
      </c>
      <c r="D16" s="1">
        <v>4</v>
      </c>
      <c r="E16" s="1">
        <f t="shared" si="0"/>
        <v>8</v>
      </c>
      <c r="F16" s="1">
        <v>1</v>
      </c>
      <c r="G16" s="1" t="s">
        <v>106</v>
      </c>
    </row>
    <row r="17" spans="1:7" x14ac:dyDescent="0.25">
      <c r="A17" s="1">
        <v>1</v>
      </c>
      <c r="B17" s="1">
        <v>0</v>
      </c>
      <c r="C17" s="1">
        <v>4</v>
      </c>
      <c r="D17" s="1">
        <v>3</v>
      </c>
      <c r="E17" s="1">
        <f t="shared" si="0"/>
        <v>1</v>
      </c>
      <c r="F17" s="1">
        <v>0</v>
      </c>
      <c r="G17" s="1" t="s">
        <v>105</v>
      </c>
    </row>
    <row r="18" spans="1:7" x14ac:dyDescent="0.25">
      <c r="E18" s="1">
        <f t="shared" si="0"/>
        <v>0</v>
      </c>
    </row>
    <row r="19" spans="1:7" x14ac:dyDescent="0.25">
      <c r="E19" s="1">
        <f t="shared" si="0"/>
        <v>0</v>
      </c>
    </row>
    <row r="20" spans="1:7" x14ac:dyDescent="0.25">
      <c r="E20" s="1">
        <f t="shared" si="0"/>
        <v>0</v>
      </c>
    </row>
    <row r="21" spans="1:7" x14ac:dyDescent="0.25">
      <c r="E21" s="1">
        <f t="shared" si="0"/>
        <v>0</v>
      </c>
    </row>
    <row r="22" spans="1:7" x14ac:dyDescent="0.25">
      <c r="E22" s="1">
        <f t="shared" si="0"/>
        <v>0</v>
      </c>
    </row>
    <row r="23" spans="1:7" x14ac:dyDescent="0.25">
      <c r="E23" s="1">
        <f t="shared" si="0"/>
        <v>0</v>
      </c>
    </row>
    <row r="24" spans="1:7" x14ac:dyDescent="0.25">
      <c r="E24" s="1">
        <f t="shared" si="0"/>
        <v>0</v>
      </c>
    </row>
    <row r="25" spans="1:7" x14ac:dyDescent="0.25">
      <c r="E25" s="1">
        <f t="shared" si="0"/>
        <v>0</v>
      </c>
    </row>
    <row r="26" spans="1:7" x14ac:dyDescent="0.25">
      <c r="E26" s="1">
        <f t="shared" si="0"/>
        <v>0</v>
      </c>
    </row>
    <row r="27" spans="1:7" x14ac:dyDescent="0.25">
      <c r="E27" s="1">
        <f t="shared" si="0"/>
        <v>0</v>
      </c>
    </row>
    <row r="28" spans="1:7" x14ac:dyDescent="0.25">
      <c r="E28" s="1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B32"/>
  <sheetViews>
    <sheetView workbookViewId="0">
      <selection activeCell="A18" sqref="A18"/>
    </sheetView>
  </sheetViews>
  <sheetFormatPr defaultColWidth="9.140625" defaultRowHeight="15" x14ac:dyDescent="0.25"/>
  <cols>
    <col min="1" max="16384" width="9.140625" style="1"/>
  </cols>
  <sheetData>
    <row r="1" spans="1:2" x14ac:dyDescent="0.25">
      <c r="A1" s="1" t="s">
        <v>43</v>
      </c>
      <c r="B1" s="1" t="s">
        <v>44</v>
      </c>
    </row>
    <row r="2" spans="1:2" x14ac:dyDescent="0.25">
      <c r="A2" s="1">
        <v>816</v>
      </c>
      <c r="B2" s="1">
        <v>485</v>
      </c>
    </row>
    <row r="3" spans="1:2" x14ac:dyDescent="0.25">
      <c r="A3" s="1">
        <v>786</v>
      </c>
      <c r="B3" s="1">
        <v>480</v>
      </c>
    </row>
    <row r="4" spans="1:2" x14ac:dyDescent="0.25">
      <c r="A4" s="1">
        <v>783</v>
      </c>
      <c r="B4" s="1">
        <f>B3-120</f>
        <v>360</v>
      </c>
    </row>
    <row r="5" spans="1:2" x14ac:dyDescent="0.25">
      <c r="A5" s="1">
        <v>780</v>
      </c>
      <c r="B5" s="1">
        <f>B4-120</f>
        <v>240</v>
      </c>
    </row>
    <row r="6" spans="1:2" x14ac:dyDescent="0.25">
      <c r="A6" s="1">
        <v>775</v>
      </c>
      <c r="B6" s="1">
        <f>B5-120</f>
        <v>120</v>
      </c>
    </row>
    <row r="7" spans="1:2" x14ac:dyDescent="0.25">
      <c r="A7" s="1">
        <v>770</v>
      </c>
      <c r="B7" s="1">
        <f>B6-120</f>
        <v>0</v>
      </c>
    </row>
    <row r="8" spans="1:2" x14ac:dyDescent="0.25">
      <c r="A8" s="1">
        <v>763</v>
      </c>
    </row>
    <row r="9" spans="1:2" x14ac:dyDescent="0.25">
      <c r="A9" s="1">
        <v>756</v>
      </c>
    </row>
    <row r="10" spans="1:2" x14ac:dyDescent="0.25">
      <c r="A10" s="1">
        <v>749</v>
      </c>
    </row>
    <row r="11" spans="1:2" x14ac:dyDescent="0.25">
      <c r="A11" s="1">
        <v>739</v>
      </c>
    </row>
    <row r="12" spans="1:2" x14ac:dyDescent="0.25">
      <c r="A12" s="1">
        <v>729</v>
      </c>
    </row>
    <row r="13" spans="1:2" x14ac:dyDescent="0.25">
      <c r="A13" s="1">
        <v>717</v>
      </c>
    </row>
    <row r="14" spans="1:2" x14ac:dyDescent="0.25">
      <c r="A14" s="1">
        <v>705</v>
      </c>
    </row>
    <row r="15" spans="1:2" x14ac:dyDescent="0.25">
      <c r="A15" s="1">
        <v>690</v>
      </c>
    </row>
    <row r="16" spans="1:2" x14ac:dyDescent="0.25">
      <c r="A16" s="1">
        <v>675</v>
      </c>
    </row>
    <row r="17" spans="1:1" x14ac:dyDescent="0.25">
      <c r="A17" s="1">
        <v>660</v>
      </c>
    </row>
    <row r="18" spans="1:1" x14ac:dyDescent="0.25">
      <c r="A18" s="1">
        <v>640</v>
      </c>
    </row>
    <row r="19" spans="1:1" x14ac:dyDescent="0.25">
      <c r="A19" s="1">
        <v>620</v>
      </c>
    </row>
    <row r="20" spans="1:1" x14ac:dyDescent="0.25">
      <c r="A20" s="1">
        <v>600</v>
      </c>
    </row>
    <row r="21" spans="1:1" x14ac:dyDescent="0.25">
      <c r="A21" s="1">
        <v>570</v>
      </c>
    </row>
    <row r="22" spans="1:1" x14ac:dyDescent="0.25">
      <c r="A22" s="1">
        <v>540</v>
      </c>
    </row>
    <row r="23" spans="1:1" x14ac:dyDescent="0.25">
      <c r="A23" s="1">
        <v>500</v>
      </c>
    </row>
    <row r="24" spans="1:1" x14ac:dyDescent="0.25">
      <c r="A24" s="1">
        <v>460</v>
      </c>
    </row>
    <row r="25" spans="1:1" x14ac:dyDescent="0.25">
      <c r="A25" s="1">
        <v>420</v>
      </c>
    </row>
    <row r="26" spans="1:1" x14ac:dyDescent="0.25">
      <c r="A26" s="1">
        <v>370</v>
      </c>
    </row>
    <row r="27" spans="1:1" x14ac:dyDescent="0.25">
      <c r="A27" s="1">
        <v>320</v>
      </c>
    </row>
    <row r="28" spans="1:1" x14ac:dyDescent="0.25">
      <c r="A28" s="1">
        <v>260</v>
      </c>
    </row>
    <row r="29" spans="1:1" x14ac:dyDescent="0.25">
      <c r="A29" s="1">
        <v>200</v>
      </c>
    </row>
    <row r="30" spans="1:1" x14ac:dyDescent="0.25">
      <c r="A30" s="1">
        <v>140</v>
      </c>
    </row>
    <row r="31" spans="1:1" x14ac:dyDescent="0.25">
      <c r="A31" s="1">
        <v>70</v>
      </c>
    </row>
    <row r="32" spans="1:1" x14ac:dyDescent="0.25">
      <c r="A3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迎擊</vt:lpstr>
      <vt:lpstr>真龍試煉</vt:lpstr>
      <vt:lpstr>龍之試煉</vt:lpstr>
      <vt:lpstr>虛空</vt:lpstr>
      <vt:lpstr>Raid</vt:lpstr>
      <vt:lpstr>資料-龍試煉</vt:lpstr>
      <vt:lpstr>資料-迎擊</vt:lpstr>
      <vt:lpstr>資料-虛空</vt:lpstr>
      <vt:lpstr>資料-真龍</vt:lpstr>
      <vt:lpstr>掉落-真火</vt:lpstr>
      <vt:lpstr>掉落-真水</vt:lpstr>
      <vt:lpstr>掉落-真風</vt:lpstr>
      <vt:lpstr>掉落-真光</vt:lpstr>
      <vt:lpstr>掉落-真暗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DATA_IO</vt:lpstr>
      <vt:lpstr>DRAGON_EXP_100</vt:lpstr>
      <vt:lpstr>DRAGON_EXP_60</vt:lpstr>
      <vt:lpstr>DRAGON_EXP_80</vt:lpstr>
      <vt:lpstr>RAID_GOAL_BLAZON</vt:lpstr>
      <vt:lpstr>RAID_GOAL_EMBLEM</vt:lpstr>
      <vt:lpstr>RAID_TIME_DURATION</vt:lpstr>
      <vt:lpstr>RAID_TIME_END</vt:lpstr>
      <vt:lpstr>RAID_TIME_START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2019-04-09T07:27:06Z</dcterms:modified>
</cp:coreProperties>
</file>