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867628F8-BDFE-497C-BCAF-44949F641506}" xr6:coauthVersionLast="45" xr6:coauthVersionMax="45" xr10:uidLastSave="{00000000-0000-0000-0000-000000000000}"/>
  <bookViews>
    <workbookView xWindow="6750" yWindow="240" windowWidth="18315" windowHeight="14880" firstSheet="3" activeTab="11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8" i="16" l="1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5" i="40"/>
  <c r="J4" i="40"/>
  <c r="J3" i="40"/>
  <c r="J2" i="40"/>
  <c r="J6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L31" i="40" l="1"/>
  <c r="H31" i="40"/>
  <c r="G31" i="40"/>
  <c r="F31" i="40"/>
  <c r="E31" i="40"/>
  <c r="K31" i="40" s="1"/>
  <c r="H207" i="16"/>
  <c r="G207" i="16"/>
  <c r="F207" i="16"/>
  <c r="I207" i="16" s="1"/>
  <c r="J207" i="16" s="1"/>
  <c r="E207" i="16"/>
  <c r="K30" i="40" l="1"/>
  <c r="L30" i="40" s="1"/>
  <c r="H30" i="40"/>
  <c r="G30" i="40"/>
  <c r="F30" i="40"/>
  <c r="E30" i="40"/>
  <c r="H206" i="16"/>
  <c r="G206" i="16"/>
  <c r="F206" i="16"/>
  <c r="I206" i="16" s="1"/>
  <c r="J206" i="16" s="1"/>
  <c r="E206" i="16"/>
  <c r="L29" i="40" l="1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P6" i="18"/>
  <c r="H204" i="16"/>
  <c r="G204" i="16"/>
  <c r="F204" i="16"/>
  <c r="I204" i="16" s="1"/>
  <c r="J204" i="16" s="1"/>
  <c r="E204" i="16"/>
  <c r="F28" i="18"/>
  <c r="G28" i="18"/>
  <c r="H28" i="18" s="1"/>
  <c r="H203" i="16" l="1"/>
  <c r="G203" i="16"/>
  <c r="F203" i="16"/>
  <c r="I203" i="16" s="1"/>
  <c r="J203" i="16" s="1"/>
  <c r="E203" i="16"/>
  <c r="H27" i="40"/>
  <c r="G27" i="40"/>
  <c r="F27" i="40"/>
  <c r="E27" i="40"/>
  <c r="K27" i="40" s="1"/>
  <c r="H202" i="16" l="1"/>
  <c r="G202" i="16"/>
  <c r="F202" i="16"/>
  <c r="I202" i="16" s="1"/>
  <c r="J202" i="16" s="1"/>
  <c r="E202" i="16"/>
  <c r="H201" i="16" l="1"/>
  <c r="G201" i="16"/>
  <c r="F201" i="16"/>
  <c r="I201" i="16" s="1"/>
  <c r="J201" i="16" s="1"/>
  <c r="E201" i="16"/>
  <c r="H200" i="16" l="1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I198" i="16" l="1"/>
  <c r="J198" i="16" s="1"/>
  <c r="H198" i="16"/>
  <c r="G198" i="16"/>
  <c r="F198" i="16"/>
  <c r="E198" i="16"/>
  <c r="L26" i="40" l="1"/>
  <c r="H26" i="40"/>
  <c r="G26" i="40"/>
  <c r="F26" i="40"/>
  <c r="E26" i="40"/>
  <c r="K26" i="40"/>
  <c r="H197" i="16" l="1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I195" i="16" l="1"/>
  <c r="J195" i="16" s="1"/>
  <c r="H195" i="16"/>
  <c r="G195" i="16"/>
  <c r="F195" i="16"/>
  <c r="E195" i="16"/>
  <c r="H194" i="16" l="1"/>
  <c r="F194" i="16"/>
  <c r="I194" i="16" s="1"/>
  <c r="J194" i="16" s="1"/>
  <c r="E194" i="16"/>
  <c r="G194" i="16" l="1"/>
  <c r="L25" i="40" l="1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I191" i="16" l="1"/>
  <c r="J191" i="16" s="1"/>
  <c r="H191" i="16"/>
  <c r="G191" i="16"/>
  <c r="F191" i="16"/>
  <c r="G24" i="40" l="1"/>
  <c r="F24" i="40"/>
  <c r="E24" i="40"/>
  <c r="K24" i="40" s="1"/>
  <c r="L24" i="40" s="1"/>
  <c r="E191" i="16"/>
  <c r="H24" i="40" l="1"/>
  <c r="L23" i="40"/>
  <c r="H23" i="40"/>
  <c r="G23" i="40"/>
  <c r="F23" i="40"/>
  <c r="E23" i="40"/>
  <c r="K23" i="40"/>
  <c r="I190" i="16" l="1"/>
  <c r="J190" i="16" s="1"/>
  <c r="H190" i="16"/>
  <c r="G190" i="16"/>
  <c r="F190" i="16"/>
  <c r="E190" i="16"/>
  <c r="I189" i="16" l="1"/>
  <c r="J189" i="16" s="1"/>
  <c r="H189" i="16"/>
  <c r="G189" i="16"/>
  <c r="F189" i="16"/>
  <c r="E189" i="16"/>
  <c r="I188" i="16" l="1"/>
  <c r="J188" i="16" s="1"/>
  <c r="H188" i="16"/>
  <c r="G188" i="16"/>
  <c r="F188" i="16"/>
  <c r="E188" i="16"/>
  <c r="H187" i="16" l="1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K20" i="40" l="1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L18" i="40" l="1"/>
  <c r="H18" i="40"/>
  <c r="G18" i="40"/>
  <c r="F18" i="40"/>
  <c r="E18" i="40"/>
  <c r="K18" i="40"/>
  <c r="H181" i="16"/>
  <c r="G181" i="16"/>
  <c r="F181" i="16"/>
  <c r="I181" i="16" s="1"/>
  <c r="J181" i="16" s="1"/>
  <c r="E181" i="16"/>
  <c r="L17" i="40" l="1"/>
  <c r="G17" i="40"/>
  <c r="F17" i="40"/>
  <c r="E17" i="40"/>
  <c r="H17" i="40" s="1"/>
  <c r="I180" i="16"/>
  <c r="J180" i="16" s="1"/>
  <c r="H180" i="16"/>
  <c r="G180" i="16"/>
  <c r="F180" i="16"/>
  <c r="E180" i="16"/>
  <c r="K17" i="40" l="1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H178" i="16" l="1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X9" i="44" l="1"/>
  <c r="AW9" i="44"/>
  <c r="BA4" i="44"/>
  <c r="BA7" i="44" s="1"/>
  <c r="AZ14" i="44"/>
  <c r="AZ15" i="44" s="1"/>
  <c r="AZ16" i="44" s="1"/>
  <c r="AX4" i="44"/>
  <c r="AX7" i="44" s="1"/>
  <c r="BA14" i="44"/>
  <c r="BA15" i="44" s="1"/>
  <c r="BA16" i="44" s="1"/>
  <c r="AZ9" i="44"/>
  <c r="AW4" i="44"/>
  <c r="AX14" i="44"/>
  <c r="AX15" i="44" s="1"/>
  <c r="AX16" i="44" s="1"/>
  <c r="BA9" i="44"/>
  <c r="BA10" i="44" s="1"/>
  <c r="AZ4" i="44"/>
  <c r="AW14" i="44"/>
  <c r="AY9" i="44"/>
  <c r="AY4" i="44"/>
  <c r="AY14" i="44"/>
  <c r="AY15" i="44" s="1"/>
  <c r="AY16" i="44" s="1"/>
  <c r="AW17" i="44"/>
  <c r="AW18" i="44"/>
  <c r="AW19" i="44" s="1"/>
  <c r="AZ17" i="41"/>
  <c r="AZ9" i="41"/>
  <c r="H14" i="40"/>
  <c r="AW20" i="44"/>
  <c r="AZ14" i="41"/>
  <c r="AX10" i="44"/>
  <c r="I172" i="16"/>
  <c r="J172" i="16" s="1"/>
  <c r="H172" i="16"/>
  <c r="G172" i="16"/>
  <c r="F172" i="16"/>
  <c r="BA5" i="44" l="1"/>
  <c r="BA6" i="44" s="1"/>
  <c r="AY12" i="44"/>
  <c r="AY10" i="44"/>
  <c r="AY13" i="44" s="1"/>
  <c r="AZ12" i="44"/>
  <c r="AZ10" i="44"/>
  <c r="AZ13" i="44" s="1"/>
  <c r="BA13" i="44"/>
  <c r="BA12" i="44"/>
  <c r="AX13" i="44"/>
  <c r="AX12" i="44"/>
  <c r="AW5" i="44"/>
  <c r="BB5" i="44" s="1"/>
  <c r="AW7" i="44"/>
  <c r="AW15" i="44"/>
  <c r="BB14" i="44"/>
  <c r="AY7" i="44"/>
  <c r="AY8" i="44" s="1"/>
  <c r="AW12" i="44"/>
  <c r="AW10" i="44"/>
  <c r="BA8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BB15" i="44" l="1"/>
  <c r="AW16" i="44"/>
  <c r="BB16" i="44" s="1"/>
  <c r="K12" i="40"/>
  <c r="H13" i="40"/>
  <c r="BB7" i="44"/>
  <c r="BB10" i="44"/>
  <c r="BA11" i="44"/>
  <c r="AW6" i="44"/>
  <c r="BB6" i="44" s="1"/>
  <c r="AX11" i="44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L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K11" i="40" l="1"/>
  <c r="H12" i="40"/>
  <c r="AP11" i="41"/>
  <c r="AP6" i="41"/>
  <c r="L11" i="40" l="1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K7" i="40" l="1"/>
  <c r="G6" i="40"/>
  <c r="F6" i="40"/>
  <c r="E6" i="40"/>
  <c r="K6" i="40" s="1"/>
  <c r="H165" i="16"/>
  <c r="G165" i="16"/>
  <c r="F165" i="16"/>
  <c r="I165" i="16" s="1"/>
  <c r="J165" i="16" s="1"/>
  <c r="E165" i="16"/>
  <c r="L8" i="40" l="1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H6" i="40" l="1"/>
  <c r="G4" i="40" l="1"/>
  <c r="F4" i="40"/>
  <c r="E4" i="40"/>
  <c r="H163" i="16"/>
  <c r="G163" i="16"/>
  <c r="F163" i="16"/>
  <c r="I163" i="16" s="1"/>
  <c r="J163" i="16" s="1"/>
  <c r="E163" i="16"/>
  <c r="K4" i="40" l="1"/>
  <c r="H5" i="40"/>
  <c r="G3" i="40"/>
  <c r="F3" i="40"/>
  <c r="E3" i="40"/>
  <c r="K3" i="40" s="1"/>
  <c r="H4" i="40" l="1"/>
  <c r="L4" i="40"/>
  <c r="L5" i="40"/>
  <c r="E2" i="40"/>
  <c r="H3" i="40" s="1"/>
  <c r="K2" i="40" l="1"/>
  <c r="L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C7" i="37"/>
  <c r="I170" i="25"/>
  <c r="F50" i="25"/>
  <c r="I204" i="25"/>
  <c r="F41" i="25"/>
  <c r="I197" i="25"/>
  <c r="I153" i="25"/>
  <c r="I14" i="25"/>
  <c r="F121" i="25"/>
  <c r="F206" i="25"/>
  <c r="F39" i="25"/>
  <c r="F29" i="25"/>
  <c r="I49" i="25"/>
  <c r="I213" i="25"/>
  <c r="F185" i="25"/>
  <c r="I92" i="25"/>
  <c r="I118" i="25"/>
  <c r="I103" i="25"/>
  <c r="I128" i="25"/>
  <c r="I126" i="25"/>
  <c r="I45" i="25"/>
  <c r="I106" i="25"/>
  <c r="F152" i="25"/>
  <c r="I119" i="25"/>
  <c r="F110" i="25"/>
  <c r="F145" i="25"/>
  <c r="F198" i="25"/>
  <c r="I184" i="25"/>
  <c r="F138" i="25"/>
  <c r="H7" i="28"/>
  <c r="F3" i="25"/>
  <c r="F10" i="25"/>
  <c r="F27" i="25"/>
  <c r="F165" i="25"/>
  <c r="I139" i="25"/>
  <c r="F170" i="25"/>
  <c r="F157" i="25"/>
  <c r="I138" i="25"/>
  <c r="I64" i="25"/>
  <c r="I135" i="25"/>
  <c r="F193" i="25"/>
  <c r="I171" i="25"/>
  <c r="F104" i="25"/>
  <c r="I59" i="25"/>
  <c r="F46" i="25"/>
  <c r="I19" i="25"/>
  <c r="I142" i="25"/>
  <c r="I180" i="25"/>
  <c r="I124" i="25"/>
  <c r="I110" i="25"/>
  <c r="I65" i="25"/>
  <c r="F48" i="25"/>
  <c r="F91" i="25"/>
  <c r="I195" i="25"/>
  <c r="I157" i="25"/>
  <c r="I26" i="25"/>
  <c r="I163" i="25"/>
  <c r="F108" i="25"/>
  <c r="I218" i="25"/>
  <c r="I83" i="25"/>
  <c r="F204" i="25"/>
  <c r="I90" i="25"/>
  <c r="F209" i="25"/>
  <c r="I176" i="25"/>
  <c r="I7" i="25"/>
  <c r="F37" i="25"/>
  <c r="I129" i="25"/>
  <c r="I97" i="25"/>
  <c r="I85" i="25"/>
  <c r="I216" i="25"/>
  <c r="F52" i="25"/>
  <c r="I205" i="25"/>
  <c r="I140" i="25"/>
  <c r="F207" i="25"/>
  <c r="I117" i="25"/>
  <c r="I187" i="25"/>
  <c r="F23" i="25"/>
  <c r="F93" i="25"/>
  <c r="I75" i="25"/>
  <c r="I78" i="25"/>
  <c r="F176" i="25"/>
  <c r="I43" i="25"/>
  <c r="F144" i="25"/>
  <c r="I68" i="25"/>
  <c r="F6" i="25"/>
  <c r="I152" i="25"/>
  <c r="I172" i="25"/>
  <c r="F109" i="25"/>
  <c r="I88" i="25"/>
  <c r="I100" i="25"/>
  <c r="I91" i="25"/>
  <c r="I181" i="25"/>
  <c r="I63" i="25"/>
  <c r="F40" i="25"/>
  <c r="I145" i="25"/>
  <c r="I44" i="25"/>
  <c r="F7" i="25"/>
  <c r="F127" i="25"/>
  <c r="I199" i="25"/>
  <c r="F120" i="25"/>
  <c r="I7" i="28"/>
  <c r="I116" i="25"/>
  <c r="F42" i="25"/>
  <c r="F86" i="25"/>
  <c r="I46" i="25"/>
  <c r="I6" i="25"/>
  <c r="F88" i="25"/>
  <c r="F8" i="25"/>
  <c r="F218" i="25"/>
  <c r="I222" i="25"/>
  <c r="F112" i="25"/>
  <c r="F103" i="25"/>
  <c r="F11" i="25"/>
  <c r="F9" i="25"/>
  <c r="F139" i="25"/>
  <c r="F124" i="25"/>
  <c r="I84" i="25"/>
  <c r="F126" i="25"/>
  <c r="I130" i="25"/>
  <c r="I113" i="25"/>
  <c r="I131" i="25"/>
  <c r="F19" i="25"/>
  <c r="F81" i="25"/>
  <c r="F180" i="25"/>
  <c r="I58" i="25"/>
  <c r="F61" i="25"/>
  <c r="I185" i="25"/>
  <c r="I207" i="25"/>
  <c r="I80" i="25"/>
  <c r="I141" i="25"/>
  <c r="F214" i="25"/>
  <c r="F181" i="25"/>
  <c r="F53" i="25"/>
  <c r="F216" i="25"/>
  <c r="F101" i="25"/>
  <c r="I192" i="25"/>
  <c r="F197" i="25"/>
  <c r="I156" i="25"/>
  <c r="I87" i="25"/>
  <c r="F77" i="25"/>
  <c r="F60" i="25"/>
  <c r="F22" i="25"/>
  <c r="F125" i="25"/>
  <c r="F18" i="25"/>
  <c r="F202" i="25"/>
  <c r="F215" i="25"/>
  <c r="F97" i="25"/>
  <c r="I198" i="25"/>
  <c r="I8" i="25"/>
  <c r="I9" i="25"/>
  <c r="F75" i="25"/>
  <c r="I82" i="25"/>
  <c r="F182" i="25"/>
  <c r="I48" i="25"/>
  <c r="F169" i="25"/>
  <c r="F189" i="25"/>
  <c r="I217" i="25"/>
  <c r="F162" i="25"/>
  <c r="F205" i="25"/>
  <c r="F141" i="25"/>
  <c r="I164" i="25"/>
  <c r="I29" i="25"/>
  <c r="I146" i="25"/>
  <c r="I200" i="25"/>
  <c r="F95" i="25"/>
  <c r="F166" i="25"/>
  <c r="F68" i="25"/>
  <c r="D9" i="28"/>
  <c r="I132" i="25"/>
  <c r="F128" i="25"/>
  <c r="I158" i="25"/>
  <c r="I175" i="25"/>
  <c r="F31" i="25"/>
  <c r="I61" i="25"/>
  <c r="I9" i="28"/>
  <c r="I18" i="25"/>
  <c r="F220" i="25"/>
  <c r="F186" i="25"/>
  <c r="I136" i="25"/>
  <c r="I77" i="25"/>
  <c r="I76" i="25"/>
  <c r="I162" i="25"/>
  <c r="I165" i="25"/>
  <c r="F32" i="25"/>
  <c r="F45" i="25"/>
  <c r="F150" i="25"/>
  <c r="F35" i="25"/>
  <c r="I33" i="25"/>
  <c r="I202" i="25"/>
  <c r="F85" i="25"/>
  <c r="F151" i="25"/>
  <c r="I161" i="25"/>
  <c r="I72" i="25"/>
  <c r="I108" i="25"/>
  <c r="I134" i="25"/>
  <c r="F25" i="25"/>
  <c r="I15" i="25"/>
  <c r="F134" i="25"/>
  <c r="I5" i="25"/>
  <c r="F149" i="25"/>
  <c r="F96" i="25"/>
  <c r="F178" i="25"/>
  <c r="F73" i="25"/>
  <c r="I73" i="25"/>
  <c r="F102" i="25"/>
  <c r="I155" i="25"/>
  <c r="I221" i="25"/>
  <c r="I96" i="25"/>
  <c r="I210" i="25"/>
  <c r="F24" i="25"/>
  <c r="I12" i="25"/>
  <c r="F131" i="25"/>
  <c r="F155" i="25"/>
  <c r="I196" i="25"/>
  <c r="I178" i="25"/>
  <c r="I24" i="25"/>
  <c r="I179" i="25"/>
  <c r="F54" i="25"/>
  <c r="I154" i="25"/>
  <c r="I182" i="25"/>
  <c r="I215" i="25"/>
  <c r="I8" i="28"/>
  <c r="F135" i="25"/>
  <c r="I193" i="25"/>
  <c r="F142" i="25"/>
  <c r="I52" i="25"/>
  <c r="E9" i="28"/>
  <c r="F213" i="25"/>
  <c r="I22" i="25"/>
  <c r="F168" i="25"/>
  <c r="I32" i="25"/>
  <c r="I17" i="25"/>
  <c r="F13" i="25"/>
  <c r="I10" i="25"/>
  <c r="I121" i="25"/>
  <c r="I27" i="25"/>
  <c r="I53" i="25"/>
  <c r="I173" i="25"/>
  <c r="F179" i="25"/>
  <c r="I125" i="25"/>
  <c r="I167" i="25"/>
  <c r="I105" i="25"/>
  <c r="F76" i="25"/>
  <c r="I168" i="25"/>
  <c r="F136" i="25"/>
  <c r="I62" i="25"/>
  <c r="I107" i="25"/>
  <c r="I112" i="25"/>
  <c r="I122" i="25"/>
  <c r="I39" i="25"/>
  <c r="F55" i="25"/>
  <c r="F161" i="25"/>
  <c r="I212" i="25"/>
  <c r="F130" i="25"/>
  <c r="F117" i="25"/>
  <c r="F190" i="25"/>
  <c r="I102" i="25"/>
  <c r="I23" i="25"/>
  <c r="F158" i="25"/>
  <c r="I149" i="25"/>
  <c r="F79" i="25"/>
  <c r="I111" i="25"/>
  <c r="I209" i="25"/>
  <c r="F92" i="25"/>
  <c r="I93" i="25"/>
  <c r="I16" i="25"/>
  <c r="F66" i="25"/>
  <c r="I143" i="25"/>
  <c r="F70" i="25"/>
  <c r="I86" i="25"/>
  <c r="I28" i="25"/>
  <c r="F67" i="25"/>
  <c r="I206" i="25"/>
  <c r="F80" i="25"/>
  <c r="I177" i="25"/>
  <c r="I71" i="25"/>
  <c r="F164" i="25"/>
  <c r="F99" i="25"/>
  <c r="F26" i="25"/>
  <c r="I201" i="25"/>
  <c r="F153" i="25"/>
  <c r="F89" i="25"/>
  <c r="F69" i="25"/>
  <c r="I115" i="25"/>
  <c r="F74" i="25"/>
  <c r="I183" i="25"/>
  <c r="I20" i="25"/>
  <c r="F219" i="25"/>
  <c r="F12" i="25"/>
  <c r="F115" i="25"/>
  <c r="F62" i="25"/>
  <c r="F83" i="25"/>
  <c r="F203" i="25"/>
  <c r="F5" i="25"/>
  <c r="F28" i="25"/>
  <c r="F57" i="25"/>
  <c r="F72" i="25"/>
  <c r="F38" i="25"/>
  <c r="F148" i="25"/>
  <c r="F211" i="25"/>
  <c r="I69" i="25"/>
  <c r="F167" i="25"/>
  <c r="E7" i="28"/>
  <c r="F133" i="25"/>
  <c r="I120" i="25"/>
  <c r="F123" i="25"/>
  <c r="F119" i="25"/>
  <c r="F107" i="25"/>
  <c r="F36" i="25"/>
  <c r="F100" i="25"/>
  <c r="F146" i="25"/>
  <c r="F173" i="25"/>
  <c r="I74" i="25"/>
  <c r="I219" i="25"/>
  <c r="F191" i="25"/>
  <c r="I214" i="25"/>
  <c r="F43" i="25"/>
  <c r="I137" i="25"/>
  <c r="I104" i="25"/>
  <c r="F20" i="25"/>
  <c r="F30" i="25"/>
  <c r="I81" i="25"/>
  <c r="F194" i="25"/>
  <c r="I79" i="25"/>
  <c r="F17" i="25"/>
  <c r="I13" i="25"/>
  <c r="I89" i="25"/>
  <c r="F111" i="25"/>
  <c r="F116" i="25"/>
  <c r="I98" i="25"/>
  <c r="F132" i="25"/>
  <c r="F129" i="25"/>
  <c r="F212" i="25"/>
  <c r="I95" i="25"/>
  <c r="F163" i="25"/>
  <c r="I109" i="25"/>
  <c r="F217" i="25"/>
  <c r="I30" i="25"/>
  <c r="F177" i="25"/>
  <c r="F184" i="25"/>
  <c r="I60" i="25"/>
  <c r="I42" i="25"/>
  <c r="I194" i="25"/>
  <c r="F58" i="25"/>
  <c r="I38" i="25"/>
  <c r="F14" i="25"/>
  <c r="I34" i="25"/>
  <c r="I114" i="25"/>
  <c r="F159" i="25"/>
  <c r="I151" i="25"/>
  <c r="F71" i="25"/>
  <c r="F64" i="25"/>
  <c r="I67" i="25"/>
  <c r="I21" i="25"/>
  <c r="F192" i="25"/>
  <c r="I11" i="25"/>
  <c r="I41" i="25"/>
  <c r="I40" i="25"/>
  <c r="I190" i="25"/>
  <c r="F16" i="25"/>
  <c r="F143" i="25"/>
  <c r="F208" i="25"/>
  <c r="F33" i="25"/>
  <c r="F4" i="25"/>
  <c r="I99" i="25"/>
  <c r="F222" i="25"/>
  <c r="H8" i="28"/>
  <c r="D7" i="28"/>
  <c r="I127" i="25"/>
  <c r="F201" i="25"/>
  <c r="I57" i="25"/>
  <c r="F199" i="25"/>
  <c r="I101" i="25"/>
  <c r="I189" i="25"/>
  <c r="I66" i="25"/>
  <c r="F172" i="25"/>
  <c r="F140" i="25"/>
  <c r="F56" i="25"/>
  <c r="I160" i="25"/>
  <c r="I144" i="25"/>
  <c r="F59" i="25"/>
  <c r="F196" i="25"/>
  <c r="F65" i="25"/>
  <c r="E8" i="28"/>
  <c r="I3" i="25"/>
  <c r="F147" i="25"/>
  <c r="H9" i="28"/>
  <c r="F210" i="25"/>
  <c r="D8" i="28"/>
  <c r="I159" i="25"/>
  <c r="I133" i="25"/>
  <c r="I35" i="25"/>
  <c r="F154" i="25"/>
  <c r="F137" i="25"/>
  <c r="I37" i="25"/>
  <c r="F34" i="25"/>
  <c r="I208" i="25"/>
  <c r="F187" i="25"/>
  <c r="F188" i="25"/>
  <c r="F21" i="25"/>
  <c r="I123" i="25"/>
  <c r="I47" i="25"/>
  <c r="F183" i="25"/>
  <c r="I56" i="25"/>
  <c r="F175" i="25"/>
  <c r="I31" i="25"/>
  <c r="F47" i="25"/>
  <c r="F195" i="25"/>
  <c r="F122" i="25"/>
  <c r="I25" i="25"/>
  <c r="I186" i="25"/>
  <c r="F44" i="25"/>
  <c r="F98" i="25"/>
  <c r="F87" i="25"/>
  <c r="I166" i="25"/>
  <c r="F78" i="25"/>
  <c r="I188" i="25"/>
  <c r="F156" i="25"/>
  <c r="I36" i="25"/>
  <c r="F82" i="25"/>
  <c r="F15" i="25"/>
  <c r="F49" i="25"/>
  <c r="I94" i="25"/>
  <c r="I220" i="25"/>
  <c r="F171" i="25"/>
  <c r="I191" i="25"/>
  <c r="I147" i="25"/>
  <c r="F63" i="25"/>
  <c r="F118" i="25"/>
  <c r="I54" i="25"/>
  <c r="I70" i="25"/>
  <c r="I150" i="25"/>
  <c r="I50" i="25"/>
  <c r="I148" i="25"/>
  <c r="F84" i="25"/>
  <c r="F200" i="25"/>
  <c r="F51" i="25"/>
  <c r="F174" i="25"/>
  <c r="F114" i="25"/>
  <c r="I4" i="25"/>
  <c r="I169" i="25"/>
  <c r="I55" i="25"/>
  <c r="I174" i="25"/>
  <c r="F105" i="25"/>
  <c r="F106" i="25"/>
  <c r="I51" i="25"/>
  <c r="I203" i="25"/>
  <c r="F160" i="25"/>
  <c r="F221" i="25"/>
  <c r="F90" i="25"/>
  <c r="F113" i="25"/>
  <c r="I211" i="25"/>
  <c r="F94" i="25"/>
  <c r="J21" i="25" l="1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<sst xmlns="http://schemas.openxmlformats.org/spreadsheetml/2006/main" count="1036" uniqueCount="316">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</sst>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9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X1" workbookViewId="0">
      <selection activeCell="AH18" sqref="AH18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7" t="s">
        <v>228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75" t="s">
        <v>240</v>
      </c>
      <c r="AM1" s="376"/>
      <c r="AN1" s="376"/>
      <c r="AO1" s="376"/>
      <c r="AP1" s="376"/>
      <c r="AQ1" s="376"/>
      <c r="AR1" s="376"/>
      <c r="AS1" s="376"/>
      <c r="AT1" s="376"/>
      <c r="AU1" s="376"/>
      <c r="AV1" s="376"/>
      <c r="AW1" s="376"/>
      <c r="AX1" s="376"/>
      <c r="AY1" s="376"/>
      <c r="AZ1" s="376"/>
      <c r="BA1" s="376"/>
      <c r="BB1" s="376"/>
      <c r="BC1" s="376"/>
      <c r="BD1" s="376"/>
      <c r="BE1" s="376"/>
      <c r="BF1" s="376"/>
      <c r="BG1" s="376"/>
      <c r="BH1" s="376"/>
      <c r="BI1" s="376"/>
      <c r="BJ1" s="376"/>
      <c r="BK1" s="377"/>
    </row>
    <row r="2" spans="1:63" s="198" customFormat="1" ht="15.75" customHeight="1" x14ac:dyDescent="0.25">
      <c r="A2" s="373" t="s">
        <v>234</v>
      </c>
      <c r="B2" s="373"/>
      <c r="C2" s="374"/>
      <c r="D2" s="372" t="s">
        <v>62</v>
      </c>
      <c r="E2" s="373"/>
      <c r="F2" s="373"/>
      <c r="G2" s="373"/>
      <c r="H2" s="374"/>
      <c r="I2" s="379" t="s">
        <v>246</v>
      </c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1"/>
      <c r="U2" s="379" t="s">
        <v>269</v>
      </c>
      <c r="V2" s="380"/>
      <c r="W2" s="380"/>
      <c r="X2" s="380"/>
      <c r="Y2" s="380"/>
      <c r="Z2" s="380"/>
      <c r="AA2" s="381"/>
      <c r="AB2" s="379" t="s">
        <v>254</v>
      </c>
      <c r="AC2" s="380"/>
      <c r="AD2" s="380"/>
      <c r="AE2" s="380"/>
      <c r="AF2" s="380"/>
      <c r="AG2" s="380"/>
      <c r="AH2" s="380"/>
      <c r="AI2" s="380"/>
      <c r="AJ2" s="380"/>
      <c r="AK2" s="381"/>
      <c r="AL2" s="372" t="s">
        <v>239</v>
      </c>
      <c r="AM2" s="373"/>
      <c r="AN2" s="373"/>
      <c r="AO2" s="373"/>
      <c r="AP2" s="373"/>
      <c r="AQ2" s="373"/>
      <c r="AR2" s="374"/>
      <c r="AS2" s="372" t="s">
        <v>232</v>
      </c>
      <c r="AT2" s="373"/>
      <c r="AU2" s="373"/>
      <c r="AV2" s="373"/>
      <c r="AW2" s="373"/>
      <c r="AX2" s="373"/>
      <c r="AY2" s="373"/>
      <c r="AZ2" s="374"/>
      <c r="BA2" s="373" t="s">
        <v>233</v>
      </c>
      <c r="BB2" s="373"/>
      <c r="BC2" s="373"/>
      <c r="BD2" s="373"/>
      <c r="BE2" s="373"/>
      <c r="BF2" s="373"/>
      <c r="BG2" s="373"/>
      <c r="BH2" s="373"/>
      <c r="BI2" s="373"/>
      <c r="BJ2" s="373"/>
      <c r="BK2" s="374"/>
    </row>
    <row r="3" spans="1:63" ht="15.75" customHeight="1" x14ac:dyDescent="0.25">
      <c r="A3" s="327"/>
      <c r="B3" s="328" t="s">
        <v>69</v>
      </c>
      <c r="C3" s="329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0" t="s">
        <v>238</v>
      </c>
      <c r="AT3" s="378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2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9142</v>
      </c>
      <c r="G4" s="74">
        <v>5392</v>
      </c>
      <c r="H4" s="322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2">
        <v>25000000</v>
      </c>
      <c r="U4" s="316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6">
        <f t="shared" si="0"/>
        <v>140000000</v>
      </c>
      <c r="AB4" s="276" t="s">
        <v>9</v>
      </c>
      <c r="AC4" s="302">
        <v>6</v>
      </c>
      <c r="AD4" s="302">
        <v>6</v>
      </c>
      <c r="AE4" s="302">
        <v>6</v>
      </c>
      <c r="AF4" s="302">
        <v>6</v>
      </c>
      <c r="AG4" s="302">
        <v>6</v>
      </c>
      <c r="AH4" s="302">
        <v>6</v>
      </c>
      <c r="AI4" s="302">
        <v>6</v>
      </c>
      <c r="AJ4" s="302">
        <v>6</v>
      </c>
      <c r="AK4" s="303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10.981012658227847</v>
      </c>
      <c r="AQ4" s="257">
        <f>COUNT(D真龍!F:F)</f>
        <v>316</v>
      </c>
      <c r="AR4" s="114">
        <f>$B$5/AP4</f>
        <v>2.7319884726224788</v>
      </c>
      <c r="AS4" s="369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83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3">
        <v>30</v>
      </c>
      <c r="C5" s="330">
        <v>40</v>
      </c>
      <c r="D5" s="275" t="s">
        <v>7</v>
      </c>
      <c r="E5" s="71">
        <v>12142</v>
      </c>
      <c r="F5" s="71">
        <v>4000</v>
      </c>
      <c r="G5" s="71">
        <v>5389</v>
      </c>
      <c r="H5" s="323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2">
        <v>23800000</v>
      </c>
      <c r="U5" s="317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6">
        <f t="shared" si="2"/>
        <v>140000000</v>
      </c>
      <c r="AB5" s="275" t="s">
        <v>7</v>
      </c>
      <c r="AC5" s="304">
        <v>6</v>
      </c>
      <c r="AD5" s="304">
        <v>6</v>
      </c>
      <c r="AE5" s="304">
        <v>6</v>
      </c>
      <c r="AF5" s="304">
        <v>6</v>
      </c>
      <c r="AG5" s="304">
        <v>6</v>
      </c>
      <c r="AH5" s="304">
        <v>6</v>
      </c>
      <c r="AI5" s="304">
        <v>6</v>
      </c>
      <c r="AJ5" s="304">
        <v>6</v>
      </c>
      <c r="AK5" s="305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6.3196202531645564</v>
      </c>
      <c r="AQ5" s="257">
        <f>COUNT(D真龍!H:H)</f>
        <v>316</v>
      </c>
      <c r="AR5" s="114">
        <f>$B$5/AP5</f>
        <v>4.7471206810215323</v>
      </c>
      <c r="AS5" s="370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83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4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2">
        <v>22300000</v>
      </c>
      <c r="U6" s="318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6">
        <f t="shared" si="2"/>
        <v>140000000</v>
      </c>
      <c r="AB6" s="281" t="s">
        <v>6</v>
      </c>
      <c r="AC6" s="306">
        <v>6</v>
      </c>
      <c r="AD6" s="306">
        <v>6</v>
      </c>
      <c r="AE6" s="306">
        <v>6</v>
      </c>
      <c r="AF6" s="306">
        <v>6</v>
      </c>
      <c r="AG6" s="306">
        <v>6</v>
      </c>
      <c r="AH6" s="306">
        <v>6</v>
      </c>
      <c r="AI6" s="306">
        <v>6</v>
      </c>
      <c r="AJ6" s="306">
        <v>6</v>
      </c>
      <c r="AK6" s="307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0.40322580645161288</v>
      </c>
      <c r="AQ6" s="257">
        <f>COUNT(D真龍!G:G)</f>
        <v>124</v>
      </c>
      <c r="AR6" s="293">
        <f>$B$5/AP6</f>
        <v>74.400000000000006</v>
      </c>
      <c r="AS6" s="370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83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5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2">
        <v>19000000</v>
      </c>
      <c r="U7" s="319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6">
        <f t="shared" si="2"/>
        <v>140000000</v>
      </c>
      <c r="AB7" s="280" t="s">
        <v>4</v>
      </c>
      <c r="AC7" s="308">
        <v>6</v>
      </c>
      <c r="AD7" s="308">
        <v>6</v>
      </c>
      <c r="AE7" s="308">
        <v>6</v>
      </c>
      <c r="AF7" s="308">
        <v>6</v>
      </c>
      <c r="AG7" s="308">
        <v>6</v>
      </c>
      <c r="AH7" s="308">
        <v>6</v>
      </c>
      <c r="AI7" s="308">
        <v>6</v>
      </c>
      <c r="AJ7" s="308">
        <v>6</v>
      </c>
      <c r="AK7" s="309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0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83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6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2">
        <v>17500000</v>
      </c>
      <c r="U8" s="320" t="s">
        <v>3</v>
      </c>
      <c r="V8" s="321">
        <f t="shared" si="2"/>
        <v>2600</v>
      </c>
      <c r="W8" s="321">
        <f t="shared" si="2"/>
        <v>1840</v>
      </c>
      <c r="X8" s="321">
        <f t="shared" si="2"/>
        <v>480</v>
      </c>
      <c r="Y8" s="321">
        <f t="shared" si="2"/>
        <v>360</v>
      </c>
      <c r="Z8" s="321">
        <f t="shared" si="2"/>
        <v>304</v>
      </c>
      <c r="AA8" s="347">
        <f t="shared" si="2"/>
        <v>140000000</v>
      </c>
      <c r="AB8" s="267" t="s">
        <v>3</v>
      </c>
      <c r="AC8" s="310">
        <v>6</v>
      </c>
      <c r="AD8" s="310">
        <v>6</v>
      </c>
      <c r="AE8" s="310">
        <v>6</v>
      </c>
      <c r="AF8" s="310">
        <v>6</v>
      </c>
      <c r="AG8" s="310">
        <v>6</v>
      </c>
      <c r="AH8" s="310">
        <v>6</v>
      </c>
      <c r="AI8" s="310">
        <v>6</v>
      </c>
      <c r="AJ8" s="310">
        <v>6</v>
      </c>
      <c r="AK8" s="311">
        <v>0</v>
      </c>
      <c r="AL8" s="272" t="s">
        <v>68</v>
      </c>
      <c r="AM8" s="203">
        <f>AVERAGE(D真龍!K:K)</f>
        <v>9.0909090909090917</v>
      </c>
      <c r="AN8" s="256">
        <f>COUNT(D真龍!K:K)</f>
        <v>22</v>
      </c>
      <c r="AO8" s="203">
        <f>$C$4/AM8</f>
        <v>4.3999999999999995</v>
      </c>
      <c r="AP8" s="115">
        <f>AVERAGE(D真龍!Q:Q)</f>
        <v>12.028011204481793</v>
      </c>
      <c r="AQ8" s="257">
        <f>COUNT(D真龍!Q:Q)</f>
        <v>714</v>
      </c>
      <c r="AR8" s="114">
        <f>$C$5/AP8</f>
        <v>3.3255705635770845</v>
      </c>
      <c r="AS8" s="371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84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0" t="s">
        <v>235</v>
      </c>
      <c r="E9" s="378"/>
      <c r="F9" s="378"/>
      <c r="G9" s="387">
        <v>2230</v>
      </c>
      <c r="H9" s="388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2">
        <v>10000000</v>
      </c>
      <c r="U9" s="314"/>
      <c r="V9" s="299"/>
      <c r="W9" s="299"/>
      <c r="X9" s="299"/>
      <c r="Y9" s="299"/>
      <c r="Z9" s="299"/>
      <c r="AA9" s="299"/>
      <c r="AL9" s="272" t="s">
        <v>71</v>
      </c>
      <c r="AM9" s="203">
        <f>AVERAGE(D真龍!M:M) + AVERAGE(D真龍!O:O)</f>
        <v>5.5</v>
      </c>
      <c r="AN9" s="256">
        <f>COUNT(D真龍!M:M)</f>
        <v>22</v>
      </c>
      <c r="AO9" s="203">
        <f>$C$4/AM9</f>
        <v>7.2727272727272725</v>
      </c>
      <c r="AP9" s="115">
        <f>AVERAGE(D真龍!S:S)+AVERAGE(D真龍!U:U)</f>
        <v>6.9369747899159666</v>
      </c>
      <c r="AQ9" s="257">
        <f>COUNT(D真龍!S:S)</f>
        <v>714</v>
      </c>
      <c r="AR9" s="114">
        <f>$C$5/AP9</f>
        <v>5.7662023016353725</v>
      </c>
      <c r="AS9" s="369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82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3" t="s">
        <v>245</v>
      </c>
      <c r="E10" s="364"/>
      <c r="F10" s="365">
        <v>140138020</v>
      </c>
      <c r="G10" s="365"/>
      <c r="H10" s="366"/>
      <c r="I10" s="312">
        <v>6</v>
      </c>
      <c r="J10" s="313" t="s">
        <v>241</v>
      </c>
      <c r="K10" s="313" t="s">
        <v>241</v>
      </c>
      <c r="L10" s="313" t="s">
        <v>241</v>
      </c>
      <c r="M10" s="313" t="s">
        <v>241</v>
      </c>
      <c r="N10" s="313" t="s">
        <v>241</v>
      </c>
      <c r="O10" s="313">
        <v>0</v>
      </c>
      <c r="P10" s="313">
        <v>0</v>
      </c>
      <c r="Q10" s="313">
        <v>0</v>
      </c>
      <c r="R10" s="313">
        <v>0</v>
      </c>
      <c r="S10" s="313">
        <v>0</v>
      </c>
      <c r="T10" s="343">
        <v>0</v>
      </c>
      <c r="U10" s="314"/>
      <c r="V10" s="299"/>
      <c r="W10" s="299"/>
      <c r="X10" s="299"/>
      <c r="Y10" s="299"/>
      <c r="Z10" s="299"/>
      <c r="AA10" s="299"/>
      <c r="AL10" s="272" t="s">
        <v>72</v>
      </c>
      <c r="AM10" s="203">
        <f>AVERAGE(D真龍!N:N) + AVERAGE(D真龍!P:P)</f>
        <v>5</v>
      </c>
      <c r="AN10" s="256">
        <f>COUNT(D真龍!N:N)</f>
        <v>22</v>
      </c>
      <c r="AO10" s="203">
        <f>$C$4/AM10</f>
        <v>8</v>
      </c>
      <c r="AP10" s="115">
        <f>AVERAGE(D真龍!T:T)+AVERAGE(D真龍!V:V)</f>
        <v>6.9257703081232496</v>
      </c>
      <c r="AQ10" s="257">
        <f>COUNT(D真龍!T:T)</f>
        <v>714</v>
      </c>
      <c r="AR10" s="114">
        <f>$C$5/AP10</f>
        <v>5.7755308392315472</v>
      </c>
      <c r="AS10" s="370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83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6">
        <f>AVERAGE(D真龍!L:L)</f>
        <v>0.95238095238095233</v>
      </c>
      <c r="AN11" s="295">
        <f>COUNT(D真龍!L:L)</f>
        <v>21</v>
      </c>
      <c r="AO11" s="296">
        <f>$C$4/AM11</f>
        <v>42</v>
      </c>
      <c r="AP11" s="297">
        <f>AVERAGE(D真龍!R:R)</f>
        <v>1.152492668621701</v>
      </c>
      <c r="AQ11" s="269">
        <f>COUNT(D真龍!R:R)</f>
        <v>682</v>
      </c>
      <c r="AR11" s="298">
        <f>$C$5/AP11</f>
        <v>34.707379134860048</v>
      </c>
      <c r="AS11" s="370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83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70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83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71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83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69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84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70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82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1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83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83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69" t="s">
        <v>70</v>
      </c>
      <c r="AT18" s="222" t="s">
        <v>229</v>
      </c>
      <c r="AU18" s="391">
        <f>MAX(SUM(BC28:BK32) - G9 + SUM(Z4:Z8),0)</f>
        <v>0</v>
      </c>
      <c r="AV18" s="391"/>
      <c r="AW18" s="391"/>
      <c r="AX18" s="391"/>
      <c r="AY18" s="391"/>
      <c r="AZ18" s="392"/>
      <c r="BA18" s="383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70"/>
      <c r="AT19" s="185" t="s">
        <v>243</v>
      </c>
      <c r="AU19" s="361">
        <f>ROUNDUP(AU18/AP6,0)</f>
        <v>0</v>
      </c>
      <c r="AV19" s="361"/>
      <c r="AW19" s="361"/>
      <c r="AX19" s="361"/>
      <c r="AY19" s="361"/>
      <c r="AZ19" s="362"/>
      <c r="BA19" s="383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70"/>
      <c r="AT20" s="224" t="s">
        <v>244</v>
      </c>
      <c r="AU20" s="389">
        <f>ROUNDUP(AU18/AP11,0)</f>
        <v>0</v>
      </c>
      <c r="AV20" s="389"/>
      <c r="AW20" s="389"/>
      <c r="AX20" s="389"/>
      <c r="AY20" s="389"/>
      <c r="AZ20" s="390"/>
      <c r="BA20" s="384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85">
        <f>MAX(SUM(BC34:BK38) - F10 + SUM(AA4:AA8),0)</f>
        <v>659861980</v>
      </c>
      <c r="AV21" s="385"/>
      <c r="AW21" s="385"/>
      <c r="AX21" s="385"/>
      <c r="AY21" s="385"/>
      <c r="AZ21" s="386"/>
      <c r="BA21" s="382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3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83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83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83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84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82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3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83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83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83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84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82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3"/>
      <c r="BB34" s="286" t="s">
        <v>9</v>
      </c>
      <c r="BC34" s="332">
        <f t="shared" ref="BC34:BK38" si="8">IF(ISBLANK(AC4),0,VLOOKUP(AC4,$I$4:$T$10,12,FALSE))</f>
        <v>0</v>
      </c>
      <c r="BD34" s="332">
        <f t="shared" si="8"/>
        <v>0</v>
      </c>
      <c r="BE34" s="332">
        <f t="shared" si="8"/>
        <v>0</v>
      </c>
      <c r="BF34" s="332">
        <f t="shared" si="8"/>
        <v>0</v>
      </c>
      <c r="BG34" s="332">
        <f t="shared" si="8"/>
        <v>0</v>
      </c>
      <c r="BH34" s="332">
        <f t="shared" si="8"/>
        <v>0</v>
      </c>
      <c r="BI34" s="332">
        <f t="shared" si="8"/>
        <v>0</v>
      </c>
      <c r="BJ34" s="332">
        <f t="shared" si="8"/>
        <v>0</v>
      </c>
      <c r="BK34" s="333">
        <f t="shared" si="8"/>
        <v>25000000</v>
      </c>
    </row>
    <row r="35" spans="53:63" ht="15.75" customHeight="1" x14ac:dyDescent="0.25">
      <c r="BA35" s="383"/>
      <c r="BB35" s="287" t="s">
        <v>7</v>
      </c>
      <c r="BC35" s="334">
        <f t="shared" si="8"/>
        <v>0</v>
      </c>
      <c r="BD35" s="334">
        <f t="shared" si="8"/>
        <v>0</v>
      </c>
      <c r="BE35" s="334">
        <f t="shared" si="8"/>
        <v>0</v>
      </c>
      <c r="BF35" s="334">
        <f t="shared" si="8"/>
        <v>0</v>
      </c>
      <c r="BG35" s="334">
        <f t="shared" si="8"/>
        <v>0</v>
      </c>
      <c r="BH35" s="334">
        <f t="shared" si="8"/>
        <v>0</v>
      </c>
      <c r="BI35" s="334">
        <f t="shared" si="8"/>
        <v>0</v>
      </c>
      <c r="BJ35" s="334">
        <f t="shared" si="8"/>
        <v>0</v>
      </c>
      <c r="BK35" s="335">
        <f t="shared" si="8"/>
        <v>25000000</v>
      </c>
    </row>
    <row r="36" spans="53:63" ht="15.75" customHeight="1" x14ac:dyDescent="0.25">
      <c r="BA36" s="383"/>
      <c r="BB36" s="192" t="s">
        <v>6</v>
      </c>
      <c r="BC36" s="336">
        <f t="shared" si="8"/>
        <v>0</v>
      </c>
      <c r="BD36" s="336">
        <f t="shared" si="8"/>
        <v>0</v>
      </c>
      <c r="BE36" s="336">
        <f t="shared" si="8"/>
        <v>0</v>
      </c>
      <c r="BF36" s="336">
        <f t="shared" si="8"/>
        <v>0</v>
      </c>
      <c r="BG36" s="336">
        <f t="shared" si="8"/>
        <v>0</v>
      </c>
      <c r="BH36" s="336">
        <f t="shared" si="8"/>
        <v>0</v>
      </c>
      <c r="BI36" s="336">
        <f t="shared" si="8"/>
        <v>0</v>
      </c>
      <c r="BJ36" s="336">
        <f t="shared" si="8"/>
        <v>0</v>
      </c>
      <c r="BK36" s="337">
        <f t="shared" si="8"/>
        <v>25000000</v>
      </c>
    </row>
    <row r="37" spans="53:63" ht="15.75" customHeight="1" x14ac:dyDescent="0.25">
      <c r="BA37" s="383"/>
      <c r="BB37" s="288" t="s">
        <v>4</v>
      </c>
      <c r="BC37" s="338">
        <f t="shared" si="8"/>
        <v>0</v>
      </c>
      <c r="BD37" s="338">
        <f t="shared" si="8"/>
        <v>0</v>
      </c>
      <c r="BE37" s="338">
        <f t="shared" si="8"/>
        <v>0</v>
      </c>
      <c r="BF37" s="338">
        <f t="shared" si="8"/>
        <v>0</v>
      </c>
      <c r="BG37" s="338">
        <f t="shared" si="8"/>
        <v>0</v>
      </c>
      <c r="BH37" s="338">
        <f t="shared" si="8"/>
        <v>0</v>
      </c>
      <c r="BI37" s="338">
        <f t="shared" si="8"/>
        <v>0</v>
      </c>
      <c r="BJ37" s="338">
        <f t="shared" si="8"/>
        <v>0</v>
      </c>
      <c r="BK37" s="339">
        <f t="shared" si="8"/>
        <v>0</v>
      </c>
    </row>
    <row r="38" spans="53:63" ht="15.75" customHeight="1" x14ac:dyDescent="0.25">
      <c r="BA38" s="384"/>
      <c r="BB38" s="12" t="s">
        <v>3</v>
      </c>
      <c r="BC38" s="340">
        <f t="shared" si="8"/>
        <v>0</v>
      </c>
      <c r="BD38" s="340">
        <f t="shared" si="8"/>
        <v>0</v>
      </c>
      <c r="BE38" s="340">
        <f t="shared" si="8"/>
        <v>0</v>
      </c>
      <c r="BF38" s="340">
        <f t="shared" si="8"/>
        <v>0</v>
      </c>
      <c r="BG38" s="340">
        <f t="shared" si="8"/>
        <v>0</v>
      </c>
      <c r="BH38" s="340">
        <f t="shared" si="8"/>
        <v>0</v>
      </c>
      <c r="BI38" s="340">
        <f t="shared" si="8"/>
        <v>0</v>
      </c>
      <c r="BJ38" s="340">
        <f t="shared" si="8"/>
        <v>0</v>
      </c>
      <c r="BK38" s="341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3" t="s">
        <v>69</v>
      </c>
      <c r="B1" s="393"/>
      <c r="C1" s="393"/>
      <c r="D1" s="393"/>
      <c r="E1" s="393"/>
      <c r="F1" s="393"/>
      <c r="G1" s="393"/>
      <c r="H1" s="393"/>
      <c r="I1" s="393"/>
      <c r="J1" s="393"/>
      <c r="K1" s="393" t="s">
        <v>73</v>
      </c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21"/>
    </row>
    <row r="2" spans="1:23" s="178" customFormat="1" ht="15" customHeight="1" x14ac:dyDescent="0.25">
      <c r="A2" s="393" t="s">
        <v>223</v>
      </c>
      <c r="B2" s="393"/>
      <c r="C2" s="393"/>
      <c r="D2" s="393"/>
      <c r="E2" s="393"/>
      <c r="F2" s="393" t="s">
        <v>88</v>
      </c>
      <c r="G2" s="393"/>
      <c r="H2" s="393"/>
      <c r="I2" s="393"/>
      <c r="J2" s="393"/>
      <c r="K2" s="393" t="s">
        <v>223</v>
      </c>
      <c r="L2" s="393"/>
      <c r="M2" s="393"/>
      <c r="N2" s="393"/>
      <c r="O2" s="393"/>
      <c r="P2" s="393"/>
      <c r="Q2" s="393" t="s">
        <v>88</v>
      </c>
      <c r="R2" s="393"/>
      <c r="S2" s="393"/>
      <c r="T2" s="393"/>
      <c r="U2" s="393"/>
      <c r="V2" s="393"/>
      <c r="W2" s="21"/>
    </row>
    <row r="3" spans="1:23" s="178" customFormat="1" ht="15" customHeight="1" x14ac:dyDescent="0.25">
      <c r="A3" s="393" t="s">
        <v>221</v>
      </c>
      <c r="B3" s="393"/>
      <c r="C3" s="393"/>
      <c r="D3" s="393" t="s">
        <v>222</v>
      </c>
      <c r="E3" s="393"/>
      <c r="F3" s="393" t="s">
        <v>221</v>
      </c>
      <c r="G3" s="393"/>
      <c r="H3" s="393"/>
      <c r="I3" s="393" t="s">
        <v>222</v>
      </c>
      <c r="J3" s="393"/>
      <c r="K3" s="393" t="s">
        <v>221</v>
      </c>
      <c r="L3" s="393"/>
      <c r="M3" s="393"/>
      <c r="N3" s="393"/>
      <c r="O3" s="393" t="s">
        <v>222</v>
      </c>
      <c r="P3" s="393"/>
      <c r="Q3" s="393" t="s">
        <v>221</v>
      </c>
      <c r="R3" s="393"/>
      <c r="S3" s="393"/>
      <c r="T3" s="393"/>
      <c r="U3" s="393" t="s">
        <v>222</v>
      </c>
      <c r="V3" s="393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K7" s="173">
        <v>9</v>
      </c>
      <c r="L7" s="234">
        <v>1</v>
      </c>
      <c r="M7" s="173">
        <v>2</v>
      </c>
      <c r="N7" s="173">
        <v>4</v>
      </c>
      <c r="O7" s="173">
        <v>3</v>
      </c>
      <c r="P7" s="173">
        <v>1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K8" s="173">
        <v>9</v>
      </c>
      <c r="L8" s="234">
        <v>1</v>
      </c>
      <c r="M8" s="173">
        <v>3</v>
      </c>
      <c r="N8" s="173">
        <v>4</v>
      </c>
      <c r="O8" s="173">
        <v>2</v>
      </c>
      <c r="P8" s="173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K9" s="173">
        <v>9</v>
      </c>
      <c r="L9" s="234">
        <v>1</v>
      </c>
      <c r="M9" s="173">
        <v>3</v>
      </c>
      <c r="N9" s="173">
        <v>4</v>
      </c>
      <c r="O9" s="173">
        <v>3</v>
      </c>
      <c r="P9" s="173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K10" s="173">
        <v>9</v>
      </c>
      <c r="L10" s="234">
        <v>1</v>
      </c>
      <c r="M10" s="173">
        <v>2</v>
      </c>
      <c r="N10" s="173">
        <v>4</v>
      </c>
      <c r="O10" s="173">
        <v>3</v>
      </c>
      <c r="P10" s="173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K11" s="173">
        <v>10</v>
      </c>
      <c r="L11" s="234">
        <v>1</v>
      </c>
      <c r="M11" s="173">
        <v>3</v>
      </c>
      <c r="N11" s="173">
        <v>4</v>
      </c>
      <c r="O11" s="173">
        <v>2</v>
      </c>
      <c r="P11" s="173">
        <v>1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K12" s="173">
        <v>9</v>
      </c>
      <c r="L12" s="234">
        <v>1</v>
      </c>
      <c r="M12" s="173">
        <v>2</v>
      </c>
      <c r="N12" s="173">
        <v>4</v>
      </c>
      <c r="O12" s="173">
        <v>3</v>
      </c>
      <c r="P12" s="173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K13" s="173">
        <v>9</v>
      </c>
      <c r="L13" s="234">
        <v>1</v>
      </c>
      <c r="M13" s="173">
        <v>3</v>
      </c>
      <c r="N13" s="173">
        <v>4</v>
      </c>
      <c r="O13" s="173">
        <v>3</v>
      </c>
      <c r="P13" s="173">
        <v>1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K14" s="173">
        <v>9</v>
      </c>
      <c r="L14" s="234">
        <v>1</v>
      </c>
      <c r="M14" s="173">
        <v>3</v>
      </c>
      <c r="N14" s="173">
        <v>4</v>
      </c>
      <c r="O14" s="173">
        <v>3</v>
      </c>
      <c r="P14" s="173">
        <v>1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K15" s="173">
        <v>9</v>
      </c>
      <c r="L15" s="234">
        <v>1</v>
      </c>
      <c r="M15" s="173">
        <v>3</v>
      </c>
      <c r="N15" s="173">
        <v>4</v>
      </c>
      <c r="O15" s="173">
        <v>3</v>
      </c>
      <c r="P15" s="173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K16" s="173">
        <v>9</v>
      </c>
      <c r="L16" s="234">
        <v>1</v>
      </c>
      <c r="M16" s="173">
        <v>2</v>
      </c>
      <c r="N16" s="173">
        <v>4</v>
      </c>
      <c r="O16" s="173">
        <v>2</v>
      </c>
      <c r="P16" s="173">
        <v>1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K17" s="173">
        <v>9</v>
      </c>
      <c r="L17" s="234">
        <v>1</v>
      </c>
      <c r="M17" s="173">
        <v>3</v>
      </c>
      <c r="N17" s="173">
        <v>4</v>
      </c>
      <c r="O17" s="173">
        <v>3</v>
      </c>
      <c r="P17" s="173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K18" s="173">
        <v>9</v>
      </c>
      <c r="L18" s="234">
        <v>1</v>
      </c>
      <c r="M18" s="173">
        <v>2</v>
      </c>
      <c r="N18" s="173">
        <v>4</v>
      </c>
      <c r="O18" s="173">
        <v>3</v>
      </c>
      <c r="P18" s="173">
        <v>1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K19" s="173">
        <v>9</v>
      </c>
      <c r="L19" s="234">
        <v>0</v>
      </c>
      <c r="M19" s="173">
        <v>3</v>
      </c>
      <c r="N19" s="173">
        <v>4</v>
      </c>
      <c r="O19" s="173">
        <v>3</v>
      </c>
      <c r="P19" s="173">
        <v>1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K20" s="173">
        <v>9</v>
      </c>
      <c r="L20" s="234">
        <v>1</v>
      </c>
      <c r="M20" s="173">
        <v>3</v>
      </c>
      <c r="N20" s="173">
        <v>4</v>
      </c>
      <c r="O20" s="173">
        <v>3</v>
      </c>
      <c r="P20" s="173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K21" s="359">
        <v>9</v>
      </c>
      <c r="L21" s="359">
        <v>1</v>
      </c>
      <c r="M21" s="359">
        <v>3</v>
      </c>
      <c r="N21" s="359">
        <v>4</v>
      </c>
      <c r="O21" s="359">
        <v>3</v>
      </c>
      <c r="P21" s="359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K22" s="173">
        <v>9</v>
      </c>
      <c r="L22" s="234">
        <v>1</v>
      </c>
      <c r="M22" s="173">
        <v>3</v>
      </c>
      <c r="N22" s="173">
        <v>4</v>
      </c>
      <c r="O22" s="173">
        <v>3</v>
      </c>
      <c r="P22" s="173">
        <v>1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K23" s="173">
        <v>9</v>
      </c>
      <c r="L23" s="234">
        <v>1</v>
      </c>
      <c r="M23" s="173">
        <v>3</v>
      </c>
      <c r="N23" s="173">
        <v>4</v>
      </c>
      <c r="O23" s="173">
        <v>2</v>
      </c>
      <c r="P23" s="173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K24" s="173">
        <v>9</v>
      </c>
      <c r="L24" s="234">
        <v>1</v>
      </c>
      <c r="M24" s="173">
        <v>3</v>
      </c>
      <c r="N24" s="173">
        <v>4</v>
      </c>
      <c r="O24" s="173">
        <v>3</v>
      </c>
      <c r="P24" s="173">
        <v>1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K25" s="173">
        <v>10</v>
      </c>
      <c r="L25" s="234">
        <v>1</v>
      </c>
      <c r="M25" s="173">
        <v>3</v>
      </c>
      <c r="N25" s="173">
        <v>4</v>
      </c>
      <c r="O25" s="173">
        <v>3</v>
      </c>
      <c r="P25" s="173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K26" s="173">
        <v>9</v>
      </c>
      <c r="L26" s="234">
        <v>1</v>
      </c>
      <c r="M26" s="173">
        <v>3</v>
      </c>
      <c r="N26" s="173">
        <v>4</v>
      </c>
      <c r="O26" s="173">
        <v>3</v>
      </c>
      <c r="P26" s="173">
        <v>1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F320" s="173">
        <v>7</v>
      </c>
      <c r="G320" s="184">
        <v>1</v>
      </c>
      <c r="H320" s="173">
        <v>5</v>
      </c>
      <c r="I320" s="1">
        <v>3</v>
      </c>
      <c r="J320" s="1">
        <v>1</v>
      </c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  <row r="709" spans="17:22" x14ac:dyDescent="0.25">
      <c r="Q709" s="173">
        <v>13</v>
      </c>
      <c r="R709" s="184">
        <v>1</v>
      </c>
      <c r="S709" s="173">
        <v>4</v>
      </c>
      <c r="T709" s="173">
        <v>6</v>
      </c>
      <c r="U709" s="1">
        <v>3</v>
      </c>
      <c r="V709" s="1">
        <v>1</v>
      </c>
    </row>
    <row r="710" spans="17:22" x14ac:dyDescent="0.25">
      <c r="Q710" s="173">
        <v>11</v>
      </c>
      <c r="R710" s="184">
        <v>1</v>
      </c>
      <c r="S710" s="173">
        <v>3</v>
      </c>
      <c r="T710" s="173">
        <v>5</v>
      </c>
      <c r="U710" s="1">
        <v>4</v>
      </c>
      <c r="V710" s="1">
        <v>2</v>
      </c>
    </row>
    <row r="711" spans="17:22" x14ac:dyDescent="0.25">
      <c r="Q711" s="358">
        <v>11</v>
      </c>
      <c r="R711" s="358">
        <v>1</v>
      </c>
      <c r="S711" s="358">
        <v>3</v>
      </c>
      <c r="T711" s="358">
        <v>5</v>
      </c>
      <c r="U711" s="358">
        <v>4</v>
      </c>
      <c r="V711" s="358">
        <v>2</v>
      </c>
    </row>
    <row r="712" spans="17:22" x14ac:dyDescent="0.25">
      <c r="Q712" s="173">
        <v>12</v>
      </c>
      <c r="R712" s="184">
        <v>1</v>
      </c>
      <c r="S712" s="173">
        <v>4</v>
      </c>
      <c r="T712" s="173">
        <v>5</v>
      </c>
      <c r="U712" s="1">
        <v>4</v>
      </c>
      <c r="V712" s="1">
        <v>2</v>
      </c>
    </row>
    <row r="713" spans="17:22" x14ac:dyDescent="0.25">
      <c r="Q713" s="173">
        <v>11</v>
      </c>
      <c r="R713" s="184">
        <v>1</v>
      </c>
      <c r="S713" s="173">
        <v>3</v>
      </c>
      <c r="T713" s="173">
        <v>5</v>
      </c>
      <c r="U713" s="1">
        <v>3</v>
      </c>
      <c r="V713" s="1">
        <v>2</v>
      </c>
    </row>
    <row r="714" spans="17:22" x14ac:dyDescent="0.25">
      <c r="Q714" s="173">
        <v>13</v>
      </c>
      <c r="R714" s="184">
        <v>2</v>
      </c>
      <c r="S714" s="173">
        <v>4</v>
      </c>
      <c r="T714" s="173">
        <v>5</v>
      </c>
      <c r="U714" s="1">
        <v>4</v>
      </c>
      <c r="V714" s="1">
        <v>1</v>
      </c>
    </row>
    <row r="715" spans="17:22" x14ac:dyDescent="0.25">
      <c r="Q715" s="173">
        <v>11</v>
      </c>
      <c r="R715" s="234">
        <v>2</v>
      </c>
      <c r="S715" s="173">
        <v>3</v>
      </c>
      <c r="T715" s="173">
        <v>6</v>
      </c>
      <c r="U715" s="173">
        <v>3</v>
      </c>
      <c r="V715" s="173">
        <v>2</v>
      </c>
    </row>
    <row r="716" spans="17:22" x14ac:dyDescent="0.25">
      <c r="Q716" s="173">
        <v>12</v>
      </c>
      <c r="R716" s="234">
        <v>1</v>
      </c>
      <c r="S716" s="173">
        <v>3</v>
      </c>
      <c r="T716" s="173">
        <v>6</v>
      </c>
      <c r="U716" s="173">
        <v>4</v>
      </c>
      <c r="V716" s="173">
        <v>1</v>
      </c>
    </row>
    <row r="717" spans="17:22" x14ac:dyDescent="0.25">
      <c r="Q717" s="173">
        <v>12</v>
      </c>
      <c r="R717" s="234">
        <v>2</v>
      </c>
      <c r="S717" s="173">
        <v>3</v>
      </c>
      <c r="T717" s="173">
        <v>5</v>
      </c>
      <c r="U717" s="173">
        <v>4</v>
      </c>
      <c r="V717" s="173">
        <v>2</v>
      </c>
    </row>
    <row r="718" spans="17:22" x14ac:dyDescent="0.25">
      <c r="Q718" s="173">
        <v>12</v>
      </c>
      <c r="R718" s="184">
        <v>2</v>
      </c>
      <c r="S718" s="173">
        <v>3</v>
      </c>
      <c r="T718" s="173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zoomScaleNormal="100" workbookViewId="0">
      <selection activeCell="I2" sqref="I2:V15"/>
    </sheetView>
  </sheetViews>
  <sheetFormatPr defaultRowHeight="15.75" customHeight="1" x14ac:dyDescent="0.25"/>
  <cols>
    <col min="1" max="1" width="7.140625" style="277" customWidth="1"/>
    <col min="2" max="2" width="7.140625" style="300" customWidth="1"/>
    <col min="3" max="3" width="7.140625" style="277" customWidth="1"/>
    <col min="4" max="4" width="7.140625" style="278" customWidth="1"/>
    <col min="5" max="5" width="5.425781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5" style="76" customWidth="1"/>
    <col min="24" max="28" width="5.5703125" style="285" customWidth="1"/>
    <col min="29" max="29" width="7.85546875" style="285" customWidth="1"/>
    <col min="30" max="30" width="5.1406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7" t="s">
        <v>228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75" t="s">
        <v>240</v>
      </c>
      <c r="AO1" s="376"/>
      <c r="AP1" s="376"/>
      <c r="AQ1" s="376"/>
      <c r="AR1" s="376"/>
      <c r="AS1" s="376"/>
      <c r="AT1" s="376"/>
      <c r="AU1" s="376"/>
      <c r="AV1" s="376"/>
      <c r="AW1" s="376"/>
      <c r="AX1" s="376"/>
      <c r="AY1" s="376"/>
      <c r="AZ1" s="376"/>
      <c r="BA1" s="376"/>
      <c r="BB1" s="376"/>
      <c r="BC1" s="376"/>
      <c r="BD1" s="376"/>
      <c r="BE1" s="376"/>
      <c r="BF1" s="376"/>
      <c r="BG1" s="376"/>
      <c r="BH1" s="376"/>
      <c r="BI1" s="376"/>
      <c r="BJ1" s="376"/>
      <c r="BK1" s="376"/>
      <c r="BL1" s="376"/>
      <c r="BM1" s="377"/>
    </row>
    <row r="2" spans="1:65" s="198" customFormat="1" ht="15.75" customHeight="1" x14ac:dyDescent="0.25">
      <c r="A2" s="379" t="s">
        <v>234</v>
      </c>
      <c r="B2" s="380"/>
      <c r="C2" s="380"/>
      <c r="D2" s="381"/>
      <c r="E2" s="379" t="s">
        <v>62</v>
      </c>
      <c r="F2" s="380"/>
      <c r="G2" s="380"/>
      <c r="H2" s="381"/>
      <c r="I2" s="379" t="s">
        <v>246</v>
      </c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1"/>
      <c r="W2" s="379" t="s">
        <v>269</v>
      </c>
      <c r="X2" s="380"/>
      <c r="Y2" s="380"/>
      <c r="Z2" s="380"/>
      <c r="AA2" s="380"/>
      <c r="AB2" s="380"/>
      <c r="AC2" s="381"/>
      <c r="AD2" s="379" t="s">
        <v>254</v>
      </c>
      <c r="AE2" s="380"/>
      <c r="AF2" s="380"/>
      <c r="AG2" s="380"/>
      <c r="AH2" s="380"/>
      <c r="AI2" s="380"/>
      <c r="AJ2" s="380"/>
      <c r="AK2" s="380"/>
      <c r="AL2" s="380"/>
      <c r="AM2" s="381"/>
      <c r="AN2" s="372" t="s">
        <v>239</v>
      </c>
      <c r="AO2" s="373"/>
      <c r="AP2" s="373"/>
      <c r="AQ2" s="373"/>
      <c r="AR2" s="373"/>
      <c r="AS2" s="373"/>
      <c r="AT2" s="374"/>
      <c r="AU2" s="372" t="s">
        <v>232</v>
      </c>
      <c r="AV2" s="373"/>
      <c r="AW2" s="373"/>
      <c r="AX2" s="373"/>
      <c r="AY2" s="373"/>
      <c r="AZ2" s="373"/>
      <c r="BA2" s="373"/>
      <c r="BB2" s="374"/>
      <c r="BC2" s="373" t="s">
        <v>233</v>
      </c>
      <c r="BD2" s="373"/>
      <c r="BE2" s="373"/>
      <c r="BF2" s="373"/>
      <c r="BG2" s="373"/>
      <c r="BH2" s="373"/>
      <c r="BI2" s="373"/>
      <c r="BJ2" s="373"/>
      <c r="BK2" s="373"/>
      <c r="BL2" s="373"/>
      <c r="BM2" s="374"/>
    </row>
    <row r="3" spans="1:65" ht="15.75" customHeight="1" x14ac:dyDescent="0.25">
      <c r="A3" s="300"/>
      <c r="B3" s="345" t="s">
        <v>67</v>
      </c>
      <c r="C3" s="183" t="s">
        <v>69</v>
      </c>
      <c r="D3" s="199" t="s">
        <v>73</v>
      </c>
      <c r="E3" s="315"/>
      <c r="F3" s="301" t="s">
        <v>20</v>
      </c>
      <c r="G3" s="301" t="s">
        <v>19</v>
      </c>
      <c r="H3" s="301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4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0" t="s">
        <v>238</v>
      </c>
      <c r="AV3" s="378"/>
      <c r="AW3" s="286" t="s">
        <v>300</v>
      </c>
      <c r="AX3" s="287" t="s">
        <v>301</v>
      </c>
      <c r="AY3" s="192" t="s">
        <v>302</v>
      </c>
      <c r="AZ3" s="288" t="s">
        <v>303</v>
      </c>
      <c r="BA3" s="75" t="s">
        <v>304</v>
      </c>
      <c r="BB3" s="227" t="s">
        <v>66</v>
      </c>
      <c r="BC3" s="382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1"/>
      <c r="C4" s="277">
        <v>30</v>
      </c>
      <c r="D4" s="278">
        <v>40</v>
      </c>
      <c r="E4" s="276" t="s">
        <v>300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2">
        <v>52500000</v>
      </c>
      <c r="W4" s="316" t="s">
        <v>300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6">
        <v>0</v>
      </c>
      <c r="AD4" s="276" t="s">
        <v>305</v>
      </c>
      <c r="AE4" s="302">
        <v>8</v>
      </c>
      <c r="AF4" s="302">
        <v>8</v>
      </c>
      <c r="AG4" s="302">
        <v>8</v>
      </c>
      <c r="AH4" s="302">
        <v>8</v>
      </c>
      <c r="AI4" s="302">
        <v>8</v>
      </c>
      <c r="AJ4" s="302">
        <v>8</v>
      </c>
      <c r="AK4" s="302">
        <v>8</v>
      </c>
      <c r="AL4" s="302">
        <v>8</v>
      </c>
      <c r="AM4" s="303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9" t="s">
        <v>20</v>
      </c>
      <c r="AV4" s="222" t="s">
        <v>229</v>
      </c>
      <c r="AW4" s="208">
        <f>MAX(SUM(BE5:BM5) - F4 + X4,0)</f>
        <v>0</v>
      </c>
      <c r="AX4" s="209">
        <f>MAX(SUM(BE6:BM6) - F5 + X5,0)</f>
        <v>0</v>
      </c>
      <c r="AY4" s="210">
        <f>MAX(SUM(BE4:BM4) - F6 + X6,0)</f>
        <v>0</v>
      </c>
      <c r="AZ4" s="211">
        <f>MAX(SUM(BE8:BM8) - F7 + X7,0)</f>
        <v>0</v>
      </c>
      <c r="BA4" s="223">
        <f>MAX(SUM(BE7:BM7) - F8 + X8,0)</f>
        <v>576</v>
      </c>
      <c r="BB4" s="228">
        <f t="shared" ref="BB4:BB9" si="0">SUM(AW4:BA4)</f>
        <v>576</v>
      </c>
      <c r="BC4" s="383"/>
      <c r="BD4" s="286" t="s">
        <v>305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3">
        <v>30</v>
      </c>
      <c r="D5" s="330">
        <v>40</v>
      </c>
      <c r="E5" s="275" t="s">
        <v>301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2">
        <v>50500000</v>
      </c>
      <c r="W5" s="317" t="s">
        <v>301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6">
        <v>0</v>
      </c>
      <c r="AD5" s="275" t="s">
        <v>306</v>
      </c>
      <c r="AE5" s="304">
        <v>2</v>
      </c>
      <c r="AF5" s="304">
        <v>2</v>
      </c>
      <c r="AG5" s="304">
        <v>2</v>
      </c>
      <c r="AH5" s="304">
        <v>2</v>
      </c>
      <c r="AI5" s="304">
        <v>2</v>
      </c>
      <c r="AJ5" s="304">
        <v>2</v>
      </c>
      <c r="AK5" s="304">
        <v>2</v>
      </c>
      <c r="AL5" s="304">
        <v>2</v>
      </c>
      <c r="AM5" s="305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0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83"/>
      <c r="BD5" s="287" t="s">
        <v>306</v>
      </c>
      <c r="BE5" s="33">
        <f t="shared" si="1"/>
        <v>180</v>
      </c>
      <c r="BF5" s="33">
        <f t="shared" si="1"/>
        <v>180</v>
      </c>
      <c r="BG5" s="33">
        <f t="shared" si="1"/>
        <v>180</v>
      </c>
      <c r="BH5" s="33">
        <f t="shared" si="1"/>
        <v>180</v>
      </c>
      <c r="BI5" s="33">
        <f t="shared" si="1"/>
        <v>180</v>
      </c>
      <c r="BJ5" s="33">
        <f t="shared" si="1"/>
        <v>180</v>
      </c>
      <c r="BK5" s="33">
        <f t="shared" si="1"/>
        <v>180</v>
      </c>
      <c r="BL5" s="33">
        <f t="shared" si="1"/>
        <v>180</v>
      </c>
      <c r="BM5" s="194">
        <f t="shared" si="1"/>
        <v>380</v>
      </c>
    </row>
    <row r="6" spans="1:65" ht="15.75" customHeight="1" x14ac:dyDescent="0.25">
      <c r="E6" s="281" t="s">
        <v>302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2">
        <v>42500000</v>
      </c>
      <c r="W6" s="318" t="s">
        <v>302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6">
        <v>0</v>
      </c>
      <c r="AD6" s="281" t="s">
        <v>307</v>
      </c>
      <c r="AE6" s="306">
        <v>8</v>
      </c>
      <c r="AF6" s="306">
        <v>8</v>
      </c>
      <c r="AG6" s="306">
        <v>8</v>
      </c>
      <c r="AH6" s="306">
        <v>8</v>
      </c>
      <c r="AI6" s="306">
        <v>8</v>
      </c>
      <c r="AJ6" s="306">
        <v>8</v>
      </c>
      <c r="AK6" s="306">
        <v>8</v>
      </c>
      <c r="AL6" s="306">
        <v>8</v>
      </c>
      <c r="AM6" s="307">
        <v>0</v>
      </c>
      <c r="AN6" s="315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3.3333333333333335</v>
      </c>
      <c r="AS6" s="257">
        <f>COUNT(D咢牙!G:G)</f>
        <v>9</v>
      </c>
      <c r="AT6" s="293">
        <f>$C$5/AR6</f>
        <v>9</v>
      </c>
      <c r="AU6" s="37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83"/>
      <c r="BD6" s="192" t="s">
        <v>307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303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2">
        <v>48000000</v>
      </c>
      <c r="W7" s="319" t="s">
        <v>303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6">
        <v>0</v>
      </c>
      <c r="AD7" s="280" t="s">
        <v>308</v>
      </c>
      <c r="AE7" s="308">
        <v>2</v>
      </c>
      <c r="AF7" s="308">
        <v>2</v>
      </c>
      <c r="AG7" s="308">
        <v>2</v>
      </c>
      <c r="AH7" s="308">
        <v>2</v>
      </c>
      <c r="AI7" s="308">
        <v>2</v>
      </c>
      <c r="AJ7" s="308">
        <v>2</v>
      </c>
      <c r="AK7" s="308">
        <v>2</v>
      </c>
      <c r="AL7" s="308">
        <v>2</v>
      </c>
      <c r="AM7" s="309">
        <v>2</v>
      </c>
      <c r="AN7" s="315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7.875</v>
      </c>
      <c r="AS7" s="257">
        <f>COUNT(D咢牙!H:H)</f>
        <v>9</v>
      </c>
      <c r="AT7" s="293">
        <f>$C$5/AR7</f>
        <v>3.8095238095238093</v>
      </c>
      <c r="AU7" s="370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173</v>
      </c>
      <c r="BB7" s="229">
        <f t="shared" si="0"/>
        <v>173</v>
      </c>
      <c r="BC7" s="383"/>
      <c r="BD7" s="288" t="s">
        <v>308</v>
      </c>
      <c r="BE7" s="130">
        <f t="shared" si="1"/>
        <v>180</v>
      </c>
      <c r="BF7" s="130">
        <f t="shared" si="1"/>
        <v>180</v>
      </c>
      <c r="BG7" s="130">
        <f t="shared" si="1"/>
        <v>180</v>
      </c>
      <c r="BH7" s="130">
        <f t="shared" si="1"/>
        <v>180</v>
      </c>
      <c r="BI7" s="130">
        <f t="shared" si="1"/>
        <v>180</v>
      </c>
      <c r="BJ7" s="130">
        <f t="shared" si="1"/>
        <v>180</v>
      </c>
      <c r="BK7" s="130">
        <f t="shared" si="1"/>
        <v>180</v>
      </c>
      <c r="BL7" s="130">
        <f t="shared" si="1"/>
        <v>180</v>
      </c>
      <c r="BM7" s="196">
        <f t="shared" si="1"/>
        <v>180</v>
      </c>
    </row>
    <row r="8" spans="1:65" ht="15.75" customHeight="1" x14ac:dyDescent="0.25">
      <c r="E8" s="279" t="s">
        <v>304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2">
        <v>40000000</v>
      </c>
      <c r="W8" s="320" t="s">
        <v>304</v>
      </c>
      <c r="X8" s="321">
        <v>0</v>
      </c>
      <c r="Y8" s="321">
        <v>0</v>
      </c>
      <c r="Z8" s="321">
        <v>0</v>
      </c>
      <c r="AA8" s="321">
        <v>0</v>
      </c>
      <c r="AB8" s="321">
        <v>0</v>
      </c>
      <c r="AC8" s="347">
        <v>0</v>
      </c>
      <c r="AD8" s="267" t="s">
        <v>309</v>
      </c>
      <c r="AE8" s="310">
        <v>8</v>
      </c>
      <c r="AF8" s="310">
        <v>8</v>
      </c>
      <c r="AG8" s="310">
        <v>8</v>
      </c>
      <c r="AH8" s="310">
        <v>8</v>
      </c>
      <c r="AI8" s="310">
        <v>8</v>
      </c>
      <c r="AJ8" s="310">
        <v>8</v>
      </c>
      <c r="AK8" s="310">
        <v>8</v>
      </c>
      <c r="AL8" s="310">
        <v>8</v>
      </c>
      <c r="AM8" s="311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1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1730</v>
      </c>
      <c r="BB8" s="231">
        <f t="shared" si="0"/>
        <v>1730</v>
      </c>
      <c r="BC8" s="384"/>
      <c r="BD8" s="12" t="s">
        <v>309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70" t="s">
        <v>235</v>
      </c>
      <c r="F9" s="378"/>
      <c r="G9" s="378"/>
      <c r="H9" s="300">
        <v>4881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2">
        <v>32500000</v>
      </c>
      <c r="W9" s="314"/>
      <c r="X9" s="299"/>
      <c r="Y9" s="299"/>
      <c r="Z9" s="299"/>
      <c r="AA9" s="299"/>
      <c r="AB9" s="299"/>
      <c r="AC9" s="299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3.4814814814814814</v>
      </c>
      <c r="AS9" s="257">
        <f>COUNT(D咢牙!M:M)</f>
        <v>27</v>
      </c>
      <c r="AT9" s="114">
        <f>$D$5/AR9</f>
        <v>11.48936170212766</v>
      </c>
      <c r="AU9" s="369" t="s">
        <v>19</v>
      </c>
      <c r="AV9" s="222" t="s">
        <v>229</v>
      </c>
      <c r="AW9" s="208">
        <f>MAX(SUM(BE11:BM11) - G4 + Y4,0)</f>
        <v>18</v>
      </c>
      <c r="AX9" s="209">
        <f>MAX(SUM(BE12:BM12) - G5 + Y5,0)</f>
        <v>0</v>
      </c>
      <c r="AY9" s="210">
        <f>MAX(SUM(BE10:BM10) - G6 + Y6,0)</f>
        <v>0</v>
      </c>
      <c r="AZ9" s="211">
        <f>MAX(SUM(BE14:BM14) - G7 + Y7,0)</f>
        <v>0</v>
      </c>
      <c r="BA9" s="223">
        <f>MAX(SUM(BE13:BM13) - G8 + Y8,0)</f>
        <v>422</v>
      </c>
      <c r="BB9" s="228">
        <f t="shared" si="0"/>
        <v>440</v>
      </c>
      <c r="BC9" s="382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0" t="s">
        <v>279</v>
      </c>
      <c r="F10" s="378"/>
      <c r="G10" s="396">
        <v>160</v>
      </c>
      <c r="H10" s="397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2">
        <v>22500000</v>
      </c>
      <c r="W10" s="314"/>
      <c r="AC10" s="299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5.4444444444444446</v>
      </c>
      <c r="AS10" s="257">
        <f>COUNT(D咢牙!N:N)</f>
        <v>27</v>
      </c>
      <c r="AT10" s="114">
        <f>$D$5/AR10</f>
        <v>7.3469387755102042</v>
      </c>
      <c r="AU10" s="370"/>
      <c r="AV10" s="274" t="s">
        <v>76</v>
      </c>
      <c r="AW10" s="74">
        <f>ROUNDUP(AW9/$AR$7,0)</f>
        <v>3</v>
      </c>
      <c r="AX10" s="71">
        <f t="shared" ref="AX10:BA10" si="2">ROUNDUP(AX9/$AR$7,0)</f>
        <v>0</v>
      </c>
      <c r="AY10" s="72">
        <f t="shared" si="2"/>
        <v>0</v>
      </c>
      <c r="AZ10" s="131">
        <f t="shared" si="2"/>
        <v>0</v>
      </c>
      <c r="BA10" s="73">
        <f t="shared" si="2"/>
        <v>54</v>
      </c>
      <c r="BB10" s="229">
        <f t="shared" ref="BB10:BB16" si="3">SUM(AW10:BA10)</f>
        <v>57</v>
      </c>
      <c r="BC10" s="383"/>
      <c r="BD10" s="286" t="s">
        <v>305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63" t="s">
        <v>245</v>
      </c>
      <c r="F11" s="364"/>
      <c r="G11" s="365">
        <v>769775559</v>
      </c>
      <c r="H11" s="365"/>
      <c r="I11" s="314">
        <v>7</v>
      </c>
      <c r="J11" s="357" t="s">
        <v>241</v>
      </c>
      <c r="K11" s="357" t="s">
        <v>241</v>
      </c>
      <c r="L11" s="357" t="s">
        <v>241</v>
      </c>
      <c r="M11" s="357" t="s">
        <v>241</v>
      </c>
      <c r="N11" s="357" t="s">
        <v>241</v>
      </c>
      <c r="O11" s="357" t="s">
        <v>230</v>
      </c>
      <c r="P11" s="357" t="s">
        <v>241</v>
      </c>
      <c r="Q11" s="357">
        <v>100</v>
      </c>
      <c r="R11" s="357">
        <v>100</v>
      </c>
      <c r="S11" s="357">
        <v>14</v>
      </c>
      <c r="T11" s="357">
        <v>0</v>
      </c>
      <c r="U11" s="357">
        <v>30</v>
      </c>
      <c r="V11" s="342">
        <v>10000000</v>
      </c>
      <c r="AN11" s="273" t="s">
        <v>70</v>
      </c>
      <c r="AO11" s="296">
        <f>AVERAGE(D咢牙!L:L)</f>
        <v>1.4444444444444444</v>
      </c>
      <c r="AP11" s="295">
        <f>COUNT(D咢牙!L:L)</f>
        <v>18</v>
      </c>
      <c r="AQ11" s="296">
        <f>$D$4/AO11</f>
        <v>27.692307692307693</v>
      </c>
      <c r="AR11" s="297">
        <f>AVERAGE(D咢牙!O:O)</f>
        <v>1.9259259259259258</v>
      </c>
      <c r="AS11" s="269">
        <f>COUNT(D咢牙!O:O)</f>
        <v>27</v>
      </c>
      <c r="AT11" s="298">
        <f>$D$5/AR11</f>
        <v>20.76923076923077</v>
      </c>
      <c r="AU11" s="370"/>
      <c r="AV11" s="274" t="s">
        <v>236</v>
      </c>
      <c r="AW11" s="204">
        <f>ROUNDUP(AW10/(RECOVER_AP / $C$5)*RECOVER_DIAMS,0)</f>
        <v>23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405</v>
      </c>
      <c r="BB11" s="230">
        <f t="shared" si="3"/>
        <v>428</v>
      </c>
      <c r="BC11" s="383"/>
      <c r="BD11" s="287" t="s">
        <v>306</v>
      </c>
      <c r="BE11" s="33">
        <f t="shared" si="4"/>
        <v>150</v>
      </c>
      <c r="BF11" s="33">
        <f t="shared" si="4"/>
        <v>150</v>
      </c>
      <c r="BG11" s="33">
        <f t="shared" si="4"/>
        <v>150</v>
      </c>
      <c r="BH11" s="33">
        <f t="shared" si="4"/>
        <v>150</v>
      </c>
      <c r="BI11" s="33">
        <f t="shared" si="4"/>
        <v>150</v>
      </c>
      <c r="BJ11" s="33">
        <f t="shared" si="4"/>
        <v>150</v>
      </c>
      <c r="BK11" s="33">
        <f t="shared" si="4"/>
        <v>150</v>
      </c>
      <c r="BL11" s="33">
        <f t="shared" si="4"/>
        <v>150</v>
      </c>
      <c r="BM11" s="194">
        <f t="shared" si="4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2">
        <v>0</v>
      </c>
      <c r="AU12" s="370"/>
      <c r="AV12" s="274" t="s">
        <v>116</v>
      </c>
      <c r="AW12" s="74">
        <f>ROUNDUP(AW9/$AR$9,0)</f>
        <v>6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122</v>
      </c>
      <c r="BB12" s="229">
        <f t="shared" si="3"/>
        <v>128</v>
      </c>
      <c r="BC12" s="383"/>
      <c r="BD12" s="192" t="s">
        <v>307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3">
        <f t="shared" si="4"/>
        <v>0</v>
      </c>
      <c r="BL12" s="193">
        <f t="shared" si="4"/>
        <v>0</v>
      </c>
      <c r="BM12" s="195">
        <f t="shared" si="4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2">
        <v>10000000</v>
      </c>
      <c r="AU13" s="371"/>
      <c r="AV13" s="224" t="s">
        <v>237</v>
      </c>
      <c r="AW13" s="216">
        <f>ROUNDUP(AW10/(RECOVER_AP / $D$5)*RECOVER_DIAMS,0)</f>
        <v>30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540</v>
      </c>
      <c r="BB13" s="231">
        <f t="shared" si="3"/>
        <v>570</v>
      </c>
      <c r="BC13" s="383"/>
      <c r="BD13" s="288" t="s">
        <v>308</v>
      </c>
      <c r="BE13" s="130">
        <f t="shared" si="4"/>
        <v>150</v>
      </c>
      <c r="BF13" s="130">
        <f t="shared" si="4"/>
        <v>150</v>
      </c>
      <c r="BG13" s="130">
        <f t="shared" si="4"/>
        <v>150</v>
      </c>
      <c r="BH13" s="130">
        <f t="shared" si="4"/>
        <v>150</v>
      </c>
      <c r="BI13" s="130">
        <f t="shared" si="4"/>
        <v>150</v>
      </c>
      <c r="BJ13" s="130">
        <f t="shared" si="4"/>
        <v>150</v>
      </c>
      <c r="BK13" s="130">
        <f t="shared" si="4"/>
        <v>150</v>
      </c>
      <c r="BL13" s="130">
        <f t="shared" si="4"/>
        <v>150</v>
      </c>
      <c r="BM13" s="196">
        <f t="shared" si="4"/>
        <v>150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2">
        <v>8000000</v>
      </c>
      <c r="AU14" s="369" t="s">
        <v>114</v>
      </c>
      <c r="AV14" s="222" t="s">
        <v>229</v>
      </c>
      <c r="AW14" s="208">
        <f>MAX(SUM(BE17:BM17) - H4 + Z4,0)</f>
        <v>441</v>
      </c>
      <c r="AX14" s="209">
        <f>MAX(SUM(BE18:BM18) - H5 + Z5,0)</f>
        <v>0</v>
      </c>
      <c r="AY14" s="210">
        <f>MAX(SUM(BE16:BM16) - H6 + Z6,0)</f>
        <v>0</v>
      </c>
      <c r="AZ14" s="211">
        <f>MAX(SUM(BE20:BM20) - H7 + Z7,0)</f>
        <v>0</v>
      </c>
      <c r="BA14" s="223">
        <f>MAX(SUM(BE19:BM19) - H8 + Z8,0)</f>
        <v>441</v>
      </c>
      <c r="BB14" s="228">
        <f t="shared" si="3"/>
        <v>882</v>
      </c>
      <c r="BC14" s="384"/>
      <c r="BD14" s="12" t="s">
        <v>309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13">
        <f t="shared" si="4"/>
        <v>300</v>
      </c>
    </row>
    <row r="15" spans="1:65" ht="15.75" customHeight="1" x14ac:dyDescent="0.25">
      <c r="I15" s="312">
        <v>23</v>
      </c>
      <c r="J15" s="313" t="s">
        <v>230</v>
      </c>
      <c r="K15" s="313" t="s">
        <v>241</v>
      </c>
      <c r="L15" s="313" t="s">
        <v>241</v>
      </c>
      <c r="M15" s="313" t="s">
        <v>230</v>
      </c>
      <c r="N15" s="313" t="s">
        <v>230</v>
      </c>
      <c r="O15" s="313" t="s">
        <v>230</v>
      </c>
      <c r="P15" s="313" t="s">
        <v>230</v>
      </c>
      <c r="Q15" s="313">
        <v>0</v>
      </c>
      <c r="R15" s="313">
        <v>0</v>
      </c>
      <c r="S15" s="313">
        <v>0</v>
      </c>
      <c r="T15" s="313">
        <v>0</v>
      </c>
      <c r="U15" s="313">
        <v>0</v>
      </c>
      <c r="V15" s="343">
        <v>0</v>
      </c>
      <c r="AU15" s="370"/>
      <c r="AV15" s="274" t="s">
        <v>116</v>
      </c>
      <c r="AW15" s="74">
        <f>ROUNDUP(AW14/$AR$10,0)</f>
        <v>81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81</v>
      </c>
      <c r="BB15" s="229">
        <f t="shared" si="3"/>
        <v>162</v>
      </c>
      <c r="BC15" s="382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1"/>
      <c r="AV16" s="224" t="s">
        <v>237</v>
      </c>
      <c r="AW16" s="216">
        <f>ROUNDUP(AW15/(RECOVER_AP / $D$5)*RECOVER_DIAMS,0)</f>
        <v>810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810</v>
      </c>
      <c r="BB16" s="231">
        <f t="shared" si="3"/>
        <v>1620</v>
      </c>
      <c r="BC16" s="383"/>
      <c r="BD16" s="286" t="s">
        <v>305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21" t="s">
        <v>278</v>
      </c>
      <c r="AV17" s="197" t="s">
        <v>229</v>
      </c>
      <c r="AW17" s="394">
        <f>MAX(SUM(BE22:BM26) - G10 + SUM(AA4:AA8),0)</f>
        <v>70</v>
      </c>
      <c r="AX17" s="394"/>
      <c r="AY17" s="394"/>
      <c r="AZ17" s="394"/>
      <c r="BA17" s="394"/>
      <c r="BB17" s="395"/>
      <c r="BC17" s="383"/>
      <c r="BD17" s="287" t="s">
        <v>306</v>
      </c>
      <c r="BE17" s="33">
        <f t="shared" si="5"/>
        <v>49</v>
      </c>
      <c r="BF17" s="33">
        <f t="shared" si="5"/>
        <v>49</v>
      </c>
      <c r="BG17" s="33">
        <f t="shared" si="5"/>
        <v>49</v>
      </c>
      <c r="BH17" s="33">
        <f t="shared" si="5"/>
        <v>49</v>
      </c>
      <c r="BI17" s="33">
        <f t="shared" si="5"/>
        <v>49</v>
      </c>
      <c r="BJ17" s="33">
        <f t="shared" si="5"/>
        <v>49</v>
      </c>
      <c r="BK17" s="33">
        <f t="shared" si="5"/>
        <v>49</v>
      </c>
      <c r="BL17" s="33">
        <f t="shared" si="5"/>
        <v>49</v>
      </c>
      <c r="BM17" s="194">
        <f t="shared" si="5"/>
        <v>49</v>
      </c>
    </row>
    <row r="18" spans="47:65" ht="15.75" customHeight="1" x14ac:dyDescent="0.25">
      <c r="AU18" s="369" t="s">
        <v>70</v>
      </c>
      <c r="AV18" s="222" t="s">
        <v>229</v>
      </c>
      <c r="AW18" s="391">
        <f>MAX(SUM(BE28:BM32) - H9 + SUM(AB4:AB8),0)</f>
        <v>0</v>
      </c>
      <c r="AX18" s="391"/>
      <c r="AY18" s="391"/>
      <c r="AZ18" s="391"/>
      <c r="BA18" s="391"/>
      <c r="BB18" s="392"/>
      <c r="BC18" s="383"/>
      <c r="BD18" s="192" t="s">
        <v>307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3">
        <f t="shared" si="5"/>
        <v>0</v>
      </c>
      <c r="BL18" s="193">
        <f t="shared" si="5"/>
        <v>0</v>
      </c>
      <c r="BM18" s="195">
        <f t="shared" si="5"/>
        <v>49</v>
      </c>
    </row>
    <row r="19" spans="47:65" ht="15.75" customHeight="1" x14ac:dyDescent="0.25">
      <c r="AU19" s="371"/>
      <c r="AV19" s="274" t="s">
        <v>244</v>
      </c>
      <c r="AW19" s="361">
        <f>ROUNDUP(AW18/$AR$11,0)</f>
        <v>0</v>
      </c>
      <c r="AX19" s="361"/>
      <c r="AY19" s="361"/>
      <c r="AZ19" s="361"/>
      <c r="BA19" s="361"/>
      <c r="BB19" s="362"/>
      <c r="BC19" s="383"/>
      <c r="BD19" s="288" t="s">
        <v>308</v>
      </c>
      <c r="BE19" s="130">
        <f t="shared" si="5"/>
        <v>49</v>
      </c>
      <c r="BF19" s="130">
        <f t="shared" si="5"/>
        <v>49</v>
      </c>
      <c r="BG19" s="130">
        <f t="shared" si="5"/>
        <v>49</v>
      </c>
      <c r="BH19" s="130">
        <f t="shared" si="5"/>
        <v>49</v>
      </c>
      <c r="BI19" s="130">
        <f t="shared" si="5"/>
        <v>49</v>
      </c>
      <c r="BJ19" s="130">
        <f t="shared" si="5"/>
        <v>49</v>
      </c>
      <c r="BK19" s="130">
        <f t="shared" si="5"/>
        <v>49</v>
      </c>
      <c r="BL19" s="130">
        <f t="shared" si="5"/>
        <v>49</v>
      </c>
      <c r="BM19" s="196">
        <f t="shared" si="5"/>
        <v>49</v>
      </c>
    </row>
    <row r="20" spans="47:65" ht="15.75" customHeight="1" x14ac:dyDescent="0.25">
      <c r="AU20" s="221" t="s">
        <v>94</v>
      </c>
      <c r="AV20" s="197" t="s">
        <v>229</v>
      </c>
      <c r="AW20" s="385">
        <f>MAX(SUM(BE34:BM38) - G11 + SUM(AC4:AC8),0)</f>
        <v>162724441</v>
      </c>
      <c r="AX20" s="385"/>
      <c r="AY20" s="385"/>
      <c r="AZ20" s="385"/>
      <c r="BA20" s="385"/>
      <c r="BB20" s="386"/>
      <c r="BC20" s="384"/>
      <c r="BD20" s="12" t="s">
        <v>309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13">
        <f t="shared" si="5"/>
        <v>49</v>
      </c>
    </row>
    <row r="21" spans="47:65" ht="15.75" customHeight="1" x14ac:dyDescent="0.25">
      <c r="BC21" s="382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3"/>
      <c r="BD22" s="286" t="s">
        <v>305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83"/>
      <c r="BD23" s="287" t="s">
        <v>306</v>
      </c>
      <c r="BE23" s="33">
        <f t="shared" si="6"/>
        <v>10</v>
      </c>
      <c r="BF23" s="33">
        <f t="shared" si="6"/>
        <v>10</v>
      </c>
      <c r="BG23" s="33">
        <f t="shared" si="6"/>
        <v>10</v>
      </c>
      <c r="BH23" s="33">
        <f t="shared" si="6"/>
        <v>10</v>
      </c>
      <c r="BI23" s="33">
        <f t="shared" si="6"/>
        <v>10</v>
      </c>
      <c r="BJ23" s="33">
        <f t="shared" si="6"/>
        <v>10</v>
      </c>
      <c r="BK23" s="33">
        <f t="shared" si="6"/>
        <v>10</v>
      </c>
      <c r="BL23" s="33">
        <f t="shared" si="6"/>
        <v>10</v>
      </c>
      <c r="BM23" s="194">
        <f t="shared" si="6"/>
        <v>15</v>
      </c>
    </row>
    <row r="24" spans="47:65" ht="15.75" customHeight="1" x14ac:dyDescent="0.25">
      <c r="BC24" s="383"/>
      <c r="BD24" s="192" t="s">
        <v>307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3">
        <f t="shared" si="6"/>
        <v>0</v>
      </c>
      <c r="BL24" s="193">
        <f t="shared" si="6"/>
        <v>0</v>
      </c>
      <c r="BM24" s="195">
        <f t="shared" si="6"/>
        <v>15</v>
      </c>
    </row>
    <row r="25" spans="47:65" ht="15.75" customHeight="1" x14ac:dyDescent="0.25">
      <c r="BC25" s="383"/>
      <c r="BD25" s="288" t="s">
        <v>308</v>
      </c>
      <c r="BE25" s="130">
        <f t="shared" si="6"/>
        <v>10</v>
      </c>
      <c r="BF25" s="130">
        <f t="shared" si="6"/>
        <v>10</v>
      </c>
      <c r="BG25" s="130">
        <f t="shared" si="6"/>
        <v>10</v>
      </c>
      <c r="BH25" s="130">
        <f t="shared" si="6"/>
        <v>10</v>
      </c>
      <c r="BI25" s="130">
        <f t="shared" si="6"/>
        <v>10</v>
      </c>
      <c r="BJ25" s="130">
        <f t="shared" si="6"/>
        <v>10</v>
      </c>
      <c r="BK25" s="130">
        <f t="shared" si="6"/>
        <v>10</v>
      </c>
      <c r="BL25" s="130">
        <f t="shared" si="6"/>
        <v>10</v>
      </c>
      <c r="BM25" s="196">
        <f t="shared" si="6"/>
        <v>10</v>
      </c>
    </row>
    <row r="26" spans="47:65" ht="15.75" customHeight="1" x14ac:dyDescent="0.25">
      <c r="BC26" s="384"/>
      <c r="BD26" s="12" t="s">
        <v>309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13">
        <f t="shared" si="6"/>
        <v>15</v>
      </c>
    </row>
    <row r="27" spans="47:65" ht="15.75" customHeight="1" x14ac:dyDescent="0.25">
      <c r="BC27" s="382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3"/>
      <c r="BD28" s="286" t="s">
        <v>305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83"/>
      <c r="BD29" s="287" t="s">
        <v>306</v>
      </c>
      <c r="BE29" s="33">
        <f t="shared" si="7"/>
        <v>35</v>
      </c>
      <c r="BF29" s="33">
        <f t="shared" si="7"/>
        <v>35</v>
      </c>
      <c r="BG29" s="33">
        <f t="shared" si="7"/>
        <v>35</v>
      </c>
      <c r="BH29" s="33">
        <f t="shared" si="7"/>
        <v>35</v>
      </c>
      <c r="BI29" s="33">
        <f t="shared" si="7"/>
        <v>35</v>
      </c>
      <c r="BJ29" s="33">
        <f t="shared" si="7"/>
        <v>35</v>
      </c>
      <c r="BK29" s="33">
        <f t="shared" si="7"/>
        <v>35</v>
      </c>
      <c r="BL29" s="33">
        <f t="shared" si="7"/>
        <v>35</v>
      </c>
      <c r="BM29" s="194">
        <f t="shared" si="7"/>
        <v>35</v>
      </c>
    </row>
    <row r="30" spans="47:65" ht="15.75" customHeight="1" x14ac:dyDescent="0.25">
      <c r="BC30" s="383"/>
      <c r="BD30" s="192" t="s">
        <v>307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3">
        <f t="shared" si="7"/>
        <v>0</v>
      </c>
      <c r="BL30" s="193">
        <f t="shared" si="7"/>
        <v>0</v>
      </c>
      <c r="BM30" s="195">
        <f t="shared" si="7"/>
        <v>35</v>
      </c>
    </row>
    <row r="31" spans="47:65" ht="15.75" customHeight="1" x14ac:dyDescent="0.25">
      <c r="BC31" s="383"/>
      <c r="BD31" s="288" t="s">
        <v>308</v>
      </c>
      <c r="BE31" s="130">
        <f t="shared" si="7"/>
        <v>35</v>
      </c>
      <c r="BF31" s="130">
        <f t="shared" si="7"/>
        <v>35</v>
      </c>
      <c r="BG31" s="130">
        <f t="shared" si="7"/>
        <v>35</v>
      </c>
      <c r="BH31" s="130">
        <f t="shared" si="7"/>
        <v>35</v>
      </c>
      <c r="BI31" s="130">
        <f t="shared" si="7"/>
        <v>35</v>
      </c>
      <c r="BJ31" s="130">
        <f t="shared" si="7"/>
        <v>35</v>
      </c>
      <c r="BK31" s="130">
        <f t="shared" si="7"/>
        <v>35</v>
      </c>
      <c r="BL31" s="130">
        <f t="shared" si="7"/>
        <v>35</v>
      </c>
      <c r="BM31" s="196">
        <f t="shared" si="7"/>
        <v>35</v>
      </c>
    </row>
    <row r="32" spans="47:65" ht="15.75" customHeight="1" x14ac:dyDescent="0.25">
      <c r="BC32" s="384"/>
      <c r="BD32" s="12" t="s">
        <v>309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13">
        <f t="shared" si="7"/>
        <v>35</v>
      </c>
    </row>
    <row r="33" spans="55:65" ht="15.75" customHeight="1" x14ac:dyDescent="0.25">
      <c r="BC33" s="382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3"/>
      <c r="BD34" s="286" t="s">
        <v>305</v>
      </c>
      <c r="BE34" s="332">
        <f t="shared" ref="BE34:BM38" si="8">IF(ISBLANK(AE4),0,VLOOKUP(AE4,$I$4:$V$15,14,FALSE))</f>
        <v>0</v>
      </c>
      <c r="BF34" s="332">
        <f t="shared" si="8"/>
        <v>0</v>
      </c>
      <c r="BG34" s="332">
        <f t="shared" si="8"/>
        <v>0</v>
      </c>
      <c r="BH34" s="332">
        <f t="shared" si="8"/>
        <v>0</v>
      </c>
      <c r="BI34" s="332">
        <f t="shared" si="8"/>
        <v>0</v>
      </c>
      <c r="BJ34" s="332">
        <f t="shared" si="8"/>
        <v>0</v>
      </c>
      <c r="BK34" s="332">
        <f t="shared" si="8"/>
        <v>0</v>
      </c>
      <c r="BL34" s="332">
        <f t="shared" si="8"/>
        <v>0</v>
      </c>
      <c r="BM34" s="333">
        <f t="shared" si="8"/>
        <v>52500000</v>
      </c>
    </row>
    <row r="35" spans="55:65" ht="15.75" customHeight="1" x14ac:dyDescent="0.25">
      <c r="BC35" s="383"/>
      <c r="BD35" s="287" t="s">
        <v>306</v>
      </c>
      <c r="BE35" s="334">
        <f t="shared" si="8"/>
        <v>42500000</v>
      </c>
      <c r="BF35" s="334">
        <f t="shared" si="8"/>
        <v>42500000</v>
      </c>
      <c r="BG35" s="334">
        <f t="shared" si="8"/>
        <v>42500000</v>
      </c>
      <c r="BH35" s="334">
        <f t="shared" si="8"/>
        <v>42500000</v>
      </c>
      <c r="BI35" s="334">
        <f t="shared" si="8"/>
        <v>42500000</v>
      </c>
      <c r="BJ35" s="334">
        <f t="shared" si="8"/>
        <v>42500000</v>
      </c>
      <c r="BK35" s="334">
        <f t="shared" si="8"/>
        <v>42500000</v>
      </c>
      <c r="BL35" s="334">
        <f t="shared" si="8"/>
        <v>42500000</v>
      </c>
      <c r="BM35" s="335">
        <f t="shared" si="8"/>
        <v>52500000</v>
      </c>
    </row>
    <row r="36" spans="55:65" ht="15.75" customHeight="1" x14ac:dyDescent="0.25">
      <c r="BC36" s="383"/>
      <c r="BD36" s="192" t="s">
        <v>307</v>
      </c>
      <c r="BE36" s="336">
        <f t="shared" si="8"/>
        <v>0</v>
      </c>
      <c r="BF36" s="336">
        <f t="shared" si="8"/>
        <v>0</v>
      </c>
      <c r="BG36" s="336">
        <f t="shared" si="8"/>
        <v>0</v>
      </c>
      <c r="BH36" s="336">
        <f t="shared" si="8"/>
        <v>0</v>
      </c>
      <c r="BI36" s="336">
        <f t="shared" si="8"/>
        <v>0</v>
      </c>
      <c r="BJ36" s="336">
        <f t="shared" si="8"/>
        <v>0</v>
      </c>
      <c r="BK36" s="336">
        <f t="shared" si="8"/>
        <v>0</v>
      </c>
      <c r="BL36" s="336">
        <f t="shared" si="8"/>
        <v>0</v>
      </c>
      <c r="BM36" s="337">
        <f t="shared" si="8"/>
        <v>52500000</v>
      </c>
    </row>
    <row r="37" spans="55:65" ht="15.75" customHeight="1" x14ac:dyDescent="0.25">
      <c r="BC37" s="383"/>
      <c r="BD37" s="288" t="s">
        <v>308</v>
      </c>
      <c r="BE37" s="338">
        <f t="shared" si="8"/>
        <v>42500000</v>
      </c>
      <c r="BF37" s="338">
        <f t="shared" si="8"/>
        <v>42500000</v>
      </c>
      <c r="BG37" s="338">
        <f t="shared" si="8"/>
        <v>42500000</v>
      </c>
      <c r="BH37" s="338">
        <f t="shared" si="8"/>
        <v>42500000</v>
      </c>
      <c r="BI37" s="338">
        <f t="shared" si="8"/>
        <v>42500000</v>
      </c>
      <c r="BJ37" s="338">
        <f t="shared" si="8"/>
        <v>42500000</v>
      </c>
      <c r="BK37" s="338">
        <f t="shared" si="8"/>
        <v>42500000</v>
      </c>
      <c r="BL37" s="338">
        <f t="shared" si="8"/>
        <v>42500000</v>
      </c>
      <c r="BM37" s="339">
        <f t="shared" si="8"/>
        <v>42500000</v>
      </c>
    </row>
    <row r="38" spans="55:65" ht="15.75" customHeight="1" x14ac:dyDescent="0.25">
      <c r="BC38" s="384"/>
      <c r="BD38" s="12" t="s">
        <v>309</v>
      </c>
      <c r="BE38" s="340">
        <f t="shared" si="8"/>
        <v>0</v>
      </c>
      <c r="BF38" s="340">
        <f t="shared" si="8"/>
        <v>0</v>
      </c>
      <c r="BG38" s="340">
        <f t="shared" si="8"/>
        <v>0</v>
      </c>
      <c r="BH38" s="340">
        <f t="shared" si="8"/>
        <v>0</v>
      </c>
      <c r="BI38" s="340">
        <f t="shared" si="8"/>
        <v>0</v>
      </c>
      <c r="BJ38" s="340">
        <f t="shared" si="8"/>
        <v>0</v>
      </c>
      <c r="BK38" s="340">
        <f t="shared" si="8"/>
        <v>0</v>
      </c>
      <c r="BL38" s="340">
        <f t="shared" si="8"/>
        <v>0</v>
      </c>
      <c r="BM38" s="341">
        <f t="shared" si="8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7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5:AM5 AE6:AM6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G14" sqref="G14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8" t="s">
        <v>69</v>
      </c>
      <c r="D1" s="398"/>
      <c r="E1" s="398" t="s">
        <v>69</v>
      </c>
      <c r="F1" s="398"/>
      <c r="G1" s="398"/>
      <c r="H1" s="398"/>
      <c r="I1" s="398"/>
      <c r="J1" s="398" t="s">
        <v>73</v>
      </c>
      <c r="K1" s="398"/>
      <c r="L1" s="398"/>
      <c r="M1" s="398" t="s">
        <v>73</v>
      </c>
      <c r="N1" s="398"/>
      <c r="O1" s="398"/>
      <c r="Q1" s="393" t="s">
        <v>77</v>
      </c>
      <c r="R1" s="393" t="s">
        <v>141</v>
      </c>
      <c r="S1" s="393"/>
      <c r="T1" s="393" t="s">
        <v>142</v>
      </c>
      <c r="U1" s="393"/>
      <c r="V1" s="393" t="s">
        <v>115</v>
      </c>
      <c r="W1" s="393"/>
    </row>
    <row r="2" spans="1:23" s="285" customFormat="1" x14ac:dyDescent="0.25">
      <c r="A2" s="79" t="s">
        <v>223</v>
      </c>
      <c r="B2" s="79" t="s">
        <v>88</v>
      </c>
      <c r="C2" s="398" t="s">
        <v>223</v>
      </c>
      <c r="D2" s="398"/>
      <c r="E2" s="398" t="s">
        <v>223</v>
      </c>
      <c r="F2" s="398"/>
      <c r="G2" s="398" t="s">
        <v>88</v>
      </c>
      <c r="H2" s="398"/>
      <c r="I2" s="398"/>
      <c r="J2" s="398" t="s">
        <v>223</v>
      </c>
      <c r="K2" s="398"/>
      <c r="L2" s="398"/>
      <c r="M2" s="398" t="s">
        <v>88</v>
      </c>
      <c r="N2" s="398"/>
      <c r="O2" s="398"/>
      <c r="P2" s="300"/>
      <c r="Q2" s="393"/>
      <c r="R2" s="393"/>
      <c r="S2" s="393"/>
      <c r="T2" s="393"/>
      <c r="U2" s="393"/>
      <c r="V2" s="393"/>
      <c r="W2" s="393"/>
    </row>
    <row r="3" spans="1:23" s="285" customFormat="1" x14ac:dyDescent="0.25">
      <c r="A3" s="79" t="s">
        <v>221</v>
      </c>
      <c r="B3" s="79" t="s">
        <v>221</v>
      </c>
      <c r="C3" s="398" t="s">
        <v>221</v>
      </c>
      <c r="D3" s="398"/>
      <c r="E3" s="398" t="s">
        <v>221</v>
      </c>
      <c r="F3" s="398"/>
      <c r="G3" s="398" t="s">
        <v>221</v>
      </c>
      <c r="H3" s="398"/>
      <c r="I3" s="349" t="s">
        <v>222</v>
      </c>
      <c r="J3" s="398" t="s">
        <v>221</v>
      </c>
      <c r="K3" s="398"/>
      <c r="L3" s="398"/>
      <c r="M3" s="398" t="s">
        <v>221</v>
      </c>
      <c r="N3" s="398"/>
      <c r="O3" s="398"/>
      <c r="P3" s="300"/>
      <c r="Q3" s="393"/>
      <c r="R3" s="393" t="s">
        <v>20</v>
      </c>
      <c r="S3" s="393" t="s">
        <v>19</v>
      </c>
      <c r="T3" s="393" t="s">
        <v>20</v>
      </c>
      <c r="U3" s="393" t="s">
        <v>19</v>
      </c>
      <c r="V3" s="393" t="s">
        <v>20</v>
      </c>
      <c r="W3" s="393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49" t="s">
        <v>20</v>
      </c>
      <c r="F4" s="349" t="s">
        <v>19</v>
      </c>
      <c r="G4" s="79" t="s">
        <v>20</v>
      </c>
      <c r="H4" s="79" t="s">
        <v>19</v>
      </c>
      <c r="I4" s="349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3"/>
      <c r="R4" s="393"/>
      <c r="S4" s="393"/>
      <c r="T4" s="393"/>
      <c r="U4" s="393"/>
      <c r="V4" s="393"/>
      <c r="W4" s="393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G13" s="78">
        <v>3</v>
      </c>
      <c r="H13" s="78">
        <v>5</v>
      </c>
      <c r="I13" s="78">
        <v>3</v>
      </c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M29" s="78">
        <v>4</v>
      </c>
      <c r="N29" s="78">
        <v>6</v>
      </c>
      <c r="O29" s="78">
        <v>2</v>
      </c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M30" s="78">
        <v>4</v>
      </c>
      <c r="N30" s="78">
        <v>6</v>
      </c>
      <c r="O30" s="78">
        <v>2</v>
      </c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M31" s="78">
        <v>4</v>
      </c>
      <c r="N31" s="78">
        <v>6</v>
      </c>
      <c r="O31" s="78">
        <v>2</v>
      </c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9" t="s">
        <v>149</v>
      </c>
      <c r="G1" s="399"/>
      <c r="J1" t="s">
        <v>189</v>
      </c>
      <c r="K1" t="s">
        <v>190</v>
      </c>
    </row>
    <row r="2" spans="1:12" x14ac:dyDescent="0.25">
      <c r="A2" s="401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401">
        <v>1.54</v>
      </c>
      <c r="G2" s="401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401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401"/>
      <c r="G3" s="401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9" t="str">
        <f>"Predicted left to " &amp; A2</f>
        <v>Predicted left to 8</v>
      </c>
      <c r="G4" s="399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400">
        <f>IF(F2&gt;=A2,"",_xlfn.FORECAST.LINEAR(A2-F2, D:D, E:E))</f>
        <v>847.89680154979158</v>
      </c>
      <c r="G5" s="399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400"/>
      <c r="G6" s="399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9" t="str">
        <f>"Predicted total to " &amp; A2</f>
        <v>Predicted total to 8</v>
      </c>
      <c r="G7" s="399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400">
        <f>_xlfn.FORECAST.LINEAR(A2, D:D, E:E)</f>
        <v>1045.5139582186798</v>
      </c>
      <c r="G8" s="399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400"/>
      <c r="G9" s="399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5" t="s">
        <v>228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367" t="s">
        <v>262</v>
      </c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368"/>
      <c r="AQ1" s="368"/>
      <c r="AR1" s="368"/>
      <c r="AS1" s="368"/>
      <c r="AT1" s="406"/>
    </row>
    <row r="2" spans="1:46" ht="15.75" customHeight="1" x14ac:dyDescent="0.25">
      <c r="A2" s="379" t="s">
        <v>62</v>
      </c>
      <c r="B2" s="380"/>
      <c r="C2" s="380"/>
      <c r="D2" s="381"/>
      <c r="E2" s="379" t="s">
        <v>246</v>
      </c>
      <c r="F2" s="380"/>
      <c r="G2" s="380"/>
      <c r="H2" s="380"/>
      <c r="I2" s="380"/>
      <c r="J2" s="380"/>
      <c r="K2" s="380"/>
      <c r="L2" s="381"/>
      <c r="M2" s="379" t="s">
        <v>254</v>
      </c>
      <c r="N2" s="380"/>
      <c r="O2" s="380"/>
      <c r="P2" s="380"/>
      <c r="Q2" s="380"/>
      <c r="R2" s="380"/>
      <c r="S2" s="380"/>
      <c r="T2" s="380"/>
      <c r="U2" s="380"/>
      <c r="V2" s="381"/>
      <c r="W2" s="379" t="s">
        <v>259</v>
      </c>
      <c r="X2" s="380"/>
      <c r="Y2" s="380"/>
      <c r="Z2" s="380"/>
      <c r="AA2" s="381"/>
      <c r="AB2" s="379" t="s">
        <v>232</v>
      </c>
      <c r="AC2" s="380"/>
      <c r="AD2" s="380"/>
      <c r="AE2" s="380"/>
      <c r="AF2" s="380"/>
      <c r="AG2" s="380"/>
      <c r="AH2" s="380"/>
      <c r="AI2" s="381"/>
      <c r="AJ2" s="379" t="s">
        <v>233</v>
      </c>
      <c r="AK2" s="380"/>
      <c r="AL2" s="380"/>
      <c r="AM2" s="380"/>
      <c r="AN2" s="380"/>
      <c r="AO2" s="380"/>
      <c r="AP2" s="380"/>
      <c r="AQ2" s="380"/>
      <c r="AR2" s="380"/>
      <c r="AS2" s="380"/>
      <c r="AT2" s="381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7" t="s">
        <v>258</v>
      </c>
      <c r="AC3" s="408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4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2">
        <v>4</v>
      </c>
      <c r="O4" s="302">
        <v>4</v>
      </c>
      <c r="P4" s="302">
        <v>4</v>
      </c>
      <c r="Q4" s="302">
        <v>4</v>
      </c>
      <c r="R4" s="302">
        <v>4</v>
      </c>
      <c r="S4" s="302">
        <v>4</v>
      </c>
      <c r="T4" s="302">
        <v>4</v>
      </c>
      <c r="U4" s="302">
        <v>4</v>
      </c>
      <c r="V4" s="303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9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1">
        <f>SUM(AD4:AH4)</f>
        <v>0</v>
      </c>
      <c r="AJ4" s="402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4">
        <v>4</v>
      </c>
      <c r="O5" s="304">
        <v>4</v>
      </c>
      <c r="P5" s="304">
        <v>4</v>
      </c>
      <c r="Q5" s="304">
        <v>4</v>
      </c>
      <c r="R5" s="304">
        <v>4</v>
      </c>
      <c r="S5" s="304">
        <v>4</v>
      </c>
      <c r="T5" s="304">
        <v>4</v>
      </c>
      <c r="U5" s="304">
        <v>4</v>
      </c>
      <c r="V5" s="305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0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2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6">
        <v>4</v>
      </c>
      <c r="O6" s="306">
        <v>4</v>
      </c>
      <c r="P6" s="306">
        <v>4</v>
      </c>
      <c r="Q6" s="306">
        <v>4</v>
      </c>
      <c r="R6" s="306">
        <v>4</v>
      </c>
      <c r="S6" s="306">
        <v>4</v>
      </c>
      <c r="T6" s="306">
        <v>4</v>
      </c>
      <c r="U6" s="306">
        <v>4</v>
      </c>
      <c r="V6" s="307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1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2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8">
        <v>4</v>
      </c>
      <c r="O7" s="308">
        <v>4</v>
      </c>
      <c r="P7" s="308">
        <v>4</v>
      </c>
      <c r="Q7" s="308">
        <v>4</v>
      </c>
      <c r="R7" s="308">
        <v>4</v>
      </c>
      <c r="S7" s="308">
        <v>4</v>
      </c>
      <c r="T7" s="308">
        <v>4</v>
      </c>
      <c r="U7" s="308">
        <v>4</v>
      </c>
      <c r="V7" s="309">
        <v>4</v>
      </c>
      <c r="AB7" s="369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1">
        <f t="shared" si="1"/>
        <v>0</v>
      </c>
      <c r="AJ7" s="402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0">
        <v>4</v>
      </c>
      <c r="O8" s="310">
        <v>4</v>
      </c>
      <c r="P8" s="310">
        <v>4</v>
      </c>
      <c r="Q8" s="310">
        <v>4</v>
      </c>
      <c r="R8" s="310">
        <v>4</v>
      </c>
      <c r="S8" s="310">
        <v>4</v>
      </c>
      <c r="T8" s="310">
        <v>4</v>
      </c>
      <c r="U8" s="310">
        <v>4</v>
      </c>
      <c r="V8" s="311">
        <v>0</v>
      </c>
      <c r="AB8" s="370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3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71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2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9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1">
        <f t="shared" si="1"/>
        <v>2</v>
      </c>
      <c r="AJ10" s="402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70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2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71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2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2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3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2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2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2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2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2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3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7" t="s">
        <v>204</v>
      </c>
      <c r="B1" s="418"/>
      <c r="C1" s="418"/>
      <c r="D1" s="418"/>
      <c r="E1" s="418"/>
      <c r="F1" s="418"/>
      <c r="G1" s="418"/>
      <c r="H1" s="419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4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5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6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11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2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3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9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9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10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08"/>
  <sheetViews>
    <sheetView topLeftCell="A157" workbookViewId="0">
      <selection activeCell="H16" sqref="H16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6.14062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20" t="s">
        <v>109</v>
      </c>
      <c r="F1" s="420"/>
      <c r="G1" s="420"/>
      <c r="H1" s="420"/>
      <c r="I1" s="420"/>
      <c r="J1" s="420"/>
      <c r="L1" s="393" t="s">
        <v>110</v>
      </c>
      <c r="M1" s="393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18059.39751736954</v>
      </c>
      <c r="F3" s="97" cm="1">
        <f t="array" ref="F3">SUMIF($H6:$H99999,"&gt;0") / SCOUT_DAYS_FROM_EARLIEST * 30</f>
        <v>51811.01586769658</v>
      </c>
      <c r="G3" s="97"/>
      <c r="H3" s="97" cm="1">
        <f t="array" ref="H3">(SUMIF($F6:$F99999,"&gt;0") + SUMIF($H6:$H99999,"&gt;0")) / SCOUT_DAYS_FROM_EARLIEST * 30</f>
        <v>69870.413385066131</v>
      </c>
      <c r="I3" s="97" cm="1">
        <f t="array" ref="I3">(SUMIF($F6:$F99999,"&lt;0") + SUMIF($H6:$H99999,"&lt;0")) / SCOUT_DAYS_FROM_EARLIEST * 30</f>
        <v>-83055.130898826406</v>
      </c>
      <c r="J3" s="97">
        <f>H3+I3</f>
        <v>-13184.717513760275</v>
      </c>
      <c r="L3" s="10" cm="1">
        <f t="array" ref="L3">SUM(L6:L99999) / SCOUT_DAYS_FROM_EARLIEST * 30</f>
        <v>56177.290246072211</v>
      </c>
      <c r="M3" s="100" cm="1">
        <f t="array" ref="M3">SUM(M6:M99999) / SCOUT_DAYS_FROM_EARLIEST * 30</f>
        <v>1047.7165212235357</v>
      </c>
    </row>
    <row r="4" spans="1:13" s="90" customFormat="1" ht="15" customHeight="1" x14ac:dyDescent="0.25">
      <c r="A4" s="421" t="s">
        <v>80</v>
      </c>
      <c r="B4" s="408" t="s">
        <v>85</v>
      </c>
      <c r="C4" s="408" t="s">
        <v>34</v>
      </c>
      <c r="D4" s="408"/>
      <c r="E4" s="408"/>
      <c r="F4" s="408" t="s">
        <v>35</v>
      </c>
      <c r="G4" s="408"/>
      <c r="H4" s="408"/>
      <c r="I4" s="408"/>
      <c r="J4" s="408"/>
      <c r="K4" s="110" t="s">
        <v>109</v>
      </c>
      <c r="L4" s="408" t="s">
        <v>95</v>
      </c>
      <c r="M4" s="408"/>
    </row>
    <row r="5" spans="1:13" s="83" customFormat="1" ht="15" customHeight="1" x14ac:dyDescent="0.25">
      <c r="A5" s="422"/>
      <c r="B5" s="378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>IFERROR(G6 - _xlfn.XLOOKUP(A6-30,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3">C7-C6</f>
        <v>75</v>
      </c>
      <c r="G7" s="86">
        <f>SUMIF(F$6:F7,"&gt;0")</f>
        <v>75</v>
      </c>
      <c r="H7" s="86">
        <f t="shared" ref="H7:H38" si="4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ref="K7:K70" si="5">IFERROR(G7 - _xlfn.XLOOKUP(A7-30, $A$6:$A$14999,G$6:G$14999,"",-1,2),NA())</f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3"/>
        <v>150</v>
      </c>
      <c r="G8" s="86">
        <f>SUMIF(F$6:F8,"&gt;0")</f>
        <v>225</v>
      </c>
      <c r="H8" s="86">
        <f t="shared" si="4"/>
        <v>-190</v>
      </c>
      <c r="I8" s="86">
        <f t="shared" si="1"/>
        <v>-40</v>
      </c>
      <c r="J8" s="91">
        <f t="shared" si="2"/>
        <v>-0.76190476190476197</v>
      </c>
      <c r="K8" s="86" t="e">
        <f t="shared" si="5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3"/>
        <v>0</v>
      </c>
      <c r="G9" s="86">
        <f>SUMIF(F$6:F9,"&gt;0")</f>
        <v>225</v>
      </c>
      <c r="H9" s="86">
        <f t="shared" si="4"/>
        <v>-240</v>
      </c>
      <c r="I9" s="86">
        <f t="shared" si="1"/>
        <v>-240</v>
      </c>
      <c r="J9" s="91">
        <f t="shared" si="2"/>
        <v>-4.5714285714285712</v>
      </c>
      <c r="K9" s="86" t="e">
        <f t="shared" si="5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3"/>
        <v>0</v>
      </c>
      <c r="G10" s="86">
        <f>SUMIF(F$6:F10,"&gt;0")</f>
        <v>225</v>
      </c>
      <c r="H10" s="86">
        <f t="shared" si="4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5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3"/>
        <v>0</v>
      </c>
      <c r="G11" s="86">
        <f>SUMIF(F$6:F11,"&gt;0")</f>
        <v>225</v>
      </c>
      <c r="H11" s="86">
        <f t="shared" si="4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5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3"/>
        <v>500</v>
      </c>
      <c r="G12" s="86">
        <f>SUMIF(F$6:F12,"&gt;0")</f>
        <v>725</v>
      </c>
      <c r="H12" s="86">
        <f t="shared" si="4"/>
        <v>0</v>
      </c>
      <c r="I12" s="86">
        <f t="shared" si="1"/>
        <v>500</v>
      </c>
      <c r="J12" s="91">
        <f t="shared" si="2"/>
        <v>9.5238095238095237</v>
      </c>
      <c r="K12" s="86" t="e">
        <f t="shared" si="5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3"/>
        <v>650</v>
      </c>
      <c r="G13" s="86">
        <f>SUMIF(F$6:F13,"&gt;0")</f>
        <v>1375</v>
      </c>
      <c r="H13" s="86">
        <f t="shared" si="4"/>
        <v>-610</v>
      </c>
      <c r="I13" s="86">
        <f t="shared" si="1"/>
        <v>40</v>
      </c>
      <c r="J13" s="91">
        <f t="shared" si="2"/>
        <v>0.76190476190476197</v>
      </c>
      <c r="K13" s="86" t="e">
        <f t="shared" si="5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3"/>
        <v>0</v>
      </c>
      <c r="G14" s="86">
        <f>SUMIF(F$6:F14,"&gt;0")</f>
        <v>1375</v>
      </c>
      <c r="H14" s="86">
        <f t="shared" si="4"/>
        <v>3560</v>
      </c>
      <c r="I14" s="86">
        <f t="shared" si="1"/>
        <v>3560</v>
      </c>
      <c r="J14" s="91">
        <f t="shared" si="2"/>
        <v>67.80952380952381</v>
      </c>
      <c r="K14" s="86" t="e">
        <f t="shared" si="5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3"/>
        <v>1150</v>
      </c>
      <c r="G15" s="86">
        <f>SUMIF(F$6:F15,"&gt;0")</f>
        <v>2525</v>
      </c>
      <c r="H15" s="86">
        <f t="shared" si="4"/>
        <v>-210</v>
      </c>
      <c r="I15" s="86">
        <f t="shared" si="1"/>
        <v>940</v>
      </c>
      <c r="J15" s="91">
        <f t="shared" si="2"/>
        <v>17.904761904761905</v>
      </c>
      <c r="K15" s="86" t="e">
        <f t="shared" si="5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3"/>
        <v>1200</v>
      </c>
      <c r="G16" s="86">
        <f>SUMIF(F$6:F16,"&gt;0")</f>
        <v>3725</v>
      </c>
      <c r="H16" s="86">
        <f t="shared" si="4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5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3"/>
        <v>325</v>
      </c>
      <c r="G17" s="86">
        <f>SUMIF(F$6:F17,"&gt;0")</f>
        <v>4050</v>
      </c>
      <c r="H17" s="86">
        <f t="shared" si="4"/>
        <v>255</v>
      </c>
      <c r="I17" s="86">
        <f t="shared" si="1"/>
        <v>580</v>
      </c>
      <c r="J17" s="91">
        <f t="shared" si="2"/>
        <v>11.047619047619047</v>
      </c>
      <c r="K17" s="86" t="e">
        <f t="shared" si="5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3"/>
        <v>75</v>
      </c>
      <c r="G18" s="86">
        <f>SUMIF(F$6:F18,"&gt;0")</f>
        <v>4125</v>
      </c>
      <c r="H18" s="86">
        <f t="shared" si="4"/>
        <v>-10</v>
      </c>
      <c r="I18" s="86">
        <f t="shared" si="1"/>
        <v>65</v>
      </c>
      <c r="J18" s="91">
        <f t="shared" si="2"/>
        <v>1.2380952380952381</v>
      </c>
      <c r="K18" s="86" t="e">
        <f t="shared" si="5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3"/>
        <v>75</v>
      </c>
      <c r="G19" s="86">
        <f>SUMIF(F$6:F19,"&gt;0")</f>
        <v>4200</v>
      </c>
      <c r="H19" s="86">
        <f t="shared" si="4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5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3"/>
        <v>75</v>
      </c>
      <c r="G20" s="86">
        <f>SUMIF(F$6:F20,"&gt;0")</f>
        <v>4275</v>
      </c>
      <c r="H20" s="86">
        <f t="shared" si="4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5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3"/>
        <v>-28800</v>
      </c>
      <c r="G21" s="86">
        <f>SUMIF(F$6:F21,"&gt;0")</f>
        <v>4275</v>
      </c>
      <c r="H21" s="86">
        <f t="shared" si="4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5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3"/>
        <v>2530</v>
      </c>
      <c r="G22" s="86">
        <f>SUMIF(F$6:F22,"&gt;0")</f>
        <v>6805</v>
      </c>
      <c r="H22" s="86">
        <f t="shared" si="4"/>
        <v>10</v>
      </c>
      <c r="I22" s="86">
        <f t="shared" si="1"/>
        <v>2540</v>
      </c>
      <c r="J22" s="91">
        <f t="shared" si="2"/>
        <v>48.38095238095238</v>
      </c>
      <c r="K22" s="86" t="e">
        <f t="shared" si="5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3"/>
        <v>4495</v>
      </c>
      <c r="G23" s="86">
        <f>SUMIF(F$6:F23,"&gt;0")</f>
        <v>11300</v>
      </c>
      <c r="H23" s="86">
        <f t="shared" si="4"/>
        <v>550</v>
      </c>
      <c r="I23" s="86">
        <f t="shared" si="1"/>
        <v>5045</v>
      </c>
      <c r="J23" s="91">
        <f t="shared" si="2"/>
        <v>96.095238095238088</v>
      </c>
      <c r="K23" s="86" t="e">
        <f t="shared" si="5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3"/>
        <v>150</v>
      </c>
      <c r="G24" s="86">
        <f>SUMIF(F$6:F24,"&gt;0")</f>
        <v>11450</v>
      </c>
      <c r="H24" s="86">
        <f t="shared" si="4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5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3"/>
        <v>160</v>
      </c>
      <c r="G25" s="86">
        <f>SUMIF(F$6:F25,"&gt;0")</f>
        <v>11610</v>
      </c>
      <c r="H25" s="86">
        <f t="shared" si="4"/>
        <v>-30</v>
      </c>
      <c r="I25" s="86">
        <f t="shared" si="1"/>
        <v>130</v>
      </c>
      <c r="J25" s="91">
        <f t="shared" si="2"/>
        <v>2.4761904761904763</v>
      </c>
      <c r="K25" s="86" t="e">
        <f t="shared" si="5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3"/>
        <v>965</v>
      </c>
      <c r="G26" s="86">
        <f>SUMIF(F$6:F26,"&gt;0")</f>
        <v>12575</v>
      </c>
      <c r="H26" s="86">
        <f t="shared" si="4"/>
        <v>185</v>
      </c>
      <c r="I26" s="86">
        <f t="shared" si="1"/>
        <v>1150</v>
      </c>
      <c r="J26" s="91">
        <f t="shared" si="2"/>
        <v>21.904761904761905</v>
      </c>
      <c r="K26" s="86" t="e">
        <f t="shared" si="5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3"/>
        <v>2250</v>
      </c>
      <c r="G27" s="86">
        <f>SUMIF(F$6:F27,"&gt;0")</f>
        <v>14825</v>
      </c>
      <c r="H27" s="86">
        <f t="shared" si="4"/>
        <v>-80</v>
      </c>
      <c r="I27" s="86">
        <f t="shared" si="1"/>
        <v>2170</v>
      </c>
      <c r="J27" s="91">
        <f t="shared" si="2"/>
        <v>41.333333333333336</v>
      </c>
      <c r="K27" s="86" t="e">
        <f t="shared" si="5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3"/>
        <v>0</v>
      </c>
      <c r="G28" s="86">
        <f>SUMIF(F$6:F28,"&gt;0")</f>
        <v>14825</v>
      </c>
      <c r="H28" s="86">
        <f t="shared" si="4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5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3"/>
        <v>225</v>
      </c>
      <c r="G29" s="86">
        <f>SUMIF(F$6:F29,"&gt;0")</f>
        <v>15050</v>
      </c>
      <c r="H29" s="86">
        <f t="shared" si="4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5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3"/>
        <v>-26855</v>
      </c>
      <c r="G30" s="86">
        <f>SUMIF(F$6:F30,"&gt;0")</f>
        <v>15050</v>
      </c>
      <c r="H30" s="86">
        <f t="shared" si="4"/>
        <v>-4960</v>
      </c>
      <c r="I30" s="86">
        <f t="shared" si="1"/>
        <v>-31815</v>
      </c>
      <c r="J30" s="91">
        <f t="shared" si="2"/>
        <v>-606</v>
      </c>
      <c r="K30" s="86" t="e">
        <f t="shared" si="5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3"/>
        <v>390</v>
      </c>
      <c r="G31" s="86">
        <f>SUMIF(F$6:F31,"&gt;0")</f>
        <v>15440</v>
      </c>
      <c r="H31" s="86">
        <f t="shared" si="4"/>
        <v>550</v>
      </c>
      <c r="I31" s="86">
        <f t="shared" si="1"/>
        <v>940</v>
      </c>
      <c r="J31" s="91">
        <f t="shared" si="2"/>
        <v>17.904761904761905</v>
      </c>
      <c r="K31" s="86" t="e">
        <f t="shared" si="5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3"/>
        <v>100</v>
      </c>
      <c r="G32" s="86">
        <f>SUMIF(F$6:F32,"&gt;0")</f>
        <v>15540</v>
      </c>
      <c r="H32" s="86">
        <f t="shared" si="4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5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3"/>
        <v>1450</v>
      </c>
      <c r="G33" s="86">
        <f>SUMIF(F$6:F33,"&gt;0")</f>
        <v>16990</v>
      </c>
      <c r="H33" s="86">
        <f t="shared" si="4"/>
        <v>-20</v>
      </c>
      <c r="I33" s="86">
        <f t="shared" si="1"/>
        <v>1430</v>
      </c>
      <c r="J33" s="91">
        <f t="shared" si="2"/>
        <v>27.238095238095241</v>
      </c>
      <c r="K33" s="86" t="e">
        <f t="shared" si="5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3"/>
        <v>-1200</v>
      </c>
      <c r="G34" s="86">
        <f>SUMIF(F$6:F34,"&gt;0")</f>
        <v>16990</v>
      </c>
      <c r="H34" s="86">
        <f t="shared" si="4"/>
        <v>-60</v>
      </c>
      <c r="I34" s="86">
        <f t="shared" si="1"/>
        <v>-1260</v>
      </c>
      <c r="J34" s="91">
        <f t="shared" si="2"/>
        <v>-24</v>
      </c>
      <c r="K34" s="86" t="e">
        <f t="shared" si="5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3"/>
        <v>415</v>
      </c>
      <c r="G35" s="86">
        <f>SUMIF(F$6:F35,"&gt;0")</f>
        <v>17405</v>
      </c>
      <c r="H35" s="86">
        <f t="shared" si="4"/>
        <v>20</v>
      </c>
      <c r="I35" s="86">
        <f t="shared" si="1"/>
        <v>435</v>
      </c>
      <c r="J35" s="91">
        <f t="shared" si="2"/>
        <v>8.2857142857142865</v>
      </c>
      <c r="K35" s="86" t="e">
        <f t="shared" si="5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3"/>
        <v>375</v>
      </c>
      <c r="G36" s="86">
        <f>SUMIF(F$6:F36,"&gt;0")</f>
        <v>17780</v>
      </c>
      <c r="H36" s="86">
        <f t="shared" si="4"/>
        <v>405</v>
      </c>
      <c r="I36" s="86">
        <f t="shared" si="1"/>
        <v>780</v>
      </c>
      <c r="J36" s="91">
        <f t="shared" si="2"/>
        <v>14.857142857142858</v>
      </c>
      <c r="K36" s="86" t="e">
        <f t="shared" si="5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3"/>
        <v>3100</v>
      </c>
      <c r="G37" s="86">
        <f>SUMIF(F$6:F37,"&gt;0")</f>
        <v>20880</v>
      </c>
      <c r="H37" s="86">
        <f t="shared" si="4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5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3"/>
        <v>450</v>
      </c>
      <c r="G38" s="86">
        <f>SUMIF(F$6:F38,"&gt;0")</f>
        <v>21330</v>
      </c>
      <c r="H38" s="86">
        <f t="shared" si="4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5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5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5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5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5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 t="shared" si="5"/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si="5"/>
        <v>25135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5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5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5"/>
        <v>31010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5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5"/>
        <v>31635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5"/>
        <v>30285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5"/>
        <v>30210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5"/>
        <v>30310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5"/>
        <v>23335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5"/>
        <v>25000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5"/>
        <v>24660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5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5"/>
        <v>23285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5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5"/>
        <v>24345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5"/>
        <v>24805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5"/>
        <v>24980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5"/>
        <v>22190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5"/>
        <v>23515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5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1">C65-C64</f>
        <v>1680</v>
      </c>
      <c r="G65" s="86">
        <f>SUMIF(F$6:F65,"&gt;0")</f>
        <v>47350</v>
      </c>
      <c r="H65" s="86">
        <f t="shared" ref="H65:H73" si="12">D65-D64</f>
        <v>70</v>
      </c>
      <c r="I65" s="86">
        <f t="shared" si="7"/>
        <v>1750</v>
      </c>
      <c r="J65" s="91">
        <f t="shared" ref="J65:J73" si="13">I65/4200*80</f>
        <v>33.333333333333336</v>
      </c>
      <c r="K65" s="86">
        <f t="shared" si="5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1"/>
        <v>175</v>
      </c>
      <c r="G66" s="86">
        <f>SUMIF(F$6:F66,"&gt;0")</f>
        <v>47525</v>
      </c>
      <c r="H66" s="86">
        <f t="shared" si="12"/>
        <v>50</v>
      </c>
      <c r="I66" s="86">
        <f t="shared" si="7"/>
        <v>225</v>
      </c>
      <c r="J66" s="91">
        <f t="shared" si="13"/>
        <v>4.2857142857142856</v>
      </c>
      <c r="K66" s="86">
        <f t="shared" si="5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1"/>
        <v>825</v>
      </c>
      <c r="G67" s="86">
        <f>SUMIF(F$6:F67,"&gt;0")</f>
        <v>48350</v>
      </c>
      <c r="H67" s="86">
        <f t="shared" si="12"/>
        <v>130</v>
      </c>
      <c r="I67" s="86">
        <f t="shared" si="7"/>
        <v>955</v>
      </c>
      <c r="J67" s="91">
        <f t="shared" si="13"/>
        <v>18.19047619047619</v>
      </c>
      <c r="K67" s="86">
        <f t="shared" si="5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1"/>
        <v>75</v>
      </c>
      <c r="G68" s="86">
        <f>SUMIF(F$6:F68,"&gt;0")</f>
        <v>48425</v>
      </c>
      <c r="H68" s="86">
        <f t="shared" si="12"/>
        <v>50</v>
      </c>
      <c r="I68" s="86">
        <f t="shared" si="7"/>
        <v>125</v>
      </c>
      <c r="J68" s="91">
        <f t="shared" si="13"/>
        <v>2.3809523809523809</v>
      </c>
      <c r="K68" s="86">
        <f t="shared" si="5"/>
        <v>23065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1"/>
        <v>1400</v>
      </c>
      <c r="G69" s="86">
        <f>SUMIF(F$6:F69,"&gt;0")</f>
        <v>49825</v>
      </c>
      <c r="H69" s="86">
        <f t="shared" si="12"/>
        <v>-505</v>
      </c>
      <c r="I69" s="86">
        <f t="shared" si="7"/>
        <v>895</v>
      </c>
      <c r="J69" s="91">
        <f t="shared" si="13"/>
        <v>17.047619047619047</v>
      </c>
      <c r="K69" s="86">
        <f t="shared" si="5"/>
        <v>17440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1"/>
        <v>4140</v>
      </c>
      <c r="G70" s="86">
        <f>SUMIF(F$6:F70,"&gt;0")</f>
        <v>53965</v>
      </c>
      <c r="H70" s="86">
        <f t="shared" si="12"/>
        <v>600</v>
      </c>
      <c r="I70" s="86">
        <f t="shared" ref="I70:I88" si="14">SUM(F70,H70)</f>
        <v>4740</v>
      </c>
      <c r="J70" s="91">
        <f t="shared" si="13"/>
        <v>90.285714285714278</v>
      </c>
      <c r="K70" s="86">
        <f t="shared" si="5"/>
        <v>19805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1"/>
        <v>125</v>
      </c>
      <c r="G71" s="86">
        <f>SUMIF(F$6:F71,"&gt;0")</f>
        <v>54090</v>
      </c>
      <c r="H71" s="86">
        <f t="shared" si="12"/>
        <v>40</v>
      </c>
      <c r="I71" s="86">
        <f t="shared" si="14"/>
        <v>165</v>
      </c>
      <c r="J71" s="91">
        <f t="shared" si="13"/>
        <v>3.1428571428571428</v>
      </c>
      <c r="K71" s="86">
        <f t="shared" ref="K71:K134" si="15">IFERROR(G71 - _xlfn.XLOOKUP(A71-30, $A$6:$A$14999,G$6:G$14999,"",-1,2),NA())</f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1"/>
        <v>150</v>
      </c>
      <c r="G72" s="86">
        <f>SUMIF(F$6:F72,"&gt;0")</f>
        <v>54240</v>
      </c>
      <c r="H72" s="86">
        <f t="shared" si="12"/>
        <v>-10255</v>
      </c>
      <c r="I72" s="86">
        <f t="shared" si="14"/>
        <v>-10105</v>
      </c>
      <c r="J72" s="91">
        <f t="shared" si="13"/>
        <v>-192.47619047619048</v>
      </c>
      <c r="K72" s="86">
        <f t="shared" si="15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1"/>
        <v>1200</v>
      </c>
      <c r="G73" s="86">
        <f>SUMIF(F$6:F73,"&gt;0")</f>
        <v>55440</v>
      </c>
      <c r="H73" s="86">
        <f t="shared" si="12"/>
        <v>-40</v>
      </c>
      <c r="I73" s="86">
        <f t="shared" si="14"/>
        <v>1160</v>
      </c>
      <c r="J73" s="91">
        <f t="shared" si="13"/>
        <v>22.095238095238095</v>
      </c>
      <c r="K73" s="86">
        <f t="shared" si="15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4"/>
        <v>6930</v>
      </c>
      <c r="J74" s="91">
        <f t="shared" ref="J74:J105" si="18">I74/4200*80</f>
        <v>132</v>
      </c>
      <c r="K74" s="86">
        <f t="shared" si="15"/>
        <v>24545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4"/>
        <v>120</v>
      </c>
      <c r="J75" s="91">
        <f t="shared" si="18"/>
        <v>2.2857142857142856</v>
      </c>
      <c r="K75" s="86">
        <f t="shared" si="15"/>
        <v>24220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4"/>
        <v>-12895</v>
      </c>
      <c r="J76" s="91">
        <f t="shared" si="18"/>
        <v>-245.61904761904765</v>
      </c>
      <c r="K76" s="86">
        <f t="shared" si="15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4"/>
        <v>665</v>
      </c>
      <c r="J77" s="91">
        <f t="shared" si="18"/>
        <v>12.666666666666666</v>
      </c>
      <c r="K77" s="86">
        <f t="shared" si="15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4"/>
        <v>270</v>
      </c>
      <c r="J78" s="91">
        <f t="shared" si="18"/>
        <v>5.1428571428571423</v>
      </c>
      <c r="K78" s="86">
        <f t="shared" si="15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4"/>
        <v>145</v>
      </c>
      <c r="J79" s="91">
        <f t="shared" si="18"/>
        <v>2.7619047619047619</v>
      </c>
      <c r="K79" s="86">
        <f t="shared" si="15"/>
        <v>21120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4"/>
        <v>-905</v>
      </c>
      <c r="J80" s="91">
        <f t="shared" si="18"/>
        <v>-17.238095238095241</v>
      </c>
      <c r="K80" s="86">
        <f t="shared" si="15"/>
        <v>20745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4"/>
        <v>900</v>
      </c>
      <c r="J81" s="91">
        <f t="shared" si="18"/>
        <v>17.142857142857142</v>
      </c>
      <c r="K81" s="86">
        <f t="shared" si="15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4"/>
        <v>470</v>
      </c>
      <c r="J82" s="91">
        <f t="shared" si="18"/>
        <v>8.9523809523809526</v>
      </c>
      <c r="K82" s="86">
        <f t="shared" si="15"/>
        <v>20785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4"/>
        <v>120</v>
      </c>
      <c r="J83" s="91">
        <f t="shared" si="18"/>
        <v>2.2857142857142856</v>
      </c>
      <c r="K83" s="86">
        <f t="shared" si="15"/>
        <v>18885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4"/>
        <v>1150</v>
      </c>
      <c r="J84" s="91">
        <f t="shared" si="18"/>
        <v>21.904761904761905</v>
      </c>
      <c r="K84" s="86">
        <f t="shared" si="15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4"/>
        <v>770</v>
      </c>
      <c r="J85" s="91">
        <f t="shared" si="18"/>
        <v>14.666666666666666</v>
      </c>
      <c r="K85" s="86">
        <f t="shared" si="15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4"/>
        <v>110</v>
      </c>
      <c r="J86" s="91">
        <f t="shared" si="18"/>
        <v>2.0952380952380953</v>
      </c>
      <c r="K86" s="86">
        <f t="shared" si="15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4"/>
        <v>475</v>
      </c>
      <c r="J87" s="91">
        <f t="shared" si="18"/>
        <v>9.0476190476190474</v>
      </c>
      <c r="K87" s="86">
        <f t="shared" si="15"/>
        <v>18035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4"/>
        <v>140</v>
      </c>
      <c r="J88" s="91">
        <f t="shared" si="18"/>
        <v>2.6666666666666665</v>
      </c>
      <c r="K88" s="86">
        <f t="shared" si="15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5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5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5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5"/>
        <v>19490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5"/>
        <v>20195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5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5"/>
        <v>21045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5"/>
        <v>21170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5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5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5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5"/>
        <v>16980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5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5"/>
        <v>16530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5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5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5"/>
        <v>16180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5"/>
        <v>16155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5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si="15"/>
        <v>16805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15"/>
        <v>16855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15"/>
        <v>16355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15"/>
        <v>15345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15"/>
        <v>16500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15"/>
        <v>16440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15"/>
        <v>16715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15"/>
        <v>15325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1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1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15"/>
        <v>15830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1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1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6">SUM(F121,H121)</f>
        <v>-125</v>
      </c>
      <c r="J121" s="91">
        <f t="shared" si="25"/>
        <v>-2.3809523809523809</v>
      </c>
      <c r="K121" s="86">
        <f t="shared" si="15"/>
        <v>13980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6"/>
        <v>1075</v>
      </c>
      <c r="J122" s="91">
        <f t="shared" si="25"/>
        <v>20.476190476190474</v>
      </c>
      <c r="K122" s="86">
        <f t="shared" si="1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6"/>
        <v>915</v>
      </c>
      <c r="J123" s="91">
        <f t="shared" si="25"/>
        <v>17.428571428571431</v>
      </c>
      <c r="K123" s="86">
        <f t="shared" si="15"/>
        <v>14855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7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6"/>
        <v>-15600</v>
      </c>
      <c r="J124" s="91">
        <f t="shared" si="25"/>
        <v>-297.14285714285717</v>
      </c>
      <c r="K124" s="86">
        <f t="shared" si="15"/>
        <v>14855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7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6"/>
        <v>2230</v>
      </c>
      <c r="J125" s="91">
        <f t="shared" si="25"/>
        <v>42.476190476190474</v>
      </c>
      <c r="K125" s="86">
        <f t="shared" si="15"/>
        <v>15665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7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6"/>
        <v>475</v>
      </c>
      <c r="J126" s="91">
        <f t="shared" si="25"/>
        <v>9.0476190476190474</v>
      </c>
      <c r="K126" s="86">
        <f t="shared" si="15"/>
        <v>15765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7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6"/>
        <v>-445</v>
      </c>
      <c r="J127" s="91">
        <f t="shared" si="25"/>
        <v>-8.4761904761904763</v>
      </c>
      <c r="K127" s="86">
        <f t="shared" si="1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7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6"/>
        <v>50</v>
      </c>
      <c r="J128" s="91">
        <f t="shared" si="25"/>
        <v>0.95238095238095233</v>
      </c>
      <c r="K128" s="86">
        <f t="shared" si="15"/>
        <v>16090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7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6"/>
        <v>1130</v>
      </c>
      <c r="J129" s="91">
        <f t="shared" si="25"/>
        <v>21.523809523809522</v>
      </c>
      <c r="K129" s="86">
        <f t="shared" si="15"/>
        <v>16265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7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6"/>
        <v>1075</v>
      </c>
      <c r="J130" s="91">
        <f t="shared" si="25"/>
        <v>20.476190476190474</v>
      </c>
      <c r="K130" s="86">
        <f t="shared" si="15"/>
        <v>15765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7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6"/>
        <v>150</v>
      </c>
      <c r="J131" s="91">
        <f t="shared" si="25"/>
        <v>2.8571428571428568</v>
      </c>
      <c r="K131" s="86">
        <f t="shared" si="1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7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6"/>
        <v>225</v>
      </c>
      <c r="J132" s="91">
        <f t="shared" si="25"/>
        <v>4.2857142857142856</v>
      </c>
      <c r="K132" s="86">
        <f t="shared" si="1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7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6"/>
        <v>1550</v>
      </c>
      <c r="J133" s="91">
        <f t="shared" si="25"/>
        <v>29.523809523809526</v>
      </c>
      <c r="K133" s="86">
        <f t="shared" si="15"/>
        <v>15730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7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6"/>
        <v>-9630</v>
      </c>
      <c r="J134" s="91">
        <f t="shared" si="25"/>
        <v>-183.42857142857142</v>
      </c>
      <c r="K134" s="86">
        <f t="shared" si="15"/>
        <v>15730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8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6"/>
        <v>110</v>
      </c>
      <c r="J135" s="91">
        <f t="shared" si="25"/>
        <v>2.0952380952380953</v>
      </c>
      <c r="K135" s="86">
        <f t="shared" ref="K135:K198" si="29">IFERROR(G135 - _xlfn.XLOOKUP(A135-30, $A$6:$A$14999,G$6:G$14999,"",-1,2),NA())</f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8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6"/>
        <v>390</v>
      </c>
      <c r="J136" s="91">
        <f t="shared" si="25"/>
        <v>7.4285714285714288</v>
      </c>
      <c r="K136" s="86">
        <f t="shared" si="29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8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6"/>
        <v>8990</v>
      </c>
      <c r="J137" s="91">
        <f t="shared" si="25"/>
        <v>171.23809523809524</v>
      </c>
      <c r="K137" s="86">
        <f t="shared" si="29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8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6"/>
        <v>3500</v>
      </c>
      <c r="J138" s="91">
        <f t="shared" ref="J138:J169" si="32">I138/4200*80</f>
        <v>66.666666666666671</v>
      </c>
      <c r="K138" s="86">
        <f t="shared" si="29"/>
        <v>18780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8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6"/>
        <v>-295</v>
      </c>
      <c r="J139" s="91">
        <f t="shared" si="32"/>
        <v>-5.6190476190476186</v>
      </c>
      <c r="K139" s="86">
        <f t="shared" si="29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8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6"/>
        <v>700</v>
      </c>
      <c r="J140" s="91">
        <f t="shared" si="32"/>
        <v>13.333333333333332</v>
      </c>
      <c r="K140" s="86">
        <f t="shared" si="29"/>
        <v>14470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8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6"/>
        <v>10725</v>
      </c>
      <c r="J141" s="91">
        <f t="shared" si="32"/>
        <v>204.28571428571428</v>
      </c>
      <c r="K141" s="86">
        <f t="shared" si="29"/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8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6"/>
        <v>1250</v>
      </c>
      <c r="J142" s="91">
        <f t="shared" si="32"/>
        <v>23.80952380952381</v>
      </c>
      <c r="K142" s="86">
        <f t="shared" si="29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8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6"/>
        <v>475</v>
      </c>
      <c r="J143" s="91">
        <f t="shared" si="32"/>
        <v>9.0476190476190474</v>
      </c>
      <c r="K143" s="86">
        <f t="shared" si="29"/>
        <v>14295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8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6"/>
        <v>180</v>
      </c>
      <c r="J144" s="91">
        <f t="shared" si="32"/>
        <v>3.4285714285714288</v>
      </c>
      <c r="K144" s="86">
        <f t="shared" si="29"/>
        <v>14020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8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6"/>
        <v>2920</v>
      </c>
      <c r="J145" s="91">
        <f t="shared" si="32"/>
        <v>55.61904761904762</v>
      </c>
      <c r="K145" s="86">
        <f t="shared" si="29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8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6"/>
        <v>-44435</v>
      </c>
      <c r="J146" s="91">
        <f t="shared" si="32"/>
        <v>-846.38095238095229</v>
      </c>
      <c r="K146" s="86">
        <f t="shared" si="29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8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6"/>
        <v>-2415</v>
      </c>
      <c r="J147" s="91">
        <f t="shared" si="32"/>
        <v>-46</v>
      </c>
      <c r="K147" s="86">
        <f t="shared" si="29"/>
        <v>13610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8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6"/>
        <v>575</v>
      </c>
      <c r="J148" s="91">
        <f t="shared" si="32"/>
        <v>10.952380952380953</v>
      </c>
      <c r="K148" s="86">
        <f t="shared" si="29"/>
        <v>13840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8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6"/>
        <v>150</v>
      </c>
      <c r="J149" s="91">
        <f t="shared" si="32"/>
        <v>2.8571428571428568</v>
      </c>
      <c r="K149" s="86">
        <f t="shared" si="29"/>
        <v>13415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8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6"/>
        <v>150</v>
      </c>
      <c r="J150" s="91">
        <f t="shared" si="32"/>
        <v>2.8571428571428568</v>
      </c>
      <c r="K150" s="86">
        <f t="shared" si="29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8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6"/>
        <v>74555</v>
      </c>
      <c r="J151" s="91">
        <f t="shared" si="32"/>
        <v>1420.0952380952381</v>
      </c>
      <c r="K151" s="86">
        <f t="shared" si="29"/>
        <v>13315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8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6"/>
        <v>875</v>
      </c>
      <c r="J152" s="91">
        <f t="shared" si="32"/>
        <v>16.666666666666668</v>
      </c>
      <c r="K152" s="86">
        <f t="shared" si="29"/>
        <v>13215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8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3">SUM(F153,H153)</f>
        <v>425</v>
      </c>
      <c r="J153" s="91">
        <f t="shared" si="32"/>
        <v>8.0952380952380949</v>
      </c>
      <c r="K153" s="86">
        <f t="shared" si="29"/>
        <v>13590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8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3"/>
        <v>100</v>
      </c>
      <c r="J154" s="91">
        <f t="shared" si="32"/>
        <v>1.9047619047619047</v>
      </c>
      <c r="K154" s="86">
        <f t="shared" si="29"/>
        <v>13540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8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3"/>
        <v>-350</v>
      </c>
      <c r="J155" s="91">
        <f t="shared" si="32"/>
        <v>-6.6666666666666661</v>
      </c>
      <c r="K155" s="86">
        <f t="shared" si="29"/>
        <v>13465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8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3"/>
        <v>1510</v>
      </c>
      <c r="J156" s="91">
        <f t="shared" si="32"/>
        <v>28.761904761904763</v>
      </c>
      <c r="K156" s="86">
        <f t="shared" si="29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8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3"/>
        <v>-46830</v>
      </c>
      <c r="J157" s="91">
        <f t="shared" si="32"/>
        <v>-892</v>
      </c>
      <c r="K157" s="86">
        <f t="shared" si="29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8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3"/>
        <v>110</v>
      </c>
      <c r="J158" s="91">
        <f t="shared" si="32"/>
        <v>2.0952380952380953</v>
      </c>
      <c r="K158" s="86">
        <f t="shared" si="29"/>
        <v>13035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8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3"/>
        <v>680</v>
      </c>
      <c r="J159" s="91">
        <f t="shared" si="32"/>
        <v>12.952380952380953</v>
      </c>
      <c r="K159" s="86">
        <f t="shared" si="29"/>
        <v>13265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8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3"/>
        <v>410</v>
      </c>
      <c r="J160" s="91">
        <f t="shared" si="32"/>
        <v>7.8095238095238093</v>
      </c>
      <c r="K160" s="86">
        <f t="shared" si="29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8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3"/>
        <v>470</v>
      </c>
      <c r="J161" s="91">
        <f t="shared" si="32"/>
        <v>8.9523809523809526</v>
      </c>
      <c r="K161" s="86">
        <f t="shared" si="29"/>
        <v>10155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8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3"/>
        <v>-360</v>
      </c>
      <c r="J162" s="91">
        <f t="shared" si="32"/>
        <v>-6.8571428571428577</v>
      </c>
      <c r="K162" s="86">
        <f t="shared" si="29"/>
        <v>10215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8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3"/>
        <v>110</v>
      </c>
      <c r="J163" s="91">
        <f t="shared" si="32"/>
        <v>2.0952380952380953</v>
      </c>
      <c r="K163" s="86">
        <f t="shared" si="29"/>
        <v>10150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8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3"/>
        <v>110</v>
      </c>
      <c r="J164" s="91">
        <f t="shared" si="32"/>
        <v>2.0952380952380953</v>
      </c>
      <c r="K164" s="86">
        <f t="shared" si="29"/>
        <v>9560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8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3"/>
        <v>2150</v>
      </c>
      <c r="J165" s="91">
        <f t="shared" si="32"/>
        <v>40.952380952380949</v>
      </c>
      <c r="K165" s="86">
        <f t="shared" si="29"/>
        <v>10910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8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3"/>
        <v>600</v>
      </c>
      <c r="J166" s="91">
        <f t="shared" si="32"/>
        <v>11.428571428571427</v>
      </c>
      <c r="K166" s="86">
        <f t="shared" si="29"/>
        <v>10310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8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3"/>
        <v>300</v>
      </c>
      <c r="J167" s="91">
        <f t="shared" si="32"/>
        <v>5.7142857142857135</v>
      </c>
      <c r="K167" s="86">
        <f t="shared" si="29"/>
        <v>10135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8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3"/>
        <v>155</v>
      </c>
      <c r="J168" s="91">
        <f t="shared" si="32"/>
        <v>2.9523809523809526</v>
      </c>
      <c r="K168" s="86">
        <f t="shared" si="29"/>
        <v>10210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8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3"/>
        <v>7485</v>
      </c>
      <c r="J169" s="91">
        <f t="shared" si="32"/>
        <v>142.57142857142858</v>
      </c>
      <c r="K169" s="86">
        <f t="shared" si="29"/>
        <v>11575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8"/>
        <v>140100</v>
      </c>
      <c r="F170" s="86">
        <f t="shared" ref="F170:F189" si="34">C170-C169</f>
        <v>385</v>
      </c>
      <c r="G170" s="86">
        <f>SUMIF(F$6:F170,"&gt;0")</f>
        <v>116995</v>
      </c>
      <c r="H170" s="86">
        <f t="shared" ref="H170:H189" si="35">D170-D169</f>
        <v>-4300</v>
      </c>
      <c r="I170" s="86">
        <f t="shared" si="33"/>
        <v>-3915</v>
      </c>
      <c r="J170" s="91">
        <f t="shared" ref="J170:J190" si="36">I170/4200*80</f>
        <v>-74.571428571428569</v>
      </c>
      <c r="K170" s="86">
        <f t="shared" si="29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8"/>
        <v>137350</v>
      </c>
      <c r="F171" s="86">
        <f t="shared" si="34"/>
        <v>-2750</v>
      </c>
      <c r="G171" s="86">
        <f>SUMIF(F$6:F171,"&gt;0")</f>
        <v>116995</v>
      </c>
      <c r="H171" s="86">
        <f t="shared" si="35"/>
        <v>0</v>
      </c>
      <c r="I171" s="86">
        <f t="shared" si="33"/>
        <v>-2750</v>
      </c>
      <c r="J171" s="91">
        <f t="shared" si="36"/>
        <v>-52.38095238095238</v>
      </c>
      <c r="K171" s="86">
        <f t="shared" si="29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8"/>
        <v>144950</v>
      </c>
      <c r="F172" s="86">
        <f t="shared" si="34"/>
        <v>650</v>
      </c>
      <c r="G172" s="86">
        <f>SUMIF(F$6:F172,"&gt;0")</f>
        <v>117645</v>
      </c>
      <c r="H172" s="86">
        <f t="shared" si="35"/>
        <v>6950</v>
      </c>
      <c r="I172" s="86">
        <f t="shared" si="33"/>
        <v>7600</v>
      </c>
      <c r="J172" s="91">
        <f t="shared" si="36"/>
        <v>144.76190476190476</v>
      </c>
      <c r="K172" s="86">
        <f t="shared" si="29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8"/>
        <v>140270</v>
      </c>
      <c r="F173" s="86">
        <f t="shared" si="34"/>
        <v>-4310</v>
      </c>
      <c r="G173" s="86">
        <f>SUMIF(F$6:F173,"&gt;0")</f>
        <v>117645</v>
      </c>
      <c r="H173" s="86">
        <f t="shared" si="35"/>
        <v>-370</v>
      </c>
      <c r="I173" s="86">
        <f t="shared" si="33"/>
        <v>-4680</v>
      </c>
      <c r="J173" s="91">
        <f t="shared" si="36"/>
        <v>-89.142857142857139</v>
      </c>
      <c r="K173" s="86">
        <f t="shared" si="29"/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8"/>
        <v>137410</v>
      </c>
      <c r="F174" s="86">
        <f t="shared" si="34"/>
        <v>-90</v>
      </c>
      <c r="G174" s="86">
        <f>SUMIF(F$6:F174,"&gt;0")</f>
        <v>117645</v>
      </c>
      <c r="H174" s="86">
        <f t="shared" si="35"/>
        <v>-2770</v>
      </c>
      <c r="I174" s="86">
        <f t="shared" si="33"/>
        <v>-2860</v>
      </c>
      <c r="J174" s="91">
        <f t="shared" si="36"/>
        <v>-54.476190476190482</v>
      </c>
      <c r="K174" s="86">
        <f t="shared" si="29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8"/>
        <v>145640</v>
      </c>
      <c r="F175" s="86">
        <f t="shared" si="34"/>
        <v>200</v>
      </c>
      <c r="G175" s="86">
        <f>SUMIF(F$6:F175,"&gt;0")</f>
        <v>117845</v>
      </c>
      <c r="H175" s="86">
        <f t="shared" si="35"/>
        <v>8030</v>
      </c>
      <c r="I175" s="86">
        <f t="shared" si="33"/>
        <v>8230</v>
      </c>
      <c r="J175" s="91">
        <f t="shared" si="36"/>
        <v>156.76190476190476</v>
      </c>
      <c r="K175" s="86">
        <f t="shared" si="29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8"/>
        <v>117930</v>
      </c>
      <c r="F176" s="86">
        <f t="shared" si="34"/>
        <v>710</v>
      </c>
      <c r="G176" s="86">
        <f>SUMIF(F$6:F176,"&gt;0")</f>
        <v>118555</v>
      </c>
      <c r="H176" s="86">
        <f t="shared" si="35"/>
        <v>-28420</v>
      </c>
      <c r="I176" s="86">
        <f t="shared" si="33"/>
        <v>-27710</v>
      </c>
      <c r="J176" s="91">
        <f t="shared" si="36"/>
        <v>-527.80952380952374</v>
      </c>
      <c r="K176" s="86">
        <f t="shared" si="29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8"/>
        <v>117840</v>
      </c>
      <c r="F177" s="86">
        <f t="shared" si="34"/>
        <v>-90</v>
      </c>
      <c r="G177" s="86">
        <f>SUMIF(F$6:F177,"&gt;0")</f>
        <v>118555</v>
      </c>
      <c r="H177" s="86">
        <f t="shared" si="35"/>
        <v>0</v>
      </c>
      <c r="I177" s="86">
        <f t="shared" si="33"/>
        <v>-90</v>
      </c>
      <c r="J177" s="91">
        <f t="shared" si="36"/>
        <v>-1.7142857142857144</v>
      </c>
      <c r="K177" s="86">
        <f t="shared" si="29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8"/>
        <v>118840</v>
      </c>
      <c r="F178" s="86">
        <f t="shared" si="34"/>
        <v>1000</v>
      </c>
      <c r="G178" s="86">
        <f>SUMIF(F$6:F178,"&gt;0")</f>
        <v>119555</v>
      </c>
      <c r="H178" s="86">
        <f t="shared" si="35"/>
        <v>0</v>
      </c>
      <c r="I178" s="86">
        <f t="shared" si="33"/>
        <v>1000</v>
      </c>
      <c r="J178" s="91">
        <f t="shared" si="36"/>
        <v>19.047619047619047</v>
      </c>
      <c r="K178" s="86">
        <f t="shared" si="29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8"/>
        <v>116380</v>
      </c>
      <c r="F179" s="86">
        <f t="shared" si="34"/>
        <v>-680</v>
      </c>
      <c r="G179" s="86">
        <f>SUMIF(F$6:F179,"&gt;0")</f>
        <v>119555</v>
      </c>
      <c r="H179" s="86">
        <f t="shared" si="35"/>
        <v>-1780</v>
      </c>
      <c r="I179" s="86">
        <f t="shared" si="33"/>
        <v>-2460</v>
      </c>
      <c r="J179" s="91">
        <f t="shared" si="36"/>
        <v>-46.857142857142861</v>
      </c>
      <c r="K179" s="86">
        <f t="shared" si="29"/>
        <v>11420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8"/>
        <v>118940</v>
      </c>
      <c r="F180" s="86">
        <f t="shared" si="34"/>
        <v>2540</v>
      </c>
      <c r="G180" s="86">
        <f>SUMIF(F$6:F180,"&gt;0")</f>
        <v>122095</v>
      </c>
      <c r="H180" s="86">
        <f t="shared" si="35"/>
        <v>20</v>
      </c>
      <c r="I180" s="86">
        <f t="shared" si="33"/>
        <v>2560</v>
      </c>
      <c r="J180" s="91">
        <f t="shared" si="36"/>
        <v>48.761904761904766</v>
      </c>
      <c r="K180" s="86">
        <f t="shared" si="29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8"/>
        <v>119085</v>
      </c>
      <c r="F181" s="86">
        <f t="shared" si="34"/>
        <v>125</v>
      </c>
      <c r="G181" s="86">
        <f>SUMIF(F$6:F181,"&gt;0")</f>
        <v>122220</v>
      </c>
      <c r="H181" s="86">
        <f t="shared" si="35"/>
        <v>20</v>
      </c>
      <c r="I181" s="86">
        <f t="shared" si="33"/>
        <v>145</v>
      </c>
      <c r="J181" s="91">
        <f t="shared" si="36"/>
        <v>2.7619047619047619</v>
      </c>
      <c r="K181" s="86">
        <f t="shared" si="29"/>
        <v>13430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8"/>
        <v>119205</v>
      </c>
      <c r="F182" s="86">
        <f t="shared" si="34"/>
        <v>100</v>
      </c>
      <c r="G182" s="86">
        <f>SUMIF(F$6:F182,"&gt;0")</f>
        <v>122320</v>
      </c>
      <c r="H182" s="86">
        <f t="shared" si="35"/>
        <v>20</v>
      </c>
      <c r="I182" s="86">
        <f t="shared" si="33"/>
        <v>120</v>
      </c>
      <c r="J182" s="91">
        <f t="shared" si="36"/>
        <v>2.2857142857142856</v>
      </c>
      <c r="K182" s="86">
        <f t="shared" si="29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8"/>
        <v>120205</v>
      </c>
      <c r="F183" s="86">
        <f t="shared" si="34"/>
        <v>1000</v>
      </c>
      <c r="G183" s="86">
        <f>SUMIF(F$6:F183,"&gt;0")</f>
        <v>123320</v>
      </c>
      <c r="H183" s="86">
        <f t="shared" si="35"/>
        <v>0</v>
      </c>
      <c r="I183" s="86">
        <f t="shared" si="33"/>
        <v>1000</v>
      </c>
      <c r="J183" s="91">
        <f t="shared" si="36"/>
        <v>19.047619047619047</v>
      </c>
      <c r="K183" s="86">
        <f t="shared" si="29"/>
        <v>14330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8"/>
        <v>93775</v>
      </c>
      <c r="F184" s="86">
        <f t="shared" si="34"/>
        <v>-1200</v>
      </c>
      <c r="G184" s="86">
        <f>SUMIF(F$6:F184,"&gt;0")</f>
        <v>123320</v>
      </c>
      <c r="H184" s="86">
        <f t="shared" si="35"/>
        <v>-25230</v>
      </c>
      <c r="I184" s="86">
        <f t="shared" si="33"/>
        <v>-26430</v>
      </c>
      <c r="J184" s="91">
        <f t="shared" si="36"/>
        <v>-503.42857142857144</v>
      </c>
      <c r="K184" s="86">
        <f t="shared" si="29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8"/>
        <v>96835</v>
      </c>
      <c r="F185" s="86">
        <f t="shared" si="34"/>
        <v>2460</v>
      </c>
      <c r="G185" s="86">
        <f>SUMIF(F$6:F185,"&gt;0")</f>
        <v>125780</v>
      </c>
      <c r="H185" s="86">
        <f t="shared" si="35"/>
        <v>600</v>
      </c>
      <c r="I185" s="86">
        <f t="shared" ref="I185:I189" si="37">SUM(F185,H185)</f>
        <v>3060</v>
      </c>
      <c r="J185" s="91">
        <f t="shared" si="36"/>
        <v>58.285714285714285</v>
      </c>
      <c r="K185" s="86">
        <f t="shared" si="29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8"/>
        <v>93535</v>
      </c>
      <c r="F186" s="86">
        <f t="shared" si="34"/>
        <v>-3300</v>
      </c>
      <c r="G186" s="86">
        <f>SUMIF(F$6:F186,"&gt;0")</f>
        <v>125780</v>
      </c>
      <c r="H186" s="86">
        <f t="shared" si="35"/>
        <v>0</v>
      </c>
      <c r="I186" s="86">
        <f t="shared" si="37"/>
        <v>-3300</v>
      </c>
      <c r="J186" s="91">
        <f t="shared" si="36"/>
        <v>-62.857142857142854</v>
      </c>
      <c r="K186" s="86">
        <f t="shared" si="29"/>
        <v>16390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8"/>
        <v>94130</v>
      </c>
      <c r="F187" s="86">
        <f t="shared" si="34"/>
        <v>575</v>
      </c>
      <c r="G187" s="86">
        <f>SUMIF(F$6:F187,"&gt;0")</f>
        <v>126355</v>
      </c>
      <c r="H187" s="86">
        <f t="shared" si="35"/>
        <v>20</v>
      </c>
      <c r="I187" s="86">
        <f t="shared" si="37"/>
        <v>595</v>
      </c>
      <c r="J187" s="91">
        <f t="shared" si="36"/>
        <v>11.333333333333332</v>
      </c>
      <c r="K187" s="86">
        <f t="shared" si="29"/>
        <v>16965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8"/>
        <v>89475</v>
      </c>
      <c r="F188" s="86">
        <f t="shared" si="34"/>
        <v>-3425</v>
      </c>
      <c r="G188" s="86">
        <f>SUMIF(F$6:F188,"&gt;0")</f>
        <v>126355</v>
      </c>
      <c r="H188" s="86">
        <f t="shared" si="35"/>
        <v>-1230</v>
      </c>
      <c r="I188" s="86">
        <f t="shared" si="37"/>
        <v>-4655</v>
      </c>
      <c r="J188" s="91">
        <f t="shared" si="36"/>
        <v>-88.666666666666671</v>
      </c>
      <c r="K188" s="86">
        <f t="shared" si="29"/>
        <v>16665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8"/>
        <v>88755</v>
      </c>
      <c r="F189" s="86">
        <f t="shared" si="34"/>
        <v>0</v>
      </c>
      <c r="G189" s="86">
        <f>SUMIF(F$6:F189,"&gt;0")</f>
        <v>126355</v>
      </c>
      <c r="H189" s="86">
        <f t="shared" si="35"/>
        <v>-720</v>
      </c>
      <c r="I189" s="86">
        <f t="shared" si="37"/>
        <v>-720</v>
      </c>
      <c r="J189" s="91">
        <f t="shared" si="36"/>
        <v>-13.714285714285715</v>
      </c>
      <c r="K189" s="86">
        <f t="shared" si="29"/>
        <v>16290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208" si="38">SUM(C190:D190)</f>
        <v>88855</v>
      </c>
      <c r="F190" s="86">
        <f t="shared" ref="F190" si="39">C190-C189</f>
        <v>100</v>
      </c>
      <c r="G190" s="86">
        <f>SUMIF(F$6:F190,"&gt;0")</f>
        <v>126455</v>
      </c>
      <c r="H190" s="86">
        <f t="shared" ref="H190" si="40">D190-D189</f>
        <v>0</v>
      </c>
      <c r="I190" s="86">
        <f t="shared" ref="I190" si="41">SUM(F190,H190)</f>
        <v>100</v>
      </c>
      <c r="J190" s="91">
        <f t="shared" si="36"/>
        <v>1.9047619047619047</v>
      </c>
      <c r="K190" s="86">
        <f t="shared" si="29"/>
        <v>16390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38"/>
        <v>84455</v>
      </c>
      <c r="F191" s="86">
        <f t="shared" ref="F191" si="42">C191-C190</f>
        <v>60</v>
      </c>
      <c r="G191" s="86">
        <f>SUMIF(F$6:F191,"&gt;0")</f>
        <v>126515</v>
      </c>
      <c r="H191" s="86">
        <f t="shared" ref="H191" si="43">D191-D190</f>
        <v>-4460</v>
      </c>
      <c r="I191" s="86">
        <f t="shared" ref="I191" si="44">SUM(F191,H191)</f>
        <v>-4400</v>
      </c>
      <c r="J191" s="91">
        <f t="shared" ref="J191" si="45">I191/4200*80</f>
        <v>-83.80952380952381</v>
      </c>
      <c r="K191" s="86">
        <f t="shared" si="29"/>
        <v>16400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38"/>
        <v>83135</v>
      </c>
      <c r="F192" s="86">
        <f t="shared" ref="F192" si="46">C192-C191</f>
        <v>-180</v>
      </c>
      <c r="G192" s="86">
        <f>SUMIF(F$6:F192,"&gt;0")</f>
        <v>126515</v>
      </c>
      <c r="H192" s="86">
        <f t="shared" ref="H192" si="47">D192-D191</f>
        <v>-1140</v>
      </c>
      <c r="I192" s="86">
        <f t="shared" ref="I192" si="48">SUM(F192,H192)</f>
        <v>-1320</v>
      </c>
      <c r="J192" s="91">
        <f t="shared" ref="J192" si="49">I192/4200*80</f>
        <v>-25.142857142857142</v>
      </c>
      <c r="K192" s="86">
        <f t="shared" si="29"/>
        <v>16400</v>
      </c>
    </row>
    <row r="193" spans="1:13" x14ac:dyDescent="0.25">
      <c r="A193" s="87">
        <v>44114.138194444444</v>
      </c>
      <c r="B193" s="117" t="s">
        <v>296</v>
      </c>
      <c r="C193" s="84">
        <v>105</v>
      </c>
      <c r="D193" s="84">
        <v>82650</v>
      </c>
      <c r="E193" s="84">
        <f t="shared" si="38"/>
        <v>82755</v>
      </c>
      <c r="F193" s="86">
        <f t="shared" ref="F193" si="50">C193-C192</f>
        <v>100</v>
      </c>
      <c r="G193" s="86">
        <f>SUMIF(F$6:F193,"&gt;0")</f>
        <v>126615</v>
      </c>
      <c r="H193" s="86">
        <f t="shared" ref="H193" si="51">D193-D192</f>
        <v>-480</v>
      </c>
      <c r="I193" s="86">
        <f t="shared" ref="I193" si="52">SUM(F193,H193)</f>
        <v>-380</v>
      </c>
      <c r="J193" s="91">
        <f t="shared" ref="J193" si="53">I193/4200*80</f>
        <v>-7.2380952380952381</v>
      </c>
      <c r="K193" s="86">
        <f t="shared" si="29"/>
        <v>16400</v>
      </c>
    </row>
    <row r="194" spans="1:13" x14ac:dyDescent="0.25">
      <c r="A194" s="87">
        <v>44115.041666666664</v>
      </c>
      <c r="C194" s="84">
        <v>130</v>
      </c>
      <c r="D194" s="84">
        <v>78030</v>
      </c>
      <c r="E194" s="84">
        <f t="shared" si="38"/>
        <v>78160</v>
      </c>
      <c r="F194" s="86">
        <f t="shared" ref="F194" si="54">C194-C193</f>
        <v>25</v>
      </c>
      <c r="G194" s="86">
        <f>SUMIF(F$6:F194,"&gt;0")</f>
        <v>126640</v>
      </c>
      <c r="H194" s="86">
        <f t="shared" ref="H194" si="55">D194-D193</f>
        <v>-4620</v>
      </c>
      <c r="I194" s="86">
        <f t="shared" ref="I194" si="56">SUM(F194,H194)</f>
        <v>-4595</v>
      </c>
      <c r="J194" s="91">
        <f t="shared" ref="J194" si="57">I194/4200*80</f>
        <v>-87.523809523809533</v>
      </c>
      <c r="K194" s="86">
        <f t="shared" si="29"/>
        <v>16425</v>
      </c>
    </row>
    <row r="195" spans="1:13" x14ac:dyDescent="0.25">
      <c r="A195" s="87">
        <v>44115.106249999997</v>
      </c>
      <c r="C195" s="84">
        <v>230</v>
      </c>
      <c r="D195" s="84">
        <v>78050</v>
      </c>
      <c r="E195" s="84">
        <f t="shared" si="38"/>
        <v>78280</v>
      </c>
      <c r="F195" s="86">
        <f t="shared" ref="F195" si="58">C195-C194</f>
        <v>100</v>
      </c>
      <c r="G195" s="86">
        <f>SUMIF(F$6:F195,"&gt;0")</f>
        <v>126740</v>
      </c>
      <c r="H195" s="86">
        <f t="shared" ref="H195" si="59">D195-D194</f>
        <v>20</v>
      </c>
      <c r="I195" s="86">
        <f t="shared" ref="I195" si="60">SUM(F195,H195)</f>
        <v>120</v>
      </c>
      <c r="J195" s="91">
        <f t="shared" ref="J195" si="61">I195/4200*80</f>
        <v>2.2857142857142856</v>
      </c>
      <c r="K195" s="86">
        <f t="shared" si="29"/>
        <v>16525</v>
      </c>
    </row>
    <row r="196" spans="1:13" x14ac:dyDescent="0.25">
      <c r="A196" s="87">
        <v>44116.059027777781</v>
      </c>
      <c r="B196" s="117" t="s">
        <v>297</v>
      </c>
      <c r="C196" s="84">
        <v>330</v>
      </c>
      <c r="D196" s="84">
        <v>73700</v>
      </c>
      <c r="E196" s="84">
        <f t="shared" si="38"/>
        <v>74030</v>
      </c>
      <c r="F196" s="86">
        <f t="shared" ref="F196" si="62">C196-C195</f>
        <v>100</v>
      </c>
      <c r="G196" s="86">
        <f>SUMIF(F$6:F196,"&gt;0")</f>
        <v>126840</v>
      </c>
      <c r="H196" s="86">
        <f t="shared" ref="H196" si="63">D196-D195</f>
        <v>-4350</v>
      </c>
      <c r="I196" s="86">
        <f t="shared" ref="I196" si="64">SUM(F196,H196)</f>
        <v>-4250</v>
      </c>
      <c r="J196" s="91">
        <f t="shared" ref="J196" si="65">I196/4200*80</f>
        <v>-80.952380952380949</v>
      </c>
      <c r="K196" s="86">
        <f t="shared" si="29"/>
        <v>15745</v>
      </c>
      <c r="L196" s="84">
        <v>480</v>
      </c>
      <c r="M196" s="84">
        <v>10</v>
      </c>
    </row>
    <row r="197" spans="1:13" x14ac:dyDescent="0.25">
      <c r="A197" s="87">
        <v>44116.081250000003</v>
      </c>
      <c r="B197" s="117" t="s">
        <v>298</v>
      </c>
      <c r="C197" s="84">
        <v>1035</v>
      </c>
      <c r="D197" s="84">
        <v>74280</v>
      </c>
      <c r="E197" s="84">
        <f t="shared" si="38"/>
        <v>75315</v>
      </c>
      <c r="F197" s="86">
        <f t="shared" ref="F197" si="66">C197-C196</f>
        <v>705</v>
      </c>
      <c r="G197" s="86">
        <f>SUMIF(F$6:F197,"&gt;0")</f>
        <v>127545</v>
      </c>
      <c r="H197" s="86">
        <f t="shared" ref="H197" si="67">D197-D196</f>
        <v>580</v>
      </c>
      <c r="I197" s="86">
        <f t="shared" ref="I197" si="68">SUM(F197,H197)</f>
        <v>1285</v>
      </c>
      <c r="J197" s="91">
        <f t="shared" ref="J197" si="69">I197/4200*80</f>
        <v>24.476190476190478</v>
      </c>
      <c r="K197" s="86">
        <f t="shared" si="29"/>
        <v>16450</v>
      </c>
    </row>
    <row r="198" spans="1:13" x14ac:dyDescent="0.25">
      <c r="A198" s="87">
        <v>44116.84652777778</v>
      </c>
      <c r="B198" s="117" t="s">
        <v>299</v>
      </c>
      <c r="C198" s="84">
        <v>1060</v>
      </c>
      <c r="D198" s="84">
        <v>70650</v>
      </c>
      <c r="E198" s="84">
        <f t="shared" si="38"/>
        <v>71710</v>
      </c>
      <c r="F198" s="86">
        <f t="shared" ref="F198" si="70">C198-C197</f>
        <v>25</v>
      </c>
      <c r="G198" s="86">
        <f>SUMIF(F$6:F198,"&gt;0")</f>
        <v>127570</v>
      </c>
      <c r="H198" s="86">
        <f t="shared" ref="H198" si="71">D198-D197</f>
        <v>-3630</v>
      </c>
      <c r="I198" s="86">
        <f t="shared" ref="I198" si="72">SUM(F198,H198)</f>
        <v>-3605</v>
      </c>
      <c r="J198" s="91">
        <f t="shared" ref="J198" si="73">I198/4200*80</f>
        <v>-68.666666666666657</v>
      </c>
      <c r="K198" s="86">
        <f t="shared" si="29"/>
        <v>16475</v>
      </c>
    </row>
    <row r="199" spans="1:13" x14ac:dyDescent="0.25">
      <c r="A199" s="87">
        <v>44117.600694444445</v>
      </c>
      <c r="B199" s="117" t="s">
        <v>299</v>
      </c>
      <c r="C199" s="84">
        <v>10</v>
      </c>
      <c r="D199" s="84">
        <v>70620</v>
      </c>
      <c r="E199" s="84">
        <f t="shared" si="38"/>
        <v>70630</v>
      </c>
      <c r="F199" s="86">
        <f t="shared" ref="F199" si="74">C199-C198</f>
        <v>-1050</v>
      </c>
      <c r="G199" s="86">
        <f>SUMIF(F$6:F199,"&gt;0")</f>
        <v>127570</v>
      </c>
      <c r="H199" s="86">
        <f t="shared" ref="H199" si="75">D199-D198</f>
        <v>-30</v>
      </c>
      <c r="I199" s="86">
        <f t="shared" ref="I199" si="76">SUM(F199,H199)</f>
        <v>-1080</v>
      </c>
      <c r="J199" s="91">
        <f t="shared" ref="J199" si="77">I199/4200*80</f>
        <v>-20.571428571428569</v>
      </c>
      <c r="K199" s="86">
        <f t="shared" ref="K199:K208" si="78">IFERROR(G199 - _xlfn.XLOOKUP(A199-30, $A$6:$A$14999,G$6:G$14999,"",-1,2),NA())</f>
        <v>16415</v>
      </c>
    </row>
    <row r="200" spans="1:13" x14ac:dyDescent="0.25">
      <c r="A200" s="87">
        <v>44117.60833333333</v>
      </c>
      <c r="C200" s="84">
        <v>280</v>
      </c>
      <c r="D200" s="84">
        <v>70670</v>
      </c>
      <c r="E200" s="84">
        <f t="shared" si="38"/>
        <v>70950</v>
      </c>
      <c r="F200" s="86">
        <f t="shared" ref="F200" si="79">C200-C199</f>
        <v>270</v>
      </c>
      <c r="G200" s="86">
        <f>SUMIF(F$6:F200,"&gt;0")</f>
        <v>127840</v>
      </c>
      <c r="H200" s="86">
        <f t="shared" ref="H200" si="80">D200-D199</f>
        <v>50</v>
      </c>
      <c r="I200" s="86">
        <f t="shared" ref="I200" si="81">SUM(F200,H200)</f>
        <v>320</v>
      </c>
      <c r="J200" s="91">
        <f t="shared" ref="J200" si="82">I200/4200*80</f>
        <v>6.0952380952380958</v>
      </c>
      <c r="K200" s="86">
        <f t="shared" si="78"/>
        <v>16685</v>
      </c>
    </row>
    <row r="201" spans="1:13" x14ac:dyDescent="0.25">
      <c r="A201" s="87">
        <v>44118.054861111108</v>
      </c>
      <c r="C201" s="84">
        <v>425</v>
      </c>
      <c r="D201" s="84">
        <v>70690</v>
      </c>
      <c r="E201" s="84">
        <f t="shared" si="38"/>
        <v>71115</v>
      </c>
      <c r="F201" s="86">
        <f t="shared" ref="F201" si="83">C201-C200</f>
        <v>145</v>
      </c>
      <c r="G201" s="86">
        <f>SUMIF(F$6:F201,"&gt;0")</f>
        <v>127985</v>
      </c>
      <c r="H201" s="86">
        <f t="shared" ref="H201" si="84">D201-D200</f>
        <v>20</v>
      </c>
      <c r="I201" s="86">
        <f t="shared" ref="I201" si="85">SUM(F201,H201)</f>
        <v>165</v>
      </c>
      <c r="J201" s="91">
        <f t="shared" ref="J201" si="86">I201/4200*80</f>
        <v>3.1428571428571428</v>
      </c>
      <c r="K201" s="86">
        <f t="shared" si="78"/>
        <v>16830</v>
      </c>
    </row>
    <row r="202" spans="1:13" x14ac:dyDescent="0.25">
      <c r="A202" s="87">
        <v>44119.049305555556</v>
      </c>
      <c r="B202" s="117" t="s">
        <v>310</v>
      </c>
      <c r="C202" s="84">
        <v>5</v>
      </c>
      <c r="D202" s="84">
        <v>65710</v>
      </c>
      <c r="E202" s="84">
        <f t="shared" si="38"/>
        <v>65715</v>
      </c>
      <c r="F202" s="86">
        <f t="shared" ref="F202" si="87">C202-C201</f>
        <v>-420</v>
      </c>
      <c r="G202" s="86">
        <f>SUMIF(F$6:F202,"&gt;0")</f>
        <v>127985</v>
      </c>
      <c r="H202" s="86">
        <f t="shared" ref="H202" si="88">D202-D201</f>
        <v>-4980</v>
      </c>
      <c r="I202" s="86">
        <f t="shared" ref="I202" si="89">SUM(F202,H202)</f>
        <v>-5400</v>
      </c>
      <c r="J202" s="91">
        <f t="shared" ref="J202" si="90">I202/4200*80</f>
        <v>-102.85714285714286</v>
      </c>
      <c r="K202" s="86">
        <f t="shared" si="78"/>
        <v>16830</v>
      </c>
    </row>
    <row r="203" spans="1:13" x14ac:dyDescent="0.25">
      <c r="A203" s="87">
        <v>44119.147222222222</v>
      </c>
      <c r="C203" s="84">
        <v>415</v>
      </c>
      <c r="D203" s="84">
        <v>65730</v>
      </c>
      <c r="E203" s="84">
        <f t="shared" si="38"/>
        <v>66145</v>
      </c>
      <c r="F203" s="86">
        <f t="shared" ref="F203" si="91">C203-C202</f>
        <v>410</v>
      </c>
      <c r="G203" s="86">
        <f>SUMIF(F$6:F203,"&gt;0")</f>
        <v>128395</v>
      </c>
      <c r="H203" s="86">
        <f t="shared" ref="H203" si="92">D203-D202</f>
        <v>20</v>
      </c>
      <c r="I203" s="86">
        <f t="shared" ref="I203" si="93">SUM(F203,H203)</f>
        <v>430</v>
      </c>
      <c r="J203" s="91">
        <f t="shared" ref="J203" si="94">I203/4200*80</f>
        <v>8.1904761904761898</v>
      </c>
      <c r="K203" s="86">
        <f t="shared" si="78"/>
        <v>16660</v>
      </c>
    </row>
    <row r="204" spans="1:13" x14ac:dyDescent="0.25">
      <c r="A204" s="87">
        <v>44120.174305555556</v>
      </c>
      <c r="B204" s="117" t="s">
        <v>312</v>
      </c>
      <c r="C204" s="84">
        <v>415</v>
      </c>
      <c r="D204" s="84">
        <v>29200</v>
      </c>
      <c r="E204" s="84">
        <f t="shared" si="38"/>
        <v>29615</v>
      </c>
      <c r="F204" s="86">
        <f t="shared" ref="F204" si="95">C204-C203</f>
        <v>0</v>
      </c>
      <c r="G204" s="86">
        <f>SUMIF(F$6:F204,"&gt;0")</f>
        <v>128395</v>
      </c>
      <c r="H204" s="86">
        <f t="shared" ref="H204" si="96">D204-D203</f>
        <v>-36530</v>
      </c>
      <c r="I204" s="86">
        <f t="shared" ref="I204" si="97">SUM(F204,H204)</f>
        <v>-36530</v>
      </c>
      <c r="J204" s="91">
        <f t="shared" ref="J204" si="98">I204/4200*80</f>
        <v>-695.80952380952385</v>
      </c>
      <c r="K204" s="86">
        <f t="shared" si="78"/>
        <v>16300</v>
      </c>
    </row>
    <row r="205" spans="1:13" x14ac:dyDescent="0.25">
      <c r="A205" s="87">
        <v>44120.204861111109</v>
      </c>
      <c r="C205" s="84">
        <v>775</v>
      </c>
      <c r="D205" s="84">
        <v>29250</v>
      </c>
      <c r="E205" s="84">
        <f t="shared" si="38"/>
        <v>30025</v>
      </c>
      <c r="F205" s="86">
        <f t="shared" ref="F205" si="99">C205-C204</f>
        <v>360</v>
      </c>
      <c r="G205" s="86">
        <f>SUMIF(F$6:F205,"&gt;0")</f>
        <v>128755</v>
      </c>
      <c r="H205" s="86">
        <f t="shared" ref="H205" si="100">D205-D204</f>
        <v>50</v>
      </c>
      <c r="I205" s="86">
        <f t="shared" ref="I205" si="101">SUM(F205,H205)</f>
        <v>410</v>
      </c>
      <c r="J205" s="91">
        <f t="shared" ref="J205" si="102">I205/4200*80</f>
        <v>7.8095238095238093</v>
      </c>
      <c r="K205" s="86">
        <f t="shared" si="78"/>
        <v>16660</v>
      </c>
    </row>
    <row r="206" spans="1:13" x14ac:dyDescent="0.25">
      <c r="A206" s="87">
        <v>44121.52847222222</v>
      </c>
      <c r="C206" s="84">
        <v>905</v>
      </c>
      <c r="D206" s="84">
        <v>29250</v>
      </c>
      <c r="E206" s="84">
        <f t="shared" si="38"/>
        <v>30155</v>
      </c>
      <c r="F206" s="86">
        <f t="shared" ref="F206" si="103">C206-C205</f>
        <v>130</v>
      </c>
      <c r="G206" s="86">
        <f>SUMIF(F$6:F206,"&gt;0")</f>
        <v>128885</v>
      </c>
      <c r="H206" s="86">
        <f t="shared" ref="H206" si="104">D206-D205</f>
        <v>0</v>
      </c>
      <c r="I206" s="86">
        <f t="shared" ref="I206" si="105">SUM(F206,H206)</f>
        <v>130</v>
      </c>
      <c r="J206" s="91">
        <f t="shared" ref="J206" si="106">I206/4200*80</f>
        <v>2.4761904761904763</v>
      </c>
      <c r="K206" s="86">
        <f t="shared" si="78"/>
        <v>16790</v>
      </c>
    </row>
    <row r="207" spans="1:13" x14ac:dyDescent="0.25">
      <c r="A207" s="87">
        <v>44121.974305555559</v>
      </c>
      <c r="C207" s="84">
        <v>1285</v>
      </c>
      <c r="D207" s="84">
        <v>29795</v>
      </c>
      <c r="E207" s="84">
        <f t="shared" si="38"/>
        <v>31080</v>
      </c>
      <c r="F207" s="86">
        <f t="shared" ref="F207" si="107">C207-C206</f>
        <v>380</v>
      </c>
      <c r="G207" s="86">
        <f>SUMIF(F$6:F207,"&gt;0")</f>
        <v>129265</v>
      </c>
      <c r="H207" s="86">
        <f t="shared" ref="H207" si="108">D207-D206</f>
        <v>545</v>
      </c>
      <c r="I207" s="86">
        <f t="shared" ref="I207" si="109">SUM(F207,H207)</f>
        <v>925</v>
      </c>
      <c r="J207" s="91">
        <f t="shared" ref="J207" si="110">I207/4200*80</f>
        <v>17.61904761904762</v>
      </c>
      <c r="K207" s="86">
        <f t="shared" si="78"/>
        <v>16750</v>
      </c>
      <c r="L207" s="84">
        <v>480</v>
      </c>
      <c r="M207" s="84">
        <v>8</v>
      </c>
    </row>
    <row r="208" spans="1:13" x14ac:dyDescent="0.25">
      <c r="A208" s="87">
        <v>44122.167361111111</v>
      </c>
      <c r="B208" s="117" t="s">
        <v>313</v>
      </c>
      <c r="C208" s="84">
        <v>1745</v>
      </c>
      <c r="D208" s="84">
        <v>29795</v>
      </c>
      <c r="E208" s="84">
        <f t="shared" si="38"/>
        <v>31540</v>
      </c>
      <c r="F208" s="86">
        <f t="shared" ref="F208" si="111">C208-C207</f>
        <v>460</v>
      </c>
      <c r="G208" s="86">
        <f>SUMIF(F$6:F208,"&gt;0")</f>
        <v>129725</v>
      </c>
      <c r="H208" s="86">
        <f t="shared" ref="H208" si="112">D208-D207</f>
        <v>0</v>
      </c>
      <c r="I208" s="86">
        <f t="shared" ref="I208" si="113">SUM(F208,H208)</f>
        <v>460</v>
      </c>
      <c r="J208" s="91">
        <f t="shared" ref="J208" si="114">I208/4200*80</f>
        <v>8.7619047619047628</v>
      </c>
      <c r="K208" s="86">
        <f t="shared" si="78"/>
        <v>17210</v>
      </c>
      <c r="L208" s="84">
        <v>480</v>
      </c>
      <c r="M208" s="84">
        <v>10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32"/>
  <sheetViews>
    <sheetView tabSelected="1" workbookViewId="0">
      <selection activeCell="L14" sqref="L14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7.42578125" style="86" hidden="1" customWidth="1"/>
    <col min="10" max="10" width="9.140625" style="86"/>
    <col min="11" max="11" width="9.140625" style="84"/>
    <col min="12" max="12" width="9.140625" style="86"/>
    <col min="13" max="16384" width="9.140625" style="84"/>
  </cols>
  <sheetData>
    <row r="1" spans="1:12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360" t="s">
        <v>315</v>
      </c>
      <c r="J1" s="360" t="s">
        <v>314</v>
      </c>
      <c r="K1" s="166" t="s">
        <v>10</v>
      </c>
      <c r="L1" s="168" t="s">
        <v>216</v>
      </c>
    </row>
    <row r="2" spans="1:12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6">
        <f>SUMIF(H$2:H2,"&gt;0")</f>
        <v>0</v>
      </c>
      <c r="J2" s="86" t="e">
        <f t="shared" ref="J2:J32" si="1">IFERROR(H2 - _xlfn.XLOOKUP(A2-30, $A$2:$A$14999,H$2:H$14999,"",-1,2),NA())</f>
        <v>#N/A</v>
      </c>
      <c r="K2" s="84">
        <f t="shared" ref="K2:K15" si="2">E2*120</f>
        <v>840</v>
      </c>
      <c r="L2" s="86">
        <v>0</v>
      </c>
    </row>
    <row r="3" spans="1:12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3">C3-C2</f>
        <v>1</v>
      </c>
      <c r="G3" s="86">
        <f t="shared" si="3"/>
        <v>0</v>
      </c>
      <c r="H3" s="86">
        <f t="shared" si="3"/>
        <v>1</v>
      </c>
      <c r="I3" s="86">
        <f>SUMIF(H$2:H3,"&gt;0")</f>
        <v>1</v>
      </c>
      <c r="J3" s="86" t="e">
        <f t="shared" si="1"/>
        <v>#N/A</v>
      </c>
      <c r="K3" s="84">
        <f t="shared" si="2"/>
        <v>960</v>
      </c>
      <c r="L3" s="86">
        <f t="shared" ref="L3:L20" si="4">K3-K2</f>
        <v>120</v>
      </c>
    </row>
    <row r="4" spans="1:12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3"/>
        <v>1</v>
      </c>
      <c r="G4" s="86">
        <f t="shared" si="3"/>
        <v>0</v>
      </c>
      <c r="H4" s="86">
        <f t="shared" si="3"/>
        <v>1</v>
      </c>
      <c r="I4" s="86">
        <f>SUMIF(H$2:H4,"&gt;0")</f>
        <v>2</v>
      </c>
      <c r="J4" s="86" t="e">
        <f t="shared" si="1"/>
        <v>#N/A</v>
      </c>
      <c r="K4" s="84">
        <f t="shared" si="2"/>
        <v>1080</v>
      </c>
      <c r="L4" s="86">
        <f t="shared" si="4"/>
        <v>120</v>
      </c>
    </row>
    <row r="5" spans="1:12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5">C5-C4</f>
        <v>1</v>
      </c>
      <c r="G5" s="86">
        <f t="shared" ref="G5:G22" si="6">D5-D4</f>
        <v>0</v>
      </c>
      <c r="H5" s="86">
        <f t="shared" ref="H5:H22" si="7">E5-E4</f>
        <v>1</v>
      </c>
      <c r="I5" s="86">
        <f>SUMIF(H$2:H5,"&gt;0")</f>
        <v>3</v>
      </c>
      <c r="J5" s="86" t="e">
        <f t="shared" si="1"/>
        <v>#N/A</v>
      </c>
      <c r="K5" s="84">
        <f t="shared" si="2"/>
        <v>1200</v>
      </c>
      <c r="L5" s="86">
        <f t="shared" si="4"/>
        <v>120</v>
      </c>
    </row>
    <row r="6" spans="1:12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5"/>
        <v>12</v>
      </c>
      <c r="G6" s="86">
        <f t="shared" si="6"/>
        <v>1</v>
      </c>
      <c r="H6" s="86">
        <f t="shared" si="7"/>
        <v>22</v>
      </c>
      <c r="I6" s="86">
        <f>SUMIF(H$2:H6,"&gt;0")</f>
        <v>25</v>
      </c>
      <c r="J6" s="86" t="e">
        <f>IFERROR(H6 - _xlfn.XLOOKUP(A6-30, $A$2:$A$14999,H$2:H$14999,"",-1,2),NA())</f>
        <v>#N/A</v>
      </c>
      <c r="K6" s="84">
        <f t="shared" si="2"/>
        <v>3840</v>
      </c>
      <c r="L6" s="86">
        <f t="shared" si="4"/>
        <v>2640</v>
      </c>
    </row>
    <row r="7" spans="1:12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5"/>
        <v>6</v>
      </c>
      <c r="G7" s="86">
        <f t="shared" si="6"/>
        <v>0</v>
      </c>
      <c r="H7" s="86">
        <f t="shared" si="7"/>
        <v>6</v>
      </c>
      <c r="I7" s="86">
        <f>SUMIF(H$2:H7,"&gt;0")</f>
        <v>31</v>
      </c>
      <c r="J7" s="86" t="e">
        <f t="shared" ref="J7:J32" si="8">IFERROR(H7 - _xlfn.XLOOKUP(A7-30, $A$2:$A$14999,H$2:H$14999,"",-1,2),NA())</f>
        <v>#N/A</v>
      </c>
      <c r="K7" s="84">
        <f t="shared" si="2"/>
        <v>4560</v>
      </c>
      <c r="L7" s="86">
        <f t="shared" si="4"/>
        <v>720</v>
      </c>
    </row>
    <row r="8" spans="1:12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5"/>
        <v>3</v>
      </c>
      <c r="G8" s="86">
        <f t="shared" si="6"/>
        <v>0</v>
      </c>
      <c r="H8" s="86">
        <f t="shared" si="7"/>
        <v>3</v>
      </c>
      <c r="I8" s="86">
        <f>SUMIF(H$2:H8,"&gt;0")</f>
        <v>34</v>
      </c>
      <c r="J8" s="86" t="e">
        <f t="shared" si="8"/>
        <v>#N/A</v>
      </c>
      <c r="K8" s="84">
        <f t="shared" si="2"/>
        <v>4920</v>
      </c>
      <c r="L8" s="86">
        <f t="shared" si="4"/>
        <v>360</v>
      </c>
    </row>
    <row r="9" spans="1:12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5"/>
        <v>3</v>
      </c>
      <c r="G9" s="86">
        <f t="shared" si="6"/>
        <v>0</v>
      </c>
      <c r="H9" s="86">
        <f t="shared" si="7"/>
        <v>3</v>
      </c>
      <c r="I9" s="86">
        <f>SUMIF(H$2:H9,"&gt;0")</f>
        <v>37</v>
      </c>
      <c r="J9" s="86" t="e">
        <f t="shared" si="8"/>
        <v>#N/A</v>
      </c>
      <c r="K9" s="84">
        <f t="shared" si="2"/>
        <v>5280</v>
      </c>
      <c r="L9" s="86">
        <f t="shared" si="4"/>
        <v>360</v>
      </c>
    </row>
    <row r="10" spans="1:12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5"/>
        <v>4</v>
      </c>
      <c r="G10" s="86">
        <f t="shared" si="6"/>
        <v>1</v>
      </c>
      <c r="H10" s="86">
        <f t="shared" si="7"/>
        <v>14</v>
      </c>
      <c r="I10" s="86">
        <f>SUMIF(H$2:H10,"&gt;0")</f>
        <v>51</v>
      </c>
      <c r="J10" s="86" t="e">
        <f t="shared" si="8"/>
        <v>#N/A</v>
      </c>
      <c r="K10" s="84">
        <f t="shared" si="2"/>
        <v>6960</v>
      </c>
      <c r="L10" s="86">
        <f t="shared" si="4"/>
        <v>1680</v>
      </c>
    </row>
    <row r="11" spans="1:12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5"/>
        <v>5</v>
      </c>
      <c r="G11" s="86">
        <f t="shared" si="6"/>
        <v>1</v>
      </c>
      <c r="H11" s="86">
        <f t="shared" si="7"/>
        <v>15</v>
      </c>
      <c r="I11" s="86">
        <f>SUMIF(H$2:H11,"&gt;0")</f>
        <v>66</v>
      </c>
      <c r="J11" s="86" t="e">
        <f t="shared" si="8"/>
        <v>#N/A</v>
      </c>
      <c r="K11" s="84">
        <f t="shared" si="2"/>
        <v>8760</v>
      </c>
      <c r="L11" s="86">
        <f t="shared" si="4"/>
        <v>1800</v>
      </c>
    </row>
    <row r="12" spans="1:12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5"/>
        <v>1</v>
      </c>
      <c r="G12" s="86">
        <f t="shared" si="6"/>
        <v>0</v>
      </c>
      <c r="H12" s="86">
        <f t="shared" si="7"/>
        <v>1</v>
      </c>
      <c r="I12" s="86">
        <f>SUMIF(H$2:H12,"&gt;0")</f>
        <v>67</v>
      </c>
      <c r="J12" s="86" t="e">
        <f t="shared" si="8"/>
        <v>#N/A</v>
      </c>
      <c r="K12" s="84">
        <f t="shared" si="2"/>
        <v>8880</v>
      </c>
      <c r="L12" s="86">
        <f t="shared" si="4"/>
        <v>120</v>
      </c>
    </row>
    <row r="13" spans="1:12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5"/>
        <v>4</v>
      </c>
      <c r="G13" s="86">
        <f t="shared" si="6"/>
        <v>0</v>
      </c>
      <c r="H13" s="86">
        <f t="shared" si="7"/>
        <v>4</v>
      </c>
      <c r="I13" s="86">
        <f>SUMIF(H$2:H13,"&gt;0")</f>
        <v>71</v>
      </c>
      <c r="J13" s="86" t="e">
        <f t="shared" si="8"/>
        <v>#N/A</v>
      </c>
      <c r="K13" s="84">
        <f t="shared" si="2"/>
        <v>9360</v>
      </c>
      <c r="L13" s="86">
        <f t="shared" si="4"/>
        <v>480</v>
      </c>
    </row>
    <row r="14" spans="1:12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5"/>
        <v>1</v>
      </c>
      <c r="G14" s="86">
        <f t="shared" si="6"/>
        <v>0</v>
      </c>
      <c r="H14" s="86">
        <f t="shared" si="7"/>
        <v>1</v>
      </c>
      <c r="I14" s="86">
        <f>SUMIF(H$2:H14,"&gt;0")</f>
        <v>72</v>
      </c>
      <c r="J14" s="86" t="e">
        <f t="shared" si="8"/>
        <v>#N/A</v>
      </c>
      <c r="K14" s="84">
        <f t="shared" si="2"/>
        <v>9480</v>
      </c>
      <c r="L14" s="86">
        <f t="shared" si="4"/>
        <v>120</v>
      </c>
    </row>
    <row r="15" spans="1:12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5"/>
        <v>-49</v>
      </c>
      <c r="G15" s="86">
        <f t="shared" si="6"/>
        <v>-3</v>
      </c>
      <c r="H15" s="86">
        <f t="shared" si="7"/>
        <v>-79</v>
      </c>
      <c r="I15" s="86">
        <f>SUMIF(H$2:H15,"&gt;0")</f>
        <v>72</v>
      </c>
      <c r="J15" s="86" t="e">
        <f t="shared" si="8"/>
        <v>#N/A</v>
      </c>
      <c r="K15" s="84">
        <f t="shared" si="2"/>
        <v>0</v>
      </c>
      <c r="L15" s="86">
        <f t="shared" si="4"/>
        <v>-9480</v>
      </c>
    </row>
    <row r="16" spans="1:12" x14ac:dyDescent="0.25">
      <c r="A16" s="87">
        <v>44105.106249999997</v>
      </c>
      <c r="C16" s="84">
        <v>9</v>
      </c>
      <c r="D16" s="84">
        <v>1</v>
      </c>
      <c r="E16" s="171">
        <f t="shared" ref="E16:E23" si="9">C16+D16*10</f>
        <v>19</v>
      </c>
      <c r="F16" s="86">
        <f t="shared" si="5"/>
        <v>9</v>
      </c>
      <c r="G16" s="86">
        <f t="shared" si="6"/>
        <v>1</v>
      </c>
      <c r="H16" s="86">
        <f t="shared" si="7"/>
        <v>19</v>
      </c>
      <c r="I16" s="86">
        <f>SUMIF(H$2:H16,"&gt;0")</f>
        <v>91</v>
      </c>
      <c r="J16" s="86" t="e">
        <f t="shared" si="8"/>
        <v>#N/A</v>
      </c>
      <c r="K16" s="84">
        <f t="shared" ref="K16:K23" si="10">E16*120</f>
        <v>2280</v>
      </c>
      <c r="L16" s="86">
        <f t="shared" si="4"/>
        <v>2280</v>
      </c>
    </row>
    <row r="17" spans="1:12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9"/>
        <v>39</v>
      </c>
      <c r="F17" s="86">
        <f t="shared" si="5"/>
        <v>20</v>
      </c>
      <c r="G17" s="86">
        <f t="shared" si="6"/>
        <v>0</v>
      </c>
      <c r="H17" s="86">
        <f t="shared" si="7"/>
        <v>20</v>
      </c>
      <c r="I17" s="86">
        <f>SUMIF(H$2:H17,"&gt;0")</f>
        <v>111</v>
      </c>
      <c r="J17" s="86" t="e">
        <f t="shared" si="8"/>
        <v>#N/A</v>
      </c>
      <c r="K17" s="84">
        <f t="shared" si="10"/>
        <v>4680</v>
      </c>
      <c r="L17" s="86">
        <f t="shared" si="4"/>
        <v>2400</v>
      </c>
    </row>
    <row r="18" spans="1:12" x14ac:dyDescent="0.25">
      <c r="A18" s="87">
        <v>44107.056944444441</v>
      </c>
      <c r="C18" s="84">
        <v>34</v>
      </c>
      <c r="D18" s="84">
        <v>1</v>
      </c>
      <c r="E18" s="171">
        <f t="shared" si="9"/>
        <v>44</v>
      </c>
      <c r="F18" s="86">
        <f t="shared" si="5"/>
        <v>5</v>
      </c>
      <c r="G18" s="86">
        <f t="shared" si="6"/>
        <v>0</v>
      </c>
      <c r="H18" s="86">
        <f t="shared" si="7"/>
        <v>5</v>
      </c>
      <c r="I18" s="86">
        <f>SUMIF(H$2:H18,"&gt;0")</f>
        <v>116</v>
      </c>
      <c r="J18" s="86" t="e">
        <f t="shared" si="8"/>
        <v>#N/A</v>
      </c>
      <c r="K18" s="84">
        <f t="shared" si="10"/>
        <v>5280</v>
      </c>
      <c r="L18" s="86">
        <f t="shared" si="4"/>
        <v>600</v>
      </c>
    </row>
    <row r="19" spans="1:12" x14ac:dyDescent="0.25">
      <c r="A19" s="87">
        <v>44108.432638888888</v>
      </c>
      <c r="C19" s="84">
        <v>37</v>
      </c>
      <c r="D19" s="84">
        <v>1</v>
      </c>
      <c r="E19" s="171">
        <f t="shared" si="9"/>
        <v>47</v>
      </c>
      <c r="F19" s="86">
        <f t="shared" si="5"/>
        <v>3</v>
      </c>
      <c r="G19" s="86">
        <f t="shared" si="6"/>
        <v>0</v>
      </c>
      <c r="H19" s="86">
        <f t="shared" si="7"/>
        <v>3</v>
      </c>
      <c r="I19" s="86">
        <f>SUMIF(H$2:H19,"&gt;0")</f>
        <v>119</v>
      </c>
      <c r="J19" s="86" t="e">
        <f t="shared" si="8"/>
        <v>#N/A</v>
      </c>
      <c r="K19" s="84">
        <f t="shared" si="10"/>
        <v>5640</v>
      </c>
      <c r="L19" s="86">
        <f t="shared" si="4"/>
        <v>360</v>
      </c>
    </row>
    <row r="20" spans="1:12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9"/>
        <v>1</v>
      </c>
      <c r="F20" s="86">
        <f t="shared" si="5"/>
        <v>-36</v>
      </c>
      <c r="G20" s="86">
        <f t="shared" si="6"/>
        <v>-1</v>
      </c>
      <c r="H20" s="86">
        <f t="shared" si="7"/>
        <v>-46</v>
      </c>
      <c r="I20" s="86">
        <f>SUMIF(H$2:H20,"&gt;0")</f>
        <v>119</v>
      </c>
      <c r="J20" s="86" t="e">
        <f t="shared" si="8"/>
        <v>#N/A</v>
      </c>
      <c r="K20" s="84">
        <f t="shared" si="10"/>
        <v>120</v>
      </c>
      <c r="L20" s="86">
        <f t="shared" si="4"/>
        <v>-5520</v>
      </c>
    </row>
    <row r="21" spans="1:12" x14ac:dyDescent="0.25">
      <c r="A21" s="87">
        <v>44110.083333333336</v>
      </c>
      <c r="C21" s="84">
        <v>2</v>
      </c>
      <c r="D21" s="84">
        <v>0</v>
      </c>
      <c r="E21" s="171">
        <f t="shared" si="9"/>
        <v>2</v>
      </c>
      <c r="F21" s="86">
        <f t="shared" si="5"/>
        <v>1</v>
      </c>
      <c r="G21" s="86">
        <f t="shared" si="6"/>
        <v>0</v>
      </c>
      <c r="H21" s="86">
        <f t="shared" si="7"/>
        <v>1</v>
      </c>
      <c r="I21" s="86">
        <f>SUMIF(H$2:H21,"&gt;0")</f>
        <v>120</v>
      </c>
      <c r="J21" s="86" t="e">
        <f t="shared" si="8"/>
        <v>#N/A</v>
      </c>
      <c r="K21" s="84">
        <f t="shared" si="10"/>
        <v>240</v>
      </c>
      <c r="L21" s="86">
        <f t="shared" ref="L21:L29" si="11">K21-K20</f>
        <v>120</v>
      </c>
    </row>
    <row r="22" spans="1:12" x14ac:dyDescent="0.25">
      <c r="A22" s="87">
        <v>44111.107638888891</v>
      </c>
      <c r="C22" s="84">
        <v>3</v>
      </c>
      <c r="D22" s="84">
        <v>0</v>
      </c>
      <c r="E22" s="171">
        <f t="shared" si="9"/>
        <v>3</v>
      </c>
      <c r="F22" s="86">
        <f t="shared" si="5"/>
        <v>1</v>
      </c>
      <c r="G22" s="86">
        <f t="shared" si="6"/>
        <v>0</v>
      </c>
      <c r="H22" s="86">
        <f t="shared" si="7"/>
        <v>1</v>
      </c>
      <c r="I22" s="86">
        <f>SUMIF(H$2:H22,"&gt;0")</f>
        <v>121</v>
      </c>
      <c r="J22" s="86" t="e">
        <f t="shared" si="8"/>
        <v>#N/A</v>
      </c>
      <c r="K22" s="84">
        <f t="shared" si="10"/>
        <v>360</v>
      </c>
      <c r="L22" s="86">
        <f t="shared" si="11"/>
        <v>120</v>
      </c>
    </row>
    <row r="23" spans="1:12" x14ac:dyDescent="0.25">
      <c r="A23" s="87">
        <v>44112.307638888888</v>
      </c>
      <c r="C23" s="84">
        <v>4</v>
      </c>
      <c r="D23" s="84">
        <v>0</v>
      </c>
      <c r="E23" s="171">
        <f t="shared" si="9"/>
        <v>4</v>
      </c>
      <c r="F23" s="86">
        <f t="shared" ref="F23" si="12">C23-C22</f>
        <v>1</v>
      </c>
      <c r="G23" s="86">
        <f t="shared" ref="G23" si="13">D23-D22</f>
        <v>0</v>
      </c>
      <c r="H23" s="86">
        <f t="shared" ref="H23" si="14">E23-E22</f>
        <v>1</v>
      </c>
      <c r="I23" s="86">
        <f>SUMIF(H$2:H23,"&gt;0")</f>
        <v>122</v>
      </c>
      <c r="J23" s="86" t="e">
        <f t="shared" si="8"/>
        <v>#N/A</v>
      </c>
      <c r="K23" s="84">
        <f t="shared" si="10"/>
        <v>480</v>
      </c>
      <c r="L23" s="86">
        <f t="shared" si="11"/>
        <v>120</v>
      </c>
    </row>
    <row r="24" spans="1:12" x14ac:dyDescent="0.25">
      <c r="A24" s="87">
        <v>44113.241666666669</v>
      </c>
      <c r="C24" s="84">
        <v>5</v>
      </c>
      <c r="D24" s="84">
        <v>0</v>
      </c>
      <c r="E24" s="171">
        <f t="shared" ref="E24:E32" si="15">C24+D24*10</f>
        <v>5</v>
      </c>
      <c r="F24" s="86">
        <f t="shared" ref="F24" si="16">C24-C23</f>
        <v>1</v>
      </c>
      <c r="G24" s="86">
        <f t="shared" ref="G24" si="17">D24-D23</f>
        <v>0</v>
      </c>
      <c r="H24" s="86">
        <f t="shared" ref="H24" si="18">E24-E23</f>
        <v>1</v>
      </c>
      <c r="I24" s="86">
        <f>SUMIF(H$2:H24,"&gt;0")</f>
        <v>123</v>
      </c>
      <c r="J24" s="86" t="e">
        <f t="shared" si="8"/>
        <v>#N/A</v>
      </c>
      <c r="K24" s="84">
        <f t="shared" ref="K24:K29" si="19">E24*120</f>
        <v>600</v>
      </c>
      <c r="L24" s="86">
        <f t="shared" si="11"/>
        <v>120</v>
      </c>
    </row>
    <row r="25" spans="1:12" x14ac:dyDescent="0.25">
      <c r="A25" s="87">
        <v>44114.061805555553</v>
      </c>
      <c r="C25" s="84">
        <v>6</v>
      </c>
      <c r="D25" s="84">
        <v>0</v>
      </c>
      <c r="E25" s="171">
        <f t="shared" si="15"/>
        <v>6</v>
      </c>
      <c r="F25" s="86">
        <f t="shared" ref="F25" si="20">C25-C24</f>
        <v>1</v>
      </c>
      <c r="G25" s="86">
        <f t="shared" ref="G25" si="21">D25-D24</f>
        <v>0</v>
      </c>
      <c r="H25" s="86">
        <f t="shared" ref="H25" si="22">E25-E24</f>
        <v>1</v>
      </c>
      <c r="I25" s="86">
        <f>SUMIF(H$2:H25,"&gt;0")</f>
        <v>124</v>
      </c>
      <c r="J25" s="86" t="e">
        <f t="shared" si="8"/>
        <v>#N/A</v>
      </c>
      <c r="K25" s="84">
        <f t="shared" si="19"/>
        <v>720</v>
      </c>
      <c r="L25" s="86">
        <f t="shared" si="11"/>
        <v>120</v>
      </c>
    </row>
    <row r="26" spans="1:12" x14ac:dyDescent="0.25">
      <c r="A26" s="87">
        <v>44116.091666666667</v>
      </c>
      <c r="C26" s="84">
        <v>8</v>
      </c>
      <c r="D26" s="84">
        <v>0</v>
      </c>
      <c r="E26" s="171">
        <f t="shared" si="15"/>
        <v>8</v>
      </c>
      <c r="F26" s="86">
        <f t="shared" ref="F26" si="23">C26-C25</f>
        <v>2</v>
      </c>
      <c r="G26" s="86">
        <f t="shared" ref="G26" si="24">D26-D25</f>
        <v>0</v>
      </c>
      <c r="H26" s="86">
        <f t="shared" ref="H26" si="25">E26-E25</f>
        <v>2</v>
      </c>
      <c r="I26" s="86">
        <f>SUMIF(H$2:H26,"&gt;0")</f>
        <v>126</v>
      </c>
      <c r="J26" s="86" t="e">
        <f t="shared" si="8"/>
        <v>#N/A</v>
      </c>
      <c r="K26" s="84">
        <f t="shared" si="19"/>
        <v>960</v>
      </c>
      <c r="L26" s="86">
        <f t="shared" si="11"/>
        <v>240</v>
      </c>
    </row>
    <row r="27" spans="1:12" x14ac:dyDescent="0.25">
      <c r="A27" s="87">
        <v>44119.147222222222</v>
      </c>
      <c r="C27" s="84">
        <v>12</v>
      </c>
      <c r="D27" s="84">
        <v>0</v>
      </c>
      <c r="E27" s="171">
        <f t="shared" si="15"/>
        <v>12</v>
      </c>
      <c r="F27" s="86">
        <f t="shared" ref="F27" si="26">C27-C26</f>
        <v>4</v>
      </c>
      <c r="G27" s="86">
        <f t="shared" ref="G27" si="27">D27-D26</f>
        <v>0</v>
      </c>
      <c r="H27" s="86">
        <f t="shared" ref="H27" si="28">E27-E26</f>
        <v>4</v>
      </c>
      <c r="I27" s="86">
        <f>SUMIF(H$2:H27,"&gt;0")</f>
        <v>130</v>
      </c>
      <c r="J27" s="86" t="e">
        <f t="shared" si="8"/>
        <v>#N/A</v>
      </c>
      <c r="K27" s="84">
        <f t="shared" si="19"/>
        <v>1440</v>
      </c>
      <c r="L27" s="86">
        <f t="shared" si="11"/>
        <v>480</v>
      </c>
    </row>
    <row r="28" spans="1:12" x14ac:dyDescent="0.25">
      <c r="A28" s="87">
        <v>44120.176388888889</v>
      </c>
      <c r="C28" s="84">
        <v>0</v>
      </c>
      <c r="D28" s="84">
        <v>0</v>
      </c>
      <c r="E28" s="171">
        <f t="shared" si="15"/>
        <v>0</v>
      </c>
      <c r="F28" s="86">
        <f t="shared" ref="F28" si="29">C28-C27</f>
        <v>-12</v>
      </c>
      <c r="G28" s="86">
        <f t="shared" ref="G28" si="30">D28-D27</f>
        <v>0</v>
      </c>
      <c r="H28" s="86">
        <f t="shared" ref="H28" si="31">E28-E27</f>
        <v>-12</v>
      </c>
      <c r="I28" s="86">
        <f>SUMIF(H$2:H28,"&gt;0")</f>
        <v>130</v>
      </c>
      <c r="J28" s="86" t="e">
        <f t="shared" si="8"/>
        <v>#N/A</v>
      </c>
      <c r="K28" s="84">
        <f t="shared" si="19"/>
        <v>0</v>
      </c>
      <c r="L28" s="86">
        <f t="shared" si="11"/>
        <v>-1440</v>
      </c>
    </row>
    <row r="29" spans="1:12" x14ac:dyDescent="0.25">
      <c r="A29" s="87">
        <v>44120.205555555556</v>
      </c>
      <c r="C29" s="84">
        <v>1</v>
      </c>
      <c r="D29" s="84">
        <v>0</v>
      </c>
      <c r="E29" s="171">
        <f t="shared" si="15"/>
        <v>1</v>
      </c>
      <c r="F29" s="86">
        <f t="shared" ref="F29" si="32">C29-C28</f>
        <v>1</v>
      </c>
      <c r="G29" s="86">
        <f t="shared" ref="G29" si="33">D29-D28</f>
        <v>0</v>
      </c>
      <c r="H29" s="86">
        <f t="shared" ref="H29" si="34">E29-E28</f>
        <v>1</v>
      </c>
      <c r="I29" s="86">
        <f>SUMIF(H$2:H29,"&gt;0")</f>
        <v>131</v>
      </c>
      <c r="J29" s="86" t="e">
        <f t="shared" si="8"/>
        <v>#N/A</v>
      </c>
      <c r="K29" s="84">
        <f t="shared" si="19"/>
        <v>120</v>
      </c>
      <c r="L29" s="86">
        <f t="shared" si="11"/>
        <v>120</v>
      </c>
    </row>
    <row r="30" spans="1:12" x14ac:dyDescent="0.25">
      <c r="A30" s="87">
        <v>44121.52847222222</v>
      </c>
      <c r="C30" s="84">
        <v>1</v>
      </c>
      <c r="D30" s="84">
        <v>0</v>
      </c>
      <c r="E30" s="171">
        <f t="shared" si="15"/>
        <v>1</v>
      </c>
      <c r="F30" s="86">
        <f t="shared" ref="F30" si="35">C30-C29</f>
        <v>0</v>
      </c>
      <c r="G30" s="86">
        <f t="shared" ref="G30" si="36">D30-D29</f>
        <v>0</v>
      </c>
      <c r="H30" s="86">
        <f t="shared" ref="H30" si="37">E30-E29</f>
        <v>0</v>
      </c>
      <c r="I30" s="86">
        <f>SUMIF(H$2:H30,"&gt;0")</f>
        <v>131</v>
      </c>
      <c r="J30" s="86" t="e">
        <f t="shared" si="8"/>
        <v>#N/A</v>
      </c>
      <c r="K30" s="84">
        <f t="shared" ref="K30:K32" si="38">E30*120</f>
        <v>120</v>
      </c>
      <c r="L30" s="86">
        <f t="shared" ref="L30:L32" si="39">K30-K29</f>
        <v>0</v>
      </c>
    </row>
    <row r="31" spans="1:12" x14ac:dyDescent="0.25">
      <c r="A31" s="87">
        <v>44121.974305555559</v>
      </c>
      <c r="C31" s="84">
        <v>2</v>
      </c>
      <c r="D31" s="84">
        <v>0</v>
      </c>
      <c r="E31" s="171">
        <f t="shared" si="15"/>
        <v>2</v>
      </c>
      <c r="F31" s="86">
        <f t="shared" ref="F31" si="40">C31-C30</f>
        <v>1</v>
      </c>
      <c r="G31" s="86">
        <f t="shared" ref="G31" si="41">D31-D30</f>
        <v>0</v>
      </c>
      <c r="H31" s="86">
        <f t="shared" ref="H31" si="42">E31-E30</f>
        <v>1</v>
      </c>
      <c r="I31" s="86">
        <f>SUMIF(H$2:H31,"&gt;0")</f>
        <v>132</v>
      </c>
      <c r="J31" s="86" t="e">
        <f t="shared" si="8"/>
        <v>#N/A</v>
      </c>
      <c r="K31" s="84">
        <f t="shared" si="38"/>
        <v>240</v>
      </c>
      <c r="L31" s="86">
        <f t="shared" si="39"/>
        <v>120</v>
      </c>
    </row>
    <row r="32" spans="1:12" x14ac:dyDescent="0.25">
      <c r="A32" s="87">
        <v>44122.168055555558</v>
      </c>
      <c r="C32" s="84">
        <v>3</v>
      </c>
      <c r="D32" s="84">
        <v>0</v>
      </c>
      <c r="E32" s="171">
        <f t="shared" si="15"/>
        <v>3</v>
      </c>
      <c r="F32" s="86">
        <f t="shared" ref="F32" si="43">C32-C31</f>
        <v>1</v>
      </c>
      <c r="G32" s="86">
        <f t="shared" ref="G32" si="44">D32-D31</f>
        <v>0</v>
      </c>
      <c r="H32" s="86">
        <f t="shared" ref="H32" si="45">E32-E31</f>
        <v>1</v>
      </c>
      <c r="I32" s="86">
        <f>SUMIF(H$2:H32,"&gt;0")</f>
        <v>133</v>
      </c>
      <c r="J32" s="86">
        <f>IFERROR(H32 - _xlfn.XLOOKUP(A32-30, $A$2:$A$14999,H$2:H$14999,"",-1,2),NA())</f>
        <v>1</v>
      </c>
      <c r="K32" s="84">
        <f t="shared" si="38"/>
        <v>360</v>
      </c>
      <c r="L32" s="86">
        <f t="shared" si="39"/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8"/>
  <sheetViews>
    <sheetView topLeftCell="A16" workbookViewId="0">
      <selection activeCell="E29" sqref="E29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2" t="s">
        <v>129</v>
      </c>
      <c r="F1" s="350" t="s">
        <v>128</v>
      </c>
      <c r="G1" s="350"/>
      <c r="H1" s="350" t="s">
        <v>128</v>
      </c>
      <c r="I1" s="352"/>
      <c r="K1" s="399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3"/>
      <c r="B2" s="353"/>
      <c r="C2" s="353"/>
      <c r="D2" s="353"/>
      <c r="E2" s="354">
        <f>SUM(E4:E1048576)</f>
        <v>7678</v>
      </c>
      <c r="F2" s="355">
        <f ca="1">E2/(NOW()-$A$4)</f>
        <v>28.52292004080137</v>
      </c>
      <c r="G2" s="355"/>
      <c r="H2" s="355">
        <f>AVERAGE(H4:H1048576)</f>
        <v>28.412393968604501</v>
      </c>
      <c r="I2" s="356"/>
      <c r="K2" s="399"/>
      <c r="L2" s="128">
        <v>12</v>
      </c>
      <c r="M2" s="128">
        <v>0</v>
      </c>
      <c r="N2" s="128">
        <v>415</v>
      </c>
      <c r="O2" s="128">
        <v>65700</v>
      </c>
      <c r="P2" s="106">
        <v>11</v>
      </c>
    </row>
    <row r="3" spans="1:16" s="104" customFormat="1" ht="17.100000000000001" customHeight="1" x14ac:dyDescent="0.25">
      <c r="A3" s="351" t="s">
        <v>118</v>
      </c>
      <c r="B3" s="351" t="s">
        <v>120</v>
      </c>
      <c r="C3" s="348" t="s">
        <v>117</v>
      </c>
      <c r="D3" s="348" t="s">
        <v>158</v>
      </c>
      <c r="E3" s="352" t="s">
        <v>119</v>
      </c>
      <c r="F3" s="350" t="s">
        <v>128</v>
      </c>
      <c r="G3" s="348" t="s">
        <v>159</v>
      </c>
      <c r="H3" s="350" t="s">
        <v>128</v>
      </c>
      <c r="I3" s="352" t="s">
        <v>283</v>
      </c>
      <c r="K3" s="423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3"/>
      <c r="L4" s="103">
        <v>0</v>
      </c>
      <c r="M4" s="103">
        <v>0</v>
      </c>
      <c r="N4" s="103">
        <v>415</v>
      </c>
      <c r="O4" s="103">
        <v>29700</v>
      </c>
      <c r="P4" s="123">
        <v>17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(L2 - L4) + (M2 - M4) * 10 + (N2 - N4) / 120 + (O2 - O4) / 120 + P2</f>
        <v>323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5.2631578947368425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8" si="3">E22/(B22-A22)</f>
        <v>43.4</v>
      </c>
      <c r="G22" s="80">
        <f t="shared" ref="G22:G28" si="4">E22/D22</f>
        <v>54.25</v>
      </c>
      <c r="H22" s="80">
        <f t="shared" ref="H22:H28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  <row r="28" spans="1:10" ht="17.100000000000001" customHeight="1" x14ac:dyDescent="0.25">
      <c r="A28" s="105">
        <v>44120</v>
      </c>
      <c r="B28" s="105">
        <v>44123</v>
      </c>
      <c r="C28" s="103" t="s">
        <v>311</v>
      </c>
      <c r="D28" s="125">
        <v>2</v>
      </c>
      <c r="E28" s="127">
        <v>323</v>
      </c>
      <c r="F28" s="80">
        <f t="shared" si="3"/>
        <v>107.66666666666667</v>
      </c>
      <c r="G28" s="80">
        <f t="shared" si="4"/>
        <v>161.5</v>
      </c>
      <c r="H28" s="80">
        <f t="shared" si="5"/>
        <v>53.833333333333336</v>
      </c>
      <c r="I28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4" t="str">
        <f>B1&amp; "日"</f>
        <v>1日</v>
      </c>
      <c r="G1" s="425"/>
      <c r="H1" s="425"/>
      <c r="I1" s="424" t="str">
        <f>C1 &amp; "日"</f>
        <v>7日</v>
      </c>
      <c r="J1" s="425"/>
      <c r="K1" s="425"/>
      <c r="L1" s="424" t="s">
        <v>60</v>
      </c>
      <c r="M1" s="425"/>
      <c r="N1" s="42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-373 D 00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-375 D 15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-384 D 09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-389 D 21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-376 D 11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-170 D 20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-268 D 20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-321 D 13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-337 D 20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-357 D 09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-369 D 09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-393 D 23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-373 D 01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-378 D 17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-383 D 02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-389 D 22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-391 D 20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-386 D 14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-360 D 20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-349 D 19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-366 D 01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-365 D 03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-376 D 00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-367 D 16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-371 D 15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-372 D 01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-367 D 11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-368 D 18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-380 D 09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-368 D 01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-369 D 08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-379 D 17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-370 D 06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-369 D 12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-379 D 07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-370 D 09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-369 D 19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-359 D 18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-370 D 15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-370 D 09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-358 D 14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-371 D 10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-367 D 16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-365 D 11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-371 D 17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-370 D 05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-372 D 15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-372 D 01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-371 D 01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-379 D 05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-372 D 08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-371 D 10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-384 D 04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-372 D 20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-372 D 11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-375 D 01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-371 D 18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-369 D 13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-375 D 17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-370 D 15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-370 D 06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-361 D 12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-370 D 10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-371 D 13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-360 D 14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-369 D 16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-368 D 19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-357 D 16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-368 D 16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-369 D 00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-346 D 03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-368 D 13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-369 D 06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-349 D 12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-368 D 04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-369 D 11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-355 D 10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-368 D 08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-370 D 00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-361 D 14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-368 D 11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-370 D 13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-353 D 23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-369 D 20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-368 D 17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-370 D 11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-369 D 21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-369 D 14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-370 D 13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-369 D 23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-369 D 23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-355 D 05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-369 D 08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-368 D 15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-363 D 16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-369 D 21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-369 D 20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-381 D 03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-371 D 02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-371 D 23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-380 D 13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-371 D 06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-371 D 02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-384 D 15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-372 D 01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-371 D 22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-389 D 16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-372 D 18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-373 D 10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-392 D 08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-374 D 02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-374 D 08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-393 D 15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-375 D 02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-374 D 13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-400 D 20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-376 D 14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-375 D 02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-400 D 23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-377 D 14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-375 D 14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-401 D 05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-378 D 14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-375 D 20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-402 D 00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-379 D 10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-376 D 09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-402 D 10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-380 D 10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-376 D 17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-401 D 00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-380 D 23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-376 D 18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-401 D 03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-381 D 22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-377 D 02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-401 D 08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-382 D 10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-377 D 07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-396 D 07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-382 D 12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-376 D 13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-393 D 22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-382 D 20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-376 D 20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-393 D 05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-383 D 03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-377 D 03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-387 D 16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-384 D 01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-377 D 17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-390 D 11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-384 D 11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-378 D 06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-392 D 13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-385 D 03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-378 D 20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-395 D 13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-385 D 23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-379 D 07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-401 D 16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-387 D 15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-379 D 20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-405 D 04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-389 D 07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-381 D 03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-404 D 20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-390 D 09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-381 D 13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-403 D 12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-390 D 21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-381 D 19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-403 D 08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-391 D 09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-382 D 02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-403 D 06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-392 D 09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-382 D 04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-403 D 06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-392 D 17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-382 D 08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-399 D 23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-392 D 22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-382 D 11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-393 D 13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-394 D 23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-382 D 21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-393 D 08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-395 D 16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-383 D 02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-392 D 22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-395 D 19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-383 D 03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-393 D 08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-396 D 13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-383 D 07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-391 D 03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-398 D 01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-383 D 07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-391 D 06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-398 D 00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-383 D 22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-392 D 18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-397 D 20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-384 D 05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-393 D 21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-398 D 06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-384 D 14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-398 D 14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-398 D 08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-385 D 05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-398 D 18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-398 D 06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-385 D 08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-389 D 02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-397 D 18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-384 D 11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-387 D 01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-397 D 12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-384 D 16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-385 D 10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-397 D 11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-385 D 08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-397 D 09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-397 D 09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-386 D 10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-399 D 19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-397 D 09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-386 D 13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-403 D 05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-397 D 06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-387 D 03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-402 D 14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-397 D 06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-387 D 07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-402 D 09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-397 D 08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-387 D 10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-402 D 13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-397 D 11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-387 D 16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-402 D 16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-397 D 13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-387 D 18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-389 D 06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-396 D 15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-386 D 15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-365 D 23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-395 D 21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-386 D 17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-369 D 12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-395 D 16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-387 D 00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-374 D 10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-395 D 14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-387 D 03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-383 D 12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-395 D 08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-387 D 07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-397 D 13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-395 D 05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-387 D 13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-398 D 02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-395 D 05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-387 D 16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-398 D 11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-395 D 04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-387 D 18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-399 D 21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-395 D 07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-388 D 02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-400 D 10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-395 D 11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-388 D 07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-396 D 11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-395 D 04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-387 D 18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-390 D 00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-395 D 02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-387 D 19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-386 D 18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-394 D 23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-387 D 19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-386 D 20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-394 D 21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-387 D 20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-350 D 05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-393 D 14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-386 D 12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-371 D 18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-393 D 10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-387 D 09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-403 D 20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-393 D 10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-389 D 00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-335 D 17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-388 D 16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-387 D 00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-344 D 11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-386 D 19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-386 D 13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-349 D 22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-386 D 02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-386 D 14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-382 D 16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-385 D 15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-386 D 15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-392 D 11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-385 D 01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-387 D 04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-387 D 22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-383 D 23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-386 D 18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-386 D 02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-384 D 17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-387 D 04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-388 D 14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-385 D 09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-387 D 06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-391 D 05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-385 D 19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-387 D 02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-390 D 18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-386 D 22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-387 D 12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-391 D 05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-386 D 08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-387 D 08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-392 D 01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-387 D 00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-387 D 15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-388 D 04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-387 D 07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-387 D 11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-390 D 22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-387 D 20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-387 D 17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-392 D 01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-390 D 19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-388 D 06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-391 D 15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-390 D 21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-388 D 06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-390 D 18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-390 D 18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-388 D 04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-389 D 08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-390 D 11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-388 D 08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-388 D 12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-389 D 20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-388 D 04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-388 D 16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-389 D 19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-388 D 07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-389 D 09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-389 D 17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-388 D 10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-390 D 04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-389 D 17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-388 D 11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-383 D 15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-389 D 05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-388 D 02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-383 D 12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-388 D 18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-388 D 03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-383 D 15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-388 D 12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-388 D 02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-385 D 02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-388 D 11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-388 D 03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-388 D 19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-388 D 11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-388 D 05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-389 D 07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-388 D 13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-388 D 07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-390 D 00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-388 D 14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-388 D 08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-387 D 15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-388 D 06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-388 D 00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-392 D 15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-388 D 07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-388 D 10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-392 D 02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-388 D 09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-388 D 09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-390 D 03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-388 D 07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-388 D 06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-389 D 21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-388 D 09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-388 D 07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-388 D 11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-388 D 16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-388 D 13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-391 D 16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-388 D 22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-388 D 16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-392 D 10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-389 D 02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-388 D 17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-391 D 08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-389 D 01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-388 D 14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-392 D 00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-389 D 03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-388 D 15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-390 D 18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-389 D 05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-388 D 16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-389 D 20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-389 D 08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-388 D 19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-390 D 09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-389 D 15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-388 D 22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-392 D 03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-389 D 19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-388 D 22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-389 D 03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-389 D 19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-388 D 20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-389 D 07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-389 D 21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-388 D 21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-390 D 01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-390 D 04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-389 D 02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-390 D 08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-390 D 07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-389 D 01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-391 D 12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-390 D 09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-389 D 03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-390 D 22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-390 D 14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-389 D 03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-390 D 04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-390 D 16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-389 D 05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-388 D 20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-390 D 17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-389 D 04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-389 D 06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-390 D 17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-389 D 05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-389 D 11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-390 D 20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-389 D 06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-389 D 12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-390 D 18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-389 D 06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-389 D 20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-390 D 20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-389 D 08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-390 D 00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-390 D 19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-389 D 08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-390 D 01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-390 D 19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-389 D 08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-388 D 21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-390 D 14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-389 D 06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-390 D 02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-390 D 17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-389 D 11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-391 D 16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-390 D 20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-389 D 15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-391 D 10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-390 D 19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-389 D 13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-391 D 12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-390 D 20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-389 D 14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-392 D 12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-390 D 21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-389 D 18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-392 D 17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-390 D 22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-389 D 19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-392 D 18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-391 D 02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-389 D 23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-393 D 06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-391 D 05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-390 D 01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-390 D 04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-390 D 21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-389 D 16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-386 D 23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-390 D 20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-389 D 17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-386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-390 D 21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-389 D 19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-387 D 13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-390 D 22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-389 D 20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-388 D 05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-390 D 22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-389 D 20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-387 D 10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-390 D 16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-389 D 14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-388 D 20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-390 D 15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-389 D 16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-386 D 05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-390 D 11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-389 D 13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-386 D 23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-390 D 11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-389 D 14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-387 D 17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-390 D 10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-389 D 16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-388 D 09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-390 D 10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-389 D 17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-388 D 19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-390 D 10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-389 D 17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-389 D 13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-390 D 12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-389 D 19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-391 D 09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-390 D 12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-389 D 20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-390 D 02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-390 D 05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-389 D 13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-389 D 19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-390 D 05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-389 D 15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-390 D 15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-390 D 12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-389 D 23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-391 D 02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-390 D 10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-389 D 22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-391 D 06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-390 D 12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-390 D 00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-392 D 04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-390 D 13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-390 D 01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-392 D 04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-390 D 16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-390 D 03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-392 D 08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-390 D 17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-390 D 05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-392 D 15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-390 D 21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-390 D 08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-392 D 19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-391 D 00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-390 D 11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-393 D 07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-391 D 05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-390 D 15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-393 D 09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-391 D 07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-390 D 17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-393 D 10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-391 D 09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-390 D 18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-393 D 20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-391 D 16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-391 D 01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-393 D 18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-391 D 18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-391 D 02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-394 D 10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-392 D 12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-391 D 22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-394 D 14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-392 D 17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-392 D 02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-394 D 15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-392 D 21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-392 D 05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-394 D 15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-393 D 01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-392 D 08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-394 D 15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-393 D 06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-392 D 14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-394 D 15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-393 D 08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-392 D 15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-394 D 04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-393 D 13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-392 D 23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7">
        <v>43677.583333333336</v>
      </c>
      <c r="C1" s="427"/>
      <c r="D1" s="28" t="s">
        <v>40</v>
      </c>
      <c r="E1" s="26" t="s">
        <v>32</v>
      </c>
      <c r="F1" s="26" t="s">
        <v>24</v>
      </c>
      <c r="G1" s="393" t="s">
        <v>25</v>
      </c>
      <c r="H1" s="393"/>
      <c r="I1" s="393"/>
      <c r="J1" s="393"/>
      <c r="K1" s="6"/>
      <c r="L1" s="25" t="s">
        <v>27</v>
      </c>
      <c r="M1" s="25"/>
      <c r="N1" s="399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7">
        <v>43688.583333333336</v>
      </c>
      <c r="C2" s="427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6" t="str">
        <f ca="1">IF(NOW() &gt; $B$2,"",(NOW()-$B$1)/($B$2-$B$1))</f>
        <v/>
      </c>
      <c r="H2" s="426"/>
      <c r="I2" s="426"/>
      <c r="J2" s="426"/>
      <c r="K2" s="6" t="s">
        <v>29</v>
      </c>
      <c r="L2" s="11">
        <v>100000</v>
      </c>
      <c r="N2" s="399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9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9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8" t="s">
        <v>26</v>
      </c>
      <c r="C5" s="428"/>
      <c r="D5" s="429" t="s">
        <v>44</v>
      </c>
      <c r="E5" s="429"/>
      <c r="F5" s="429" t="s">
        <v>28</v>
      </c>
      <c r="G5" s="429"/>
      <c r="H5" s="429" t="s">
        <v>31</v>
      </c>
      <c r="I5" s="429"/>
      <c r="J5" s="393" t="s">
        <v>42</v>
      </c>
      <c r="K5" s="393"/>
      <c r="L5" s="430" t="s">
        <v>43</v>
      </c>
      <c r="M5" s="430"/>
      <c r="N5" s="393" t="s">
        <v>41</v>
      </c>
      <c r="O5" s="393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3" t="s">
        <v>63</v>
      </c>
      <c r="D1" s="432">
        <f>INDEX(DATA_EVTBLD,B1,3)-B3</f>
        <v>105</v>
      </c>
      <c r="E1" s="431" t="s">
        <v>12</v>
      </c>
      <c r="F1" s="434">
        <f>1-(INDEX(DATA_EVTBLD,B1,3)-B3)/DATA_EVTBLD_MAX</f>
        <v>0.98656601842374614</v>
      </c>
      <c r="G1" s="434"/>
      <c r="H1" s="434"/>
      <c r="I1" s="434"/>
      <c r="J1" s="434"/>
      <c r="K1" s="434"/>
      <c r="L1" s="434"/>
    </row>
    <row r="2" spans="1:12" ht="14.65" customHeight="1" x14ac:dyDescent="0.25">
      <c r="A2" s="59" t="s">
        <v>79</v>
      </c>
      <c r="B2" s="65">
        <v>30</v>
      </c>
      <c r="C2" s="433"/>
      <c r="D2" s="432"/>
      <c r="E2" s="431"/>
      <c r="F2" s="434"/>
      <c r="G2" s="434"/>
      <c r="H2" s="434"/>
      <c r="I2" s="434"/>
      <c r="J2" s="434"/>
      <c r="K2" s="434"/>
      <c r="L2" s="434"/>
    </row>
    <row r="3" spans="1:12" ht="14.65" customHeight="1" x14ac:dyDescent="0.25">
      <c r="A3" s="59" t="s">
        <v>62</v>
      </c>
      <c r="B3" s="65">
        <v>895</v>
      </c>
      <c r="C3" s="433"/>
      <c r="D3" s="432"/>
      <c r="E3" s="431"/>
      <c r="F3" s="434"/>
      <c r="G3" s="434"/>
      <c r="H3" s="434"/>
      <c r="I3" s="434"/>
      <c r="J3" s="434"/>
      <c r="K3" s="434"/>
      <c r="L3" s="434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2020-10-18T09:29:31Z</dcterms:modified>
</cp:coreProperties>
</file>