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5_APP5\"/>
    </mc:Choice>
  </mc:AlternateContent>
  <xr:revisionPtr revIDLastSave="0" documentId="8_{F031A2D7-2ED6-4BB6-B5BF-7F7C187D5BC8}" xr6:coauthVersionLast="47" xr6:coauthVersionMax="47" xr10:uidLastSave="{00000000-0000-0000-0000-000000000000}"/>
  <bookViews>
    <workbookView xWindow="-25320" yWindow="6105" windowWidth="25440" windowHeight="15540" activeTab="1" xr2:uid="{111C4BA6-1AA5-4EFF-83D1-6380A6D61EC9}"/>
  </bookViews>
  <sheets>
    <sheet name="Partie1" sheetId="1" r:id="rId1"/>
    <sheet name="Partie2" sheetId="2" r:id="rId2"/>
    <sheet name="Parti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A7" i="2"/>
  <c r="Y7" i="2"/>
  <c r="Y3" i="2"/>
  <c r="Y4" i="2"/>
  <c r="Y5" i="2"/>
  <c r="Y6" i="2"/>
  <c r="Y2" i="2"/>
  <c r="H8" i="3"/>
  <c r="H7" i="3"/>
  <c r="D13" i="1"/>
  <c r="I21" i="2"/>
  <c r="G20" i="2"/>
  <c r="W3" i="2"/>
  <c r="W2" i="2"/>
  <c r="T11" i="2"/>
  <c r="W6" i="2"/>
  <c r="W5" i="2"/>
  <c r="Z5" i="2" s="1"/>
  <c r="W4" i="2"/>
  <c r="W7" i="2" s="1"/>
  <c r="Z6" i="2"/>
  <c r="Z2" i="2"/>
  <c r="X2" i="2"/>
  <c r="R2" i="2"/>
  <c r="S3" i="2"/>
  <c r="H21" i="2"/>
  <c r="F17" i="2"/>
  <c r="F16" i="2"/>
  <c r="F4" i="2"/>
  <c r="F5" i="2"/>
  <c r="H3" i="3"/>
  <c r="H4" i="3"/>
  <c r="D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1" i="3"/>
  <c r="A2" i="2"/>
  <c r="A3" i="2"/>
  <c r="A4" i="2"/>
  <c r="A5" i="2"/>
  <c r="A6" i="2"/>
  <c r="A10" i="2"/>
  <c r="A11" i="2"/>
  <c r="A12" i="2"/>
  <c r="A13" i="2"/>
  <c r="A14" i="2"/>
  <c r="A7" i="2"/>
  <c r="A8" i="2"/>
  <c r="A9" i="2"/>
  <c r="A20" i="2"/>
  <c r="A21" i="2"/>
  <c r="A22" i="2"/>
  <c r="A23" i="2"/>
  <c r="A24" i="2"/>
  <c r="A25" i="2"/>
  <c r="A26" i="2"/>
  <c r="A15" i="2"/>
  <c r="A16" i="2"/>
  <c r="A17" i="2"/>
  <c r="A18" i="2"/>
  <c r="A19" i="2"/>
  <c r="A27" i="2"/>
  <c r="A28" i="2"/>
  <c r="A29" i="2"/>
  <c r="A30" i="2"/>
  <c r="A31" i="2"/>
  <c r="A32" i="2"/>
  <c r="A33" i="2"/>
  <c r="A34" i="2"/>
  <c r="A35" i="2"/>
  <c r="A36" i="2"/>
  <c r="A37" i="2"/>
  <c r="A42" i="2"/>
  <c r="A45" i="2"/>
  <c r="A46" i="2"/>
  <c r="A47" i="2"/>
  <c r="A38" i="2"/>
  <c r="A39" i="2"/>
  <c r="A40" i="2"/>
  <c r="A41" i="2"/>
  <c r="A43" i="2"/>
  <c r="A44" i="2"/>
  <c r="A48" i="2"/>
  <c r="A49" i="2"/>
  <c r="A50" i="2"/>
  <c r="A51" i="2"/>
  <c r="A1" i="2"/>
  <c r="D7" i="1"/>
  <c r="D6" i="1"/>
  <c r="D5" i="1"/>
  <c r="D4" i="1"/>
  <c r="D10" i="1"/>
  <c r="D9" i="1"/>
  <c r="D11" i="1"/>
  <c r="F6" i="2" s="1"/>
  <c r="F7" i="2" s="1"/>
  <c r="I24" i="2" s="1"/>
  <c r="I26" i="2" s="1"/>
  <c r="D2" i="1"/>
  <c r="U2" i="2" l="1"/>
  <c r="F19" i="2"/>
  <c r="H19" i="2" s="1"/>
  <c r="E21" i="2" s="1"/>
  <c r="G19" i="2"/>
  <c r="E20" i="2" s="1"/>
  <c r="Z4" i="2"/>
  <c r="Z3" i="2"/>
  <c r="F10" i="2"/>
  <c r="N7" i="2"/>
  <c r="N8" i="2"/>
  <c r="N4" i="2"/>
  <c r="O4" i="2" s="1"/>
  <c r="U3" i="2"/>
  <c r="V2" i="2"/>
  <c r="I16" i="2"/>
  <c r="I18" i="2" s="1"/>
  <c r="Z7" i="2"/>
  <c r="T3" i="2"/>
  <c r="F12" i="2"/>
  <c r="F13" i="2" s="1"/>
  <c r="AA2" i="2"/>
  <c r="I3" i="2"/>
  <c r="J3" i="2" s="1"/>
  <c r="I4" i="2"/>
  <c r="J4" i="2" s="1"/>
  <c r="N5" i="2"/>
  <c r="O5" i="2" s="1"/>
  <c r="B30" i="2"/>
  <c r="D12" i="1"/>
  <c r="B31" i="2"/>
  <c r="B20" i="2"/>
  <c r="B9" i="2"/>
  <c r="D5" i="3"/>
  <c r="D7" i="3"/>
  <c r="H2" i="3" s="1"/>
  <c r="H6" i="3"/>
  <c r="H5" i="3"/>
  <c r="B44" i="2"/>
  <c r="B17" i="2"/>
  <c r="B6" i="2"/>
  <c r="B36" i="2"/>
  <c r="B24" i="2"/>
  <c r="B22" i="2"/>
  <c r="B23" i="2"/>
  <c r="B16" i="2"/>
  <c r="B37" i="2"/>
  <c r="B25" i="2"/>
  <c r="B32" i="2"/>
  <c r="B46" i="2"/>
  <c r="B42" i="2"/>
  <c r="B4" i="2"/>
  <c r="B50" i="2"/>
  <c r="B33" i="2"/>
  <c r="B48" i="2"/>
  <c r="B40" i="2"/>
  <c r="B28" i="2"/>
  <c r="B7" i="2"/>
  <c r="B45" i="2"/>
  <c r="B15" i="2"/>
  <c r="B26" i="2"/>
  <c r="B3" i="2"/>
  <c r="B49" i="2"/>
  <c r="B43" i="2"/>
  <c r="B41" i="2"/>
  <c r="B39" i="2"/>
  <c r="B27" i="2"/>
  <c r="B14" i="2"/>
  <c r="B11" i="2"/>
  <c r="B51" i="2"/>
  <c r="B34" i="2"/>
  <c r="B29" i="2"/>
  <c r="B38" i="2"/>
  <c r="B19" i="2"/>
  <c r="B13" i="2"/>
  <c r="B10" i="2"/>
  <c r="B5" i="2"/>
  <c r="B35" i="2"/>
  <c r="B2" i="2"/>
  <c r="B21" i="2"/>
  <c r="B8" i="2"/>
  <c r="B47" i="2"/>
  <c r="B18" i="2"/>
  <c r="B12" i="2"/>
  <c r="D3" i="1"/>
  <c r="D8" i="1"/>
  <c r="F8" i="2" l="1"/>
  <c r="F9" i="2" s="1"/>
  <c r="R3" i="2"/>
  <c r="X3" i="2"/>
  <c r="S4" i="2"/>
  <c r="U4" i="2" s="1"/>
  <c r="V3" i="2"/>
  <c r="H2" i="1"/>
  <c r="G2" i="1" s="1"/>
  <c r="H10" i="3"/>
  <c r="H9" i="3"/>
  <c r="I2" i="1"/>
  <c r="J2" i="1"/>
  <c r="F3" i="1"/>
  <c r="T4" i="2" l="1"/>
  <c r="R4" i="2" s="1"/>
  <c r="H3" i="1"/>
  <c r="F4" i="1" s="1"/>
  <c r="K2" i="1"/>
  <c r="X4" i="2" l="1"/>
  <c r="S5" i="2"/>
  <c r="V4" i="2"/>
  <c r="AA3" i="2"/>
  <c r="G3" i="1"/>
  <c r="I3" i="1"/>
  <c r="J3" i="1"/>
  <c r="K3" i="1" s="1"/>
  <c r="L3" i="1" s="1"/>
  <c r="L2" i="1"/>
  <c r="H4" i="1"/>
  <c r="F5" i="1" s="1"/>
  <c r="U5" i="2" l="1"/>
  <c r="T5" i="2"/>
  <c r="R5" i="2" s="1"/>
  <c r="I4" i="1"/>
  <c r="J4" i="1"/>
  <c r="K4" i="1" s="1"/>
  <c r="L4" i="1" s="1"/>
  <c r="G4" i="1"/>
  <c r="H5" i="1"/>
  <c r="F6" i="1" s="1"/>
  <c r="J5" i="1"/>
  <c r="K5" i="1" s="1"/>
  <c r="I5" i="1"/>
  <c r="X5" i="2" l="1"/>
  <c r="S6" i="2"/>
  <c r="V5" i="2"/>
  <c r="AA4" i="2"/>
  <c r="L5" i="1"/>
  <c r="G5" i="1"/>
  <c r="H6" i="1"/>
  <c r="J6" i="1"/>
  <c r="K6" i="1" s="1"/>
  <c r="L6" i="1" s="1"/>
  <c r="X6" i="2" l="1"/>
  <c r="R6" i="2"/>
  <c r="V11" i="2" s="1"/>
  <c r="X10" i="2" s="1"/>
  <c r="AB5" i="2" s="1"/>
  <c r="V6" i="2"/>
  <c r="U6" i="2"/>
  <c r="F7" i="1"/>
  <c r="G6" i="1"/>
  <c r="I6" i="1"/>
  <c r="W10" i="2" l="1"/>
  <c r="AA5" i="2"/>
  <c r="AA6" i="2"/>
  <c r="X7" i="2"/>
  <c r="H7" i="1"/>
  <c r="J7" i="1" s="1"/>
  <c r="K7" i="1" s="1"/>
  <c r="L7" i="1" s="1"/>
  <c r="I7" i="1"/>
  <c r="AB2" i="2" l="1"/>
  <c r="G7" i="1"/>
  <c r="F8" i="1"/>
  <c r="G8" i="1" l="1"/>
  <c r="I8" i="1"/>
  <c r="J8" i="1"/>
  <c r="K8" i="1" l="1"/>
  <c r="J9" i="1"/>
  <c r="L8" i="1" l="1"/>
  <c r="K9" i="1"/>
</calcChain>
</file>

<file path=xl/sharedStrings.xml><?xml version="1.0" encoding="utf-8"?>
<sst xmlns="http://schemas.openxmlformats.org/spreadsheetml/2006/main" count="101" uniqueCount="91">
  <si>
    <t>Mode</t>
  </si>
  <si>
    <t>Minimum</t>
  </si>
  <si>
    <t>Maximum</t>
  </si>
  <si>
    <t>Classes</t>
  </si>
  <si>
    <t>Moyenne</t>
  </si>
  <si>
    <t>Médiane</t>
  </si>
  <si>
    <t>Écart-type</t>
  </si>
  <si>
    <t>Somme</t>
  </si>
  <si>
    <t>Nombre d'échantillons</t>
  </si>
  <si>
    <t>Statistique Descriptive</t>
  </si>
  <si>
    <t>Valeur</t>
  </si>
  <si>
    <t>Coefficient de variation</t>
  </si>
  <si>
    <t>Variance</t>
  </si>
  <si>
    <t>Étendu</t>
  </si>
  <si>
    <t>Nombre de classes</t>
  </si>
  <si>
    <t>Étendue des classes</t>
  </si>
  <si>
    <t>Fréquences relatives</t>
  </si>
  <si>
    <t>Fréquences cumulées croissantes</t>
  </si>
  <si>
    <t>Fréquences Absolues</t>
  </si>
  <si>
    <t>Borne inférieure</t>
  </si>
  <si>
    <t>Borne supérieure</t>
  </si>
  <si>
    <t>Durée de vie (heure)</t>
  </si>
  <si>
    <t>Milieu de classe</t>
  </si>
  <si>
    <t>Estimateur non-biaisé et convergent:</t>
  </si>
  <si>
    <t>E{θ} = µ</t>
  </si>
  <si>
    <t>Var(θ)|n-&gt;∞  -&gt; 0</t>
  </si>
  <si>
    <t>n</t>
  </si>
  <si>
    <t>k = n - 1</t>
  </si>
  <si>
    <t>X̄</t>
  </si>
  <si>
    <t>(Xi - X̄)^2</t>
  </si>
  <si>
    <t>h / année</t>
  </si>
  <si>
    <t>garantie</t>
  </si>
  <si>
    <t>heures totales</t>
  </si>
  <si>
    <t xml:space="preserve">n </t>
  </si>
  <si>
    <t>p(0)</t>
  </si>
  <si>
    <t>moyenne</t>
  </si>
  <si>
    <t>equart type</t>
  </si>
  <si>
    <t>p(0,96183972)</t>
  </si>
  <si>
    <t>z(8850)</t>
  </si>
  <si>
    <t>p(1)</t>
  </si>
  <si>
    <t>p(2)</t>
  </si>
  <si>
    <t>p(3)</t>
  </si>
  <si>
    <t>variance</t>
  </si>
  <si>
    <t>ecart-type</t>
  </si>
  <si>
    <t>CV</t>
  </si>
  <si>
    <t>z(0,025)</t>
  </si>
  <si>
    <t>σ</t>
  </si>
  <si>
    <r>
      <t>X̄+(z(</t>
    </r>
    <r>
      <rPr>
        <sz val="11"/>
        <color theme="1"/>
        <rFont val="Calibri"/>
        <family val="2"/>
      </rPr>
      <t>σ/√n))</t>
    </r>
  </si>
  <si>
    <t>X̄-(z(σ/√n))</t>
  </si>
  <si>
    <t>estimateur par intervalle de confiance de moyenne</t>
  </si>
  <si>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(0,025;49)</t>
    </r>
  </si>
  <si>
    <r>
      <t xml:space="preserve">(n-1)s^2/ </t>
    </r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^2(</t>
    </r>
    <r>
      <rPr>
        <sz val="11"/>
        <color theme="1"/>
        <rFont val="Calibri"/>
        <family val="2"/>
      </rPr>
      <t>α/2;n-1)</t>
    </r>
  </si>
  <si>
    <r>
      <t xml:space="preserve">(n-1)s^2/  </t>
    </r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^2(1-</t>
    </r>
    <r>
      <rPr>
        <sz val="11"/>
        <color theme="1"/>
        <rFont val="Calibri"/>
        <family val="2"/>
      </rPr>
      <t>α/2;n-1)</t>
    </r>
  </si>
  <si>
    <r>
      <rPr>
        <sz val="11"/>
        <color theme="1"/>
        <rFont val="Calibri"/>
        <family val="2"/>
      </rPr>
      <t>χ</t>
    </r>
    <r>
      <rPr>
        <sz val="11"/>
        <color theme="1"/>
        <rFont val="Calibri"/>
        <family val="2"/>
        <scheme val="minor"/>
      </rPr>
      <t>(0,975;49)</t>
    </r>
  </si>
  <si>
    <t>estimateur par intervalle de confiance de l'écart-type</t>
  </si>
  <si>
    <t>H0</t>
  </si>
  <si>
    <t>H1</t>
  </si>
  <si>
    <t>Z = (X̄ - µ) / (σ / √n))</t>
  </si>
  <si>
    <t>Erreur</t>
  </si>
  <si>
    <t>α = 0,05</t>
  </si>
  <si>
    <t>Erreur 1ere espèce</t>
  </si>
  <si>
    <t>collègue A</t>
  </si>
  <si>
    <t>χ²</t>
  </si>
  <si>
    <t>Limites</t>
  </si>
  <si>
    <t>borne gauche</t>
  </si>
  <si>
    <t>borne droite</t>
  </si>
  <si>
    <t>pi(zg&lt;z&lt;zd)</t>
  </si>
  <si>
    <t>foi</t>
  </si>
  <si>
    <t>v</t>
  </si>
  <si>
    <t>k</t>
  </si>
  <si>
    <t>r</t>
  </si>
  <si>
    <t>α</t>
  </si>
  <si>
    <t>d</t>
  </si>
  <si>
    <t>fti</t>
  </si>
  <si>
    <r>
      <t>χ²</t>
    </r>
    <r>
      <rPr>
        <sz val="8"/>
        <color theme="1"/>
        <rFont val="Calibri"/>
        <family val="2"/>
      </rPr>
      <t>α,ν</t>
    </r>
  </si>
  <si>
    <t>H0 = distribution normale</t>
  </si>
  <si>
    <t>H1 = pas distribution normale</t>
  </si>
  <si>
    <t>Rejet H0</t>
  </si>
  <si>
    <t>Erreur de 2e espèce</t>
  </si>
  <si>
    <t>Collegue A</t>
  </si>
  <si>
    <t>σ &lt;= 1000</t>
  </si>
  <si>
    <t>σ &gt; 1000</t>
  </si>
  <si>
    <r>
      <rPr>
        <sz val="11"/>
        <color rgb="FFFFC000"/>
        <rFont val="Calibri"/>
        <family val="2"/>
        <scheme val="minor"/>
      </rPr>
      <t>H</t>
    </r>
    <r>
      <rPr>
        <sz val="11"/>
        <color rgb="FF92D050"/>
        <rFont val="Calibri"/>
        <family val="2"/>
        <scheme val="minor"/>
      </rPr>
      <t>o</t>
    </r>
    <r>
      <rPr>
        <sz val="11"/>
        <color rgb="FF00B0F0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gene</t>
    </r>
  </si>
  <si>
    <t>χ² = (n-1)S²/σ²</t>
  </si>
  <si>
    <r>
      <t>χ²</t>
    </r>
    <r>
      <rPr>
        <sz val="8"/>
        <color theme="1"/>
        <rFont val="Calibri"/>
        <family val="2"/>
      </rPr>
      <t>α;49</t>
    </r>
  </si>
  <si>
    <t>Ecart-type estimé</t>
  </si>
  <si>
    <r>
      <t>U(</t>
    </r>
    <r>
      <rPr>
        <sz val="11"/>
        <color theme="1"/>
        <rFont val="Calibri"/>
        <family val="2"/>
      </rPr>
      <t>σ²</t>
    </r>
    <r>
      <rPr>
        <sz val="11"/>
        <color theme="1"/>
        <rFont val="Calibri"/>
        <family val="2"/>
        <scheme val="minor"/>
      </rPr>
      <t>)</t>
    </r>
  </si>
  <si>
    <t>U(µ)</t>
  </si>
  <si>
    <t>zα/2 * σ/√n</t>
  </si>
  <si>
    <t>rel</t>
  </si>
  <si>
    <t>(Foi-fti)²/fti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</si>
</sst>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0.000"/>
  </numFmts>
  <fonts count="1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0" fontId="0" fillId="0" borderId="28" xfId="1" applyNumberFormat="1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0" fillId="0" borderId="35" xfId="2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7" fillId="0" borderId="34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0"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Histogramme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Partie1!$K$1</c:f>
              <c:strCache>
                <c:ptCount val="1"/>
                <c:pt idx="0">
                  <c:v>Fréquences relatives</c:v>
                </c:pt>
              </c:strCache>
            </c:strRef>
          </c:tx>
          <c:invertIfNegative val="0"/>
          <c:cat>
            <c:strRef>
              <c:f>Partie1!$I$2:$I$8</c:f>
              <c:strCache>
                <c:ptCount val="7"/>
                <c:pt idx="0">
                  <c:v>8500 &lt;= x &lt; 8690</c:v>
                </c:pt>
                <c:pt idx="1">
                  <c:v>8690 &lt;= x &lt; 8880</c:v>
                </c:pt>
                <c:pt idx="2">
                  <c:v>8880 &lt;= x &lt; 9070</c:v>
                </c:pt>
                <c:pt idx="3">
                  <c:v>9070 &lt;= x &lt; 9260</c:v>
                </c:pt>
                <c:pt idx="4">
                  <c:v>9260 &lt;= x &lt; 9450</c:v>
                </c:pt>
                <c:pt idx="5">
                  <c:v>9450 &lt;= x &lt; 9640</c:v>
                </c:pt>
                <c:pt idx="6">
                  <c:v>x &gt; 9640</c:v>
                </c:pt>
              </c:strCache>
            </c:strRef>
          </c:cat>
          <c:val>
            <c:numRef>
              <c:f>Partie1!$K$2:$K$8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0.4</c:v>
                </c:pt>
                <c:pt idx="3">
                  <c:v>0.42</c:v>
                </c:pt>
                <c:pt idx="4">
                  <c:v>0.04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B-4C2C-BB01-D231BABE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7089535"/>
        <c:axId val="1317084127"/>
      </c:barChart>
      <c:lineChart>
        <c:grouping val="standard"/>
        <c:varyColors val="0"/>
        <c:ser>
          <c:idx val="2"/>
          <c:order val="2"/>
          <c:tx>
            <c:v>Polygone de fréquence absolue</c:v>
          </c:tx>
          <c:val>
            <c:numRef>
              <c:f>Partie1!$K$2:$K$8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0.4</c:v>
                </c:pt>
                <c:pt idx="3">
                  <c:v>0.42</c:v>
                </c:pt>
                <c:pt idx="4">
                  <c:v>0.04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7-41D7-ABD5-0D108F96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89535"/>
        <c:axId val="1317084127"/>
      </c:lineChart>
      <c:lineChart>
        <c:grouping val="standard"/>
        <c:varyColors val="0"/>
        <c:ser>
          <c:idx val="1"/>
          <c:order val="1"/>
          <c:tx>
            <c:strRef>
              <c:f>Partie1!$L$1</c:f>
              <c:strCache>
                <c:ptCount val="1"/>
                <c:pt idx="0">
                  <c:v>Fréquences cumulées croissantes</c:v>
                </c:pt>
              </c:strCache>
            </c:strRef>
          </c:tx>
          <c:cat>
            <c:numRef>
              <c:f>Partie1!$O$3:$O$9</c:f>
              <c:numCache>
                <c:formatCode>General</c:formatCode>
                <c:ptCount val="7"/>
              </c:numCache>
            </c:numRef>
          </c:cat>
          <c:val>
            <c:numRef>
              <c:f>Partie1!$L$2:$L$8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0.5</c:v>
                </c:pt>
                <c:pt idx="3">
                  <c:v>0.91999999999999993</c:v>
                </c:pt>
                <c:pt idx="4">
                  <c:v>0.96</c:v>
                </c:pt>
                <c:pt idx="5">
                  <c:v>0.98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B-4C2C-BB01-D231BABE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77055"/>
        <c:axId val="1317080799"/>
      </c:lineChart>
      <c:catAx>
        <c:axId val="131708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17084127"/>
        <c:crosses val="autoZero"/>
        <c:auto val="1"/>
        <c:lblAlgn val="ctr"/>
        <c:lblOffset val="100"/>
        <c:noMultiLvlLbl val="0"/>
      </c:catAx>
      <c:valAx>
        <c:axId val="131708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Fréquence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17089535"/>
        <c:crosses val="autoZero"/>
        <c:crossBetween val="between"/>
      </c:valAx>
      <c:valAx>
        <c:axId val="1317080799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1317077055"/>
        <c:crosses val="max"/>
        <c:crossBetween val="between"/>
      </c:valAx>
      <c:catAx>
        <c:axId val="13170770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17080799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8934950032654314E-2"/>
          <c:y val="0.13745643707893915"/>
          <c:w val="0.20745002649316724"/>
          <c:h val="0.13056255152221496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Histogramme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Partie2!$R$2:$R$6</c:f>
              <c:strCache>
                <c:ptCount val="5"/>
                <c:pt idx="0">
                  <c:v>x &lt; 8900</c:v>
                </c:pt>
                <c:pt idx="1">
                  <c:v>8900 &lt;= x &lt; 9000</c:v>
                </c:pt>
                <c:pt idx="2">
                  <c:v>9000 &lt;= x &lt; 9100</c:v>
                </c:pt>
                <c:pt idx="3">
                  <c:v>9100 &lt;= x &lt; 9200</c:v>
                </c:pt>
                <c:pt idx="4">
                  <c:v>x &gt;= 9200</c:v>
                </c:pt>
              </c:strCache>
            </c:strRef>
          </c:cat>
          <c:val>
            <c:numRef>
              <c:f>Partie2!$Y$2:$Y$6</c:f>
              <c:numCache>
                <c:formatCode>0%</c:formatCode>
                <c:ptCount val="5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0.22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5BC-9C76-EEDCA791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944448"/>
        <c:axId val="1645944864"/>
      </c:barChart>
      <c:catAx>
        <c:axId val="16459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340000"/>
          <a:lstStyle/>
          <a:p>
            <a:pPr>
              <a:defRPr/>
            </a:pPr>
            <a:endParaRPr lang="en-US"/>
          </a:p>
        </c:txPr>
        <c:crossAx val="1645944864"/>
        <c:crosses val="autoZero"/>
        <c:auto val="1"/>
        <c:lblAlgn val="ctr"/>
        <c:lblOffset val="100"/>
        <c:noMultiLvlLbl val="0"/>
      </c:catAx>
      <c:valAx>
        <c:axId val="16459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Fréquence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459444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177478580171358"/>
          <c:y val="0.22482673767980416"/>
          <c:w val="9.7894415584832806E-2"/>
          <c:h val="5.2074612773113205E-2"/>
        </c:manualLayout>
      </c:layout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9</xdr:row>
      <xdr:rowOff>180975</xdr:rowOff>
    </xdr:from>
    <xdr:to>
      <xdr:col>15</xdr:col>
      <xdr:colOff>247650</xdr:colOff>
      <xdr:row>37</xdr:row>
      <xdr:rowOff>95250</xdr:rowOff>
    </xdr:to>
    <xdr:graphicFrame macro="">
      <xdr:nvGraphicFramePr>
        <xdr:cNvPr id="62" name="Graphique 7">
          <a:extLst>
            <a:ext uri="{FF2B5EF4-FFF2-40B4-BE49-F238E27FC236}">
              <a16:creationId xmlns:a16="http://schemas.microsoft.com/office/drawing/2014/main" id="{F1100ED2-A014-81BF-1008-CC9787ABA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9524</xdr:rowOff>
    </xdr:from>
    <xdr:to>
      <xdr:col>25</xdr:col>
      <xdr:colOff>295275</xdr:colOff>
      <xdr:row>35</xdr:row>
      <xdr:rowOff>0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A38D4425-17B7-4D3B-82AE-8600C4AF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B845C-B87D-4030-952C-3E9D47EBC2FC}" name="Table1" displayName="Table1" ref="F1:L8" totalsRowShown="0" headerRowDxfId="9" dataDxfId="8" tableBorderDxfId="7">
  <autoFilter ref="F1:L8" xr:uid="{6C6B845C-B87D-4030-952C-3E9D47EBC2FC}"/>
  <tableColumns count="7">
    <tableColumn id="1" xr3:uid="{9F4E2C6A-0EBF-4614-820D-7433B30B5E34}" name="Borne inférieure" dataDxfId="6">
      <calculatedColumnFormula>H2</calculatedColumnFormula>
    </tableColumn>
    <tableColumn id="7" xr3:uid="{8670C110-E25B-4CFA-AF1C-546605579BD5}" name="Milieu de classe" dataDxfId="5">
      <calculatedColumnFormula>Table1[[#This Row],[Borne inférieure]] + (Table1[[#This Row],[Borne supérieure]] - Table1[[#This Row],[Borne inférieure]]) / 2</calculatedColumnFormula>
    </tableColumn>
    <tableColumn id="2" xr3:uid="{0570F84B-FBFA-4DEE-90AE-89789F53ABB1}" name="Borne supérieure" dataDxfId="4"/>
    <tableColumn id="3" xr3:uid="{8FED71B6-94CD-420B-89D0-4A5C73F3F80F}" name="Classes" dataDxfId="3"/>
    <tableColumn id="4" xr3:uid="{EA80CDD9-7E67-4FD3-B748-813CA9B3F43E}" name="Fréquences Absolues" dataDxfId="2">
      <calculatedColumnFormula>COUNTIFS(A:A, "&gt;="&amp;F2, A:A, "&lt;"&amp;H2)</calculatedColumnFormula>
    </tableColumn>
    <tableColumn id="5" xr3:uid="{6D0BBA0A-19B6-4472-9EDA-543AEFDD91F2}" name="Fréquences relatives" dataDxfId="1">
      <calculatedColumnFormula>J2 / D$11</calculatedColumnFormula>
    </tableColumn>
    <tableColumn id="6" xr3:uid="{73EF04CD-3AE8-4034-9023-051670F69D87}" name="Fréquences cumulées croissantes" dataDxfId="0">
      <calculatedColumnFormula>K3 + L2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88F-66F0-4777-B9D2-87990B712EB1}">
  <dimension ref="A1:P51"/>
  <sheetViews>
    <sheetView workbookViewId="0">
      <selection activeCell="G10" sqref="G10"/>
    </sheetView>
  </sheetViews>
  <sheetFormatPr defaultColWidth="11.42578125" defaultRowHeight="15" x14ac:dyDescent="0.25"/>
  <cols>
    <col min="1" max="1" width="15.7109375" style="4" customWidth="1"/>
    <col min="2" max="2" width="11.42578125" style="4"/>
    <col min="3" max="3" width="22.140625" style="4" bestFit="1" customWidth="1"/>
    <col min="4" max="5" width="11.42578125" style="4"/>
    <col min="6" max="8" width="14.7109375" style="4" customWidth="1"/>
    <col min="9" max="9" width="15.7109375" style="5" customWidth="1"/>
    <col min="10" max="11" width="16.7109375" style="4" customWidth="1"/>
    <col min="12" max="12" width="20.7109375" style="4" customWidth="1"/>
    <col min="13" max="16384" width="11.42578125" style="4"/>
  </cols>
  <sheetData>
    <row r="1" spans="1:16" ht="30.75" thickBot="1" x14ac:dyDescent="0.3">
      <c r="A1" s="16" t="s">
        <v>21</v>
      </c>
      <c r="C1" s="64" t="s">
        <v>9</v>
      </c>
      <c r="D1" s="65" t="s">
        <v>10</v>
      </c>
      <c r="E1" s="66"/>
      <c r="F1" s="1" t="s">
        <v>19</v>
      </c>
      <c r="G1" s="1" t="s">
        <v>22</v>
      </c>
      <c r="H1" s="1" t="s">
        <v>20</v>
      </c>
      <c r="I1" s="2" t="s">
        <v>3</v>
      </c>
      <c r="J1" s="1" t="s">
        <v>18</v>
      </c>
      <c r="K1" s="1" t="s">
        <v>16</v>
      </c>
      <c r="L1" s="1" t="s">
        <v>17</v>
      </c>
    </row>
    <row r="2" spans="1:16" x14ac:dyDescent="0.25">
      <c r="A2" s="68">
        <v>8500</v>
      </c>
      <c r="C2" s="3" t="s">
        <v>4</v>
      </c>
      <c r="D2" s="24">
        <f>AVERAGE(A:A)</f>
        <v>9054</v>
      </c>
      <c r="F2" s="8">
        <v>8500</v>
      </c>
      <c r="G2" s="9">
        <f>Table1[[#This Row],[Borne inférieure]] + (Table1[[#This Row],[Borne supérieure]] - Table1[[#This Row],[Borne inférieure]]) / 2</f>
        <v>8595</v>
      </c>
      <c r="H2" s="9">
        <f>D9 + D$13</f>
        <v>8690</v>
      </c>
      <c r="I2" s="10" t="str">
        <f>F2&amp; " &lt;= x &lt; " &amp;H2</f>
        <v>8500 &lt;= x &lt; 8690</v>
      </c>
      <c r="J2" s="9">
        <f t="shared" ref="J2:J8" si="0">COUNTIFS(A:A, "&gt;="&amp;F2, A:A, "&lt;"&amp;H2)</f>
        <v>2</v>
      </c>
      <c r="K2" s="11">
        <f t="shared" ref="K2:K8" si="1">J2 / D$11</f>
        <v>0.04</v>
      </c>
      <c r="L2" s="12">
        <f>K2</f>
        <v>0.04</v>
      </c>
      <c r="N2" s="66"/>
      <c r="O2" s="66"/>
      <c r="P2" s="66"/>
    </row>
    <row r="3" spans="1:16" x14ac:dyDescent="0.25">
      <c r="A3" s="22">
        <v>8500</v>
      </c>
      <c r="C3" s="3" t="s">
        <v>11</v>
      </c>
      <c r="D3" s="69">
        <f>D6 / D2</f>
        <v>2.342539748875665E-2</v>
      </c>
      <c r="F3" s="3">
        <f t="shared" ref="F3:F8" si="2">H2</f>
        <v>8690</v>
      </c>
      <c r="G3" s="4">
        <f>Table1[[#This Row],[Borne inférieure]] + (Table1[[#This Row],[Borne supérieure]] - Table1[[#This Row],[Borne inférieure]]) / 2</f>
        <v>8785</v>
      </c>
      <c r="H3" s="4">
        <f>F3+D$13</f>
        <v>8880</v>
      </c>
      <c r="I3" s="5" t="str">
        <f t="shared" ref="I3:I6" si="3">F3&amp; " &lt;= x &lt; " &amp;H3</f>
        <v>8690 &lt;= x &lt; 8880</v>
      </c>
      <c r="J3" s="4">
        <f t="shared" si="0"/>
        <v>3</v>
      </c>
      <c r="K3" s="7">
        <f t="shared" si="1"/>
        <v>0.06</v>
      </c>
      <c r="L3" s="6">
        <f t="shared" ref="L3:L8" si="4">K3 + L2</f>
        <v>0.1</v>
      </c>
      <c r="N3" s="5"/>
      <c r="P3" s="70"/>
    </row>
    <row r="4" spans="1:16" x14ac:dyDescent="0.25">
      <c r="A4" s="22">
        <v>8800</v>
      </c>
      <c r="C4" s="3" t="s">
        <v>5</v>
      </c>
      <c r="D4" s="24">
        <f>MEDIAN(A:A)</f>
        <v>9050</v>
      </c>
      <c r="F4" s="3">
        <f t="shared" si="2"/>
        <v>8880</v>
      </c>
      <c r="G4" s="4">
        <f>Table1[[#This Row],[Borne inférieure]] + (Table1[[#This Row],[Borne supérieure]] - Table1[[#This Row],[Borne inférieure]]) / 2</f>
        <v>8975</v>
      </c>
      <c r="H4" s="4">
        <f>F4+D$13</f>
        <v>9070</v>
      </c>
      <c r="I4" s="5" t="str">
        <f t="shared" si="3"/>
        <v>8880 &lt;= x &lt; 9070</v>
      </c>
      <c r="J4" s="4">
        <f t="shared" si="0"/>
        <v>20</v>
      </c>
      <c r="K4" s="7">
        <f t="shared" si="1"/>
        <v>0.4</v>
      </c>
      <c r="L4" s="6">
        <f t="shared" si="4"/>
        <v>0.5</v>
      </c>
      <c r="N4" s="5"/>
      <c r="P4" s="70"/>
    </row>
    <row r="5" spans="1:16" x14ac:dyDescent="0.25">
      <c r="A5" s="22">
        <v>8800</v>
      </c>
      <c r="C5" s="3" t="s">
        <v>0</v>
      </c>
      <c r="D5" s="24">
        <f>MODE(A:A)</f>
        <v>9000</v>
      </c>
      <c r="F5" s="3">
        <f t="shared" si="2"/>
        <v>9070</v>
      </c>
      <c r="G5" s="4">
        <f>Table1[[#This Row],[Borne inférieure]] + (Table1[[#This Row],[Borne supérieure]] - Table1[[#This Row],[Borne inférieure]]) / 2</f>
        <v>9165</v>
      </c>
      <c r="H5" s="4">
        <f>F5+D$13</f>
        <v>9260</v>
      </c>
      <c r="I5" s="5" t="str">
        <f t="shared" si="3"/>
        <v>9070 &lt;= x &lt; 9260</v>
      </c>
      <c r="J5" s="4">
        <f t="shared" si="0"/>
        <v>21</v>
      </c>
      <c r="K5" s="7">
        <f t="shared" si="1"/>
        <v>0.42</v>
      </c>
      <c r="L5" s="6">
        <f t="shared" si="4"/>
        <v>0.91999999999999993</v>
      </c>
      <c r="N5" s="5"/>
      <c r="P5" s="70"/>
    </row>
    <row r="6" spans="1:16" x14ac:dyDescent="0.25">
      <c r="A6" s="22">
        <v>8800</v>
      </c>
      <c r="C6" s="3" t="s">
        <v>6</v>
      </c>
      <c r="D6" s="71">
        <f>_xlfn.STDEV.S(A:A)</f>
        <v>212.0935488632027</v>
      </c>
      <c r="F6" s="3">
        <f t="shared" si="2"/>
        <v>9260</v>
      </c>
      <c r="G6" s="4">
        <f>Table1[[#This Row],[Borne inférieure]] + (Table1[[#This Row],[Borne supérieure]] - Table1[[#This Row],[Borne inférieure]]) / 2</f>
        <v>9355</v>
      </c>
      <c r="H6" s="4">
        <f>F6+D$13</f>
        <v>9450</v>
      </c>
      <c r="I6" s="5" t="str">
        <f t="shared" si="3"/>
        <v>9260 &lt;= x &lt; 9450</v>
      </c>
      <c r="J6" s="4">
        <f t="shared" si="0"/>
        <v>2</v>
      </c>
      <c r="K6" s="7">
        <f t="shared" si="1"/>
        <v>0.04</v>
      </c>
      <c r="L6" s="6">
        <f t="shared" si="4"/>
        <v>0.96</v>
      </c>
      <c r="N6" s="5"/>
      <c r="P6" s="70"/>
    </row>
    <row r="7" spans="1:16" x14ac:dyDescent="0.25">
      <c r="A7" s="22">
        <v>8900</v>
      </c>
      <c r="C7" s="3" t="s">
        <v>12</v>
      </c>
      <c r="D7" s="71">
        <f>_xlfn.VAR.S(A:A)</f>
        <v>44983.673469387752</v>
      </c>
      <c r="F7" s="3">
        <f t="shared" si="2"/>
        <v>9450</v>
      </c>
      <c r="G7" s="4">
        <f>Table1[[#This Row],[Borne inférieure]] + (Table1[[#This Row],[Borne supérieure]] - Table1[[#This Row],[Borne inférieure]]) / 2</f>
        <v>9545</v>
      </c>
      <c r="H7" s="4">
        <f>Table1[[#This Row],[Borne inférieure]]+D13</f>
        <v>9640</v>
      </c>
      <c r="I7" s="5" t="str">
        <f>F7&amp; " &lt;= x &lt; " &amp;H7</f>
        <v>9450 &lt;= x &lt; 9640</v>
      </c>
      <c r="J7" s="4">
        <f t="shared" si="0"/>
        <v>1</v>
      </c>
      <c r="K7" s="15">
        <f t="shared" si="1"/>
        <v>0.02</v>
      </c>
      <c r="L7" s="6">
        <f t="shared" si="4"/>
        <v>0.98</v>
      </c>
      <c r="N7" s="5"/>
      <c r="P7" s="70"/>
    </row>
    <row r="8" spans="1:16" x14ac:dyDescent="0.25">
      <c r="A8" s="22">
        <v>8900</v>
      </c>
      <c r="C8" s="3" t="s">
        <v>13</v>
      </c>
      <c r="D8" s="24">
        <f>D10 - D9</f>
        <v>1300</v>
      </c>
      <c r="F8" s="3">
        <f t="shared" si="2"/>
        <v>9640</v>
      </c>
      <c r="G8" s="4">
        <f>Table1[[#This Row],[Borne inférieure]] + (Table1[[#This Row],[Borne supérieure]] - Table1[[#This Row],[Borne inférieure]]) / 2</f>
        <v>4.9999999999999998E+98</v>
      </c>
      <c r="H8" s="14">
        <v>9.9999999999999997E+98</v>
      </c>
      <c r="I8" s="5" t="str">
        <f xml:space="preserve"> "x &gt; "&amp; F8</f>
        <v>x &gt; 9640</v>
      </c>
      <c r="J8" s="4">
        <f t="shared" si="0"/>
        <v>1</v>
      </c>
      <c r="K8" s="7">
        <f t="shared" si="1"/>
        <v>0.02</v>
      </c>
      <c r="L8" s="6">
        <f t="shared" si="4"/>
        <v>1</v>
      </c>
      <c r="N8" s="5"/>
      <c r="P8" s="70"/>
    </row>
    <row r="9" spans="1:16" ht="15.75" thickBot="1" x14ac:dyDescent="0.3">
      <c r="A9" s="22">
        <v>8900</v>
      </c>
      <c r="C9" s="3" t="s">
        <v>1</v>
      </c>
      <c r="D9" s="24">
        <f>MIN(A:A)</f>
        <v>8500</v>
      </c>
      <c r="I9" s="49" t="s">
        <v>7</v>
      </c>
      <c r="J9" s="36">
        <f>SUM(J2:J8)</f>
        <v>50</v>
      </c>
      <c r="K9" s="67">
        <f>SUM(K2:K8)</f>
        <v>1</v>
      </c>
      <c r="L9" s="70"/>
      <c r="P9" s="70"/>
    </row>
    <row r="10" spans="1:16" x14ac:dyDescent="0.25">
      <c r="A10" s="22">
        <v>8900</v>
      </c>
      <c r="C10" s="3" t="s">
        <v>2</v>
      </c>
      <c r="D10" s="24">
        <f>MAX(A:A)</f>
        <v>9800</v>
      </c>
      <c r="P10" s="70"/>
    </row>
    <row r="11" spans="1:16" ht="15.75" thickBot="1" x14ac:dyDescent="0.3">
      <c r="A11" s="22">
        <v>8900</v>
      </c>
      <c r="C11" s="72" t="s">
        <v>8</v>
      </c>
      <c r="D11" s="73">
        <f>COUNT(A:A)</f>
        <v>50</v>
      </c>
    </row>
    <row r="12" spans="1:16" ht="15.75" thickTop="1" x14ac:dyDescent="0.25">
      <c r="A12" s="22">
        <v>8900</v>
      </c>
      <c r="C12" s="3" t="s">
        <v>14</v>
      </c>
      <c r="D12" s="24">
        <f>ROUNDUP(1+LOG(D11,2),0)</f>
        <v>7</v>
      </c>
    </row>
    <row r="13" spans="1:16" ht="15.75" thickBot="1" x14ac:dyDescent="0.3">
      <c r="A13" s="22">
        <v>8900</v>
      </c>
      <c r="C13" s="27" t="s">
        <v>15</v>
      </c>
      <c r="D13" s="50">
        <f>ROUNDUP(D8/D12,-1)</f>
        <v>190</v>
      </c>
    </row>
    <row r="14" spans="1:16" x14ac:dyDescent="0.25">
      <c r="A14" s="22">
        <v>8900</v>
      </c>
    </row>
    <row r="15" spans="1:16" x14ac:dyDescent="0.25">
      <c r="A15" s="22">
        <v>9000</v>
      </c>
    </row>
    <row r="16" spans="1:16" x14ac:dyDescent="0.25">
      <c r="A16" s="22">
        <v>9000</v>
      </c>
    </row>
    <row r="17" spans="1:1" x14ac:dyDescent="0.25">
      <c r="A17" s="22">
        <v>9000</v>
      </c>
    </row>
    <row r="18" spans="1:1" x14ac:dyDescent="0.25">
      <c r="A18" s="22">
        <v>9000</v>
      </c>
    </row>
    <row r="19" spans="1:1" x14ac:dyDescent="0.25">
      <c r="A19" s="22">
        <v>9000</v>
      </c>
    </row>
    <row r="20" spans="1:1" x14ac:dyDescent="0.25">
      <c r="A20" s="22">
        <v>9000</v>
      </c>
    </row>
    <row r="21" spans="1:1" x14ac:dyDescent="0.25">
      <c r="A21" s="22">
        <v>9000</v>
      </c>
    </row>
    <row r="22" spans="1:1" x14ac:dyDescent="0.25">
      <c r="A22" s="22">
        <v>9000</v>
      </c>
    </row>
    <row r="23" spans="1:1" x14ac:dyDescent="0.25">
      <c r="A23" s="22">
        <v>9000</v>
      </c>
    </row>
    <row r="24" spans="1:1" x14ac:dyDescent="0.25">
      <c r="A24" s="22">
        <v>9000</v>
      </c>
    </row>
    <row r="25" spans="1:1" x14ac:dyDescent="0.25">
      <c r="A25" s="22">
        <v>9000</v>
      </c>
    </row>
    <row r="26" spans="1:1" x14ac:dyDescent="0.25">
      <c r="A26" s="22">
        <v>9000</v>
      </c>
    </row>
    <row r="27" spans="1:1" x14ac:dyDescent="0.25">
      <c r="A27" s="22">
        <v>9100</v>
      </c>
    </row>
    <row r="28" spans="1:1" x14ac:dyDescent="0.25">
      <c r="A28" s="22">
        <v>9100</v>
      </c>
    </row>
    <row r="29" spans="1:1" x14ac:dyDescent="0.25">
      <c r="A29" s="22">
        <v>9100</v>
      </c>
    </row>
    <row r="30" spans="1:1" x14ac:dyDescent="0.25">
      <c r="A30" s="22">
        <v>9100</v>
      </c>
    </row>
    <row r="31" spans="1:1" x14ac:dyDescent="0.25">
      <c r="A31" s="22">
        <v>9100</v>
      </c>
    </row>
    <row r="32" spans="1:1" x14ac:dyDescent="0.25">
      <c r="A32" s="22">
        <v>9100</v>
      </c>
    </row>
    <row r="33" spans="1:1" x14ac:dyDescent="0.25">
      <c r="A33" s="22">
        <v>9100</v>
      </c>
    </row>
    <row r="34" spans="1:1" x14ac:dyDescent="0.25">
      <c r="A34" s="22">
        <v>9100</v>
      </c>
    </row>
    <row r="35" spans="1:1" x14ac:dyDescent="0.25">
      <c r="A35" s="22">
        <v>9100</v>
      </c>
    </row>
    <row r="36" spans="1:1" x14ac:dyDescent="0.25">
      <c r="A36" s="22">
        <v>9100</v>
      </c>
    </row>
    <row r="37" spans="1:1" x14ac:dyDescent="0.25">
      <c r="A37" s="22">
        <v>9100</v>
      </c>
    </row>
    <row r="38" spans="1:1" x14ac:dyDescent="0.25">
      <c r="A38" s="22">
        <v>9200</v>
      </c>
    </row>
    <row r="39" spans="1:1" x14ac:dyDescent="0.25">
      <c r="A39" s="22">
        <v>9200</v>
      </c>
    </row>
    <row r="40" spans="1:1" x14ac:dyDescent="0.25">
      <c r="A40" s="22">
        <v>9200</v>
      </c>
    </row>
    <row r="41" spans="1:1" x14ac:dyDescent="0.25">
      <c r="A41" s="22">
        <v>9200</v>
      </c>
    </row>
    <row r="42" spans="1:1" x14ac:dyDescent="0.25">
      <c r="A42" s="22">
        <v>9200</v>
      </c>
    </row>
    <row r="43" spans="1:1" x14ac:dyDescent="0.25">
      <c r="A43" s="22">
        <v>9200</v>
      </c>
    </row>
    <row r="44" spans="1:1" x14ac:dyDescent="0.25">
      <c r="A44" s="22">
        <v>9200</v>
      </c>
    </row>
    <row r="45" spans="1:1" x14ac:dyDescent="0.25">
      <c r="A45" s="22">
        <v>9200</v>
      </c>
    </row>
    <row r="46" spans="1:1" x14ac:dyDescent="0.25">
      <c r="A46" s="22">
        <v>9200</v>
      </c>
    </row>
    <row r="47" spans="1:1" x14ac:dyDescent="0.25">
      <c r="A47" s="22">
        <v>9200</v>
      </c>
    </row>
    <row r="48" spans="1:1" x14ac:dyDescent="0.25">
      <c r="A48" s="22">
        <v>9300</v>
      </c>
    </row>
    <row r="49" spans="1:1" x14ac:dyDescent="0.25">
      <c r="A49" s="22">
        <v>9400</v>
      </c>
    </row>
    <row r="50" spans="1:1" x14ac:dyDescent="0.25">
      <c r="A50" s="22">
        <v>9500</v>
      </c>
    </row>
    <row r="51" spans="1:1" ht="15.75" thickBot="1" x14ac:dyDescent="0.3">
      <c r="A51" s="32">
        <v>9800</v>
      </c>
    </row>
  </sheetData>
  <sortState xmlns:xlrd2="http://schemas.microsoft.com/office/spreadsheetml/2017/richdata2" ref="A2:A51">
    <sortCondition ref="A1:A5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80F8-3EC1-421D-87A1-CAFA03360EC1}">
  <dimension ref="A1:AC51"/>
  <sheetViews>
    <sheetView tabSelected="1" topLeftCell="O1" zoomScale="130" zoomScaleNormal="130" workbookViewId="0">
      <selection activeCell="X12" sqref="X12"/>
    </sheetView>
  </sheetViews>
  <sheetFormatPr defaultColWidth="11.42578125" defaultRowHeight="15" x14ac:dyDescent="0.25"/>
  <cols>
    <col min="1" max="1" width="13" style="4" customWidth="1"/>
    <col min="2" max="4" width="11.42578125" style="4"/>
    <col min="5" max="5" width="20.85546875" style="4" customWidth="1"/>
    <col min="6" max="6" width="11.42578125" style="4"/>
    <col min="7" max="7" width="15.7109375" style="4" customWidth="1"/>
    <col min="8" max="8" width="11.42578125" style="4" customWidth="1"/>
    <col min="9" max="9" width="11.42578125" style="4"/>
    <col min="10" max="10" width="7.28515625" style="4" bestFit="1" customWidth="1"/>
    <col min="11" max="11" width="11.42578125" style="4"/>
    <col min="12" max="12" width="11.42578125" style="4" bestFit="1" customWidth="1"/>
    <col min="13" max="13" width="14.5703125" style="4" customWidth="1"/>
    <col min="14" max="14" width="11.42578125" style="4" customWidth="1"/>
    <col min="15" max="16" width="11.42578125" style="4"/>
    <col min="17" max="17" width="10" style="4" customWidth="1"/>
    <col min="18" max="19" width="14.7109375" style="4" bestFit="1" customWidth="1"/>
    <col min="20" max="21" width="13.42578125" style="4" customWidth="1"/>
    <col min="22" max="23" width="12.140625" style="4" bestFit="1" customWidth="1"/>
    <col min="24" max="24" width="10.85546875" style="4" bestFit="1" customWidth="1"/>
    <col min="25" max="25" width="10.85546875" style="4" customWidth="1"/>
    <col min="26" max="27" width="11.42578125" style="4"/>
    <col min="28" max="28" width="11.28515625" style="4" bestFit="1" customWidth="1"/>
    <col min="29" max="16384" width="11.42578125" style="4"/>
  </cols>
  <sheetData>
    <row r="1" spans="1:29" ht="30.75" customHeight="1" thickBot="1" x14ac:dyDescent="0.3">
      <c r="A1" s="17" t="str">
        <f>Partie1!A1</f>
        <v>Durée de vie (heure)</v>
      </c>
      <c r="B1" s="13" t="s">
        <v>29</v>
      </c>
      <c r="E1" s="87" t="s">
        <v>23</v>
      </c>
      <c r="F1" s="88"/>
      <c r="H1" s="89" t="s">
        <v>49</v>
      </c>
      <c r="I1" s="90"/>
      <c r="J1" s="91"/>
      <c r="M1" s="89" t="s">
        <v>54</v>
      </c>
      <c r="N1" s="90"/>
      <c r="O1" s="91"/>
      <c r="P1" s="9"/>
      <c r="Q1" s="46" t="s">
        <v>3</v>
      </c>
      <c r="R1" s="47" t="s">
        <v>63</v>
      </c>
      <c r="S1" s="47" t="s">
        <v>64</v>
      </c>
      <c r="T1" s="47" t="s">
        <v>65</v>
      </c>
      <c r="U1" s="47" t="s">
        <v>64</v>
      </c>
      <c r="V1" s="47" t="s">
        <v>65</v>
      </c>
      <c r="W1" s="47" t="s">
        <v>66</v>
      </c>
      <c r="X1" s="47" t="s">
        <v>67</v>
      </c>
      <c r="Y1" s="47" t="s">
        <v>89</v>
      </c>
      <c r="Z1" s="47" t="s">
        <v>73</v>
      </c>
      <c r="AA1" s="53" t="s">
        <v>90</v>
      </c>
      <c r="AB1" s="62" t="s">
        <v>62</v>
      </c>
      <c r="AC1" s="54" t="s">
        <v>77</v>
      </c>
    </row>
    <row r="2" spans="1:29" ht="15.75" thickBot="1" x14ac:dyDescent="0.3">
      <c r="A2" s="3">
        <f>Partie1!A2</f>
        <v>8500</v>
      </c>
      <c r="B2" s="22">
        <f t="shared" ref="B2:B33" si="0">(A2 - $F$5)^2</f>
        <v>306916</v>
      </c>
      <c r="E2" s="92" t="s">
        <v>24</v>
      </c>
      <c r="F2" s="93"/>
      <c r="H2" s="3" t="s">
        <v>45</v>
      </c>
      <c r="I2" s="4">
        <v>1.96</v>
      </c>
      <c r="J2" s="19" t="s">
        <v>58</v>
      </c>
      <c r="M2" s="3" t="s">
        <v>50</v>
      </c>
      <c r="N2" s="4">
        <v>70.222399999999993</v>
      </c>
      <c r="O2" s="24"/>
      <c r="Q2" s="48">
        <v>1</v>
      </c>
      <c r="R2" s="39" t="str">
        <f>"x &lt; " &amp; T2</f>
        <v>x &lt; 8900</v>
      </c>
      <c r="S2" s="39">
        <v>0</v>
      </c>
      <c r="T2" s="39">
        <v>8900</v>
      </c>
      <c r="U2" s="76">
        <f>(S2-$F$5)/$F$4</f>
        <v>-42.688709998622826</v>
      </c>
      <c r="V2" s="76">
        <f>(T2-$F$5)/$F$4</f>
        <v>-0.72609469182548214</v>
      </c>
      <c r="W2" s="39">
        <f>0.5-0.2673</f>
        <v>0.23270000000000002</v>
      </c>
      <c r="X2" s="39">
        <f>COUNTIFS(A:A, "&gt;="&amp;S2, A:A, "&lt;"&amp;T2)</f>
        <v>5</v>
      </c>
      <c r="Y2" s="100">
        <f>X2 / F$6</f>
        <v>0.1</v>
      </c>
      <c r="Z2" s="98">
        <f>W2 * F$6</f>
        <v>11.635000000000002</v>
      </c>
      <c r="AA2" s="60">
        <f>(X2-Z2)^2 / Z2</f>
        <v>3.7836892995272895</v>
      </c>
      <c r="AB2" s="32">
        <f>SUM(AA2:AA6)</f>
        <v>5.6613207400210985</v>
      </c>
      <c r="AC2" s="32" t="str">
        <f>IF(AB2&gt;AB5, "REJET", "PAS REJET")</f>
        <v>PAS REJET</v>
      </c>
    </row>
    <row r="3" spans="1:29" ht="15.75" thickBot="1" x14ac:dyDescent="0.3">
      <c r="A3" s="3">
        <f>Partie1!A3</f>
        <v>8500</v>
      </c>
      <c r="B3" s="22">
        <f t="shared" si="0"/>
        <v>306916</v>
      </c>
      <c r="E3" s="92" t="s">
        <v>25</v>
      </c>
      <c r="F3" s="93"/>
      <c r="H3" s="3" t="s">
        <v>48</v>
      </c>
      <c r="I3" s="25">
        <f>F$5-(I$2*(F$4/SQRT(F$6)))</f>
        <v>8995.210667634341</v>
      </c>
      <c r="J3" s="26">
        <f>I3-F5</f>
        <v>-58.789332365658993</v>
      </c>
      <c r="M3" s="3" t="s">
        <v>53</v>
      </c>
      <c r="N3" s="4">
        <v>31.5549</v>
      </c>
      <c r="O3" s="19" t="s">
        <v>58</v>
      </c>
      <c r="Q3" s="48">
        <v>2</v>
      </c>
      <c r="R3" s="57" t="str">
        <f>S3 &amp; " &lt;= x &lt; " &amp; T3</f>
        <v>8900 &lt;= x &lt; 9000</v>
      </c>
      <c r="S3" s="57">
        <f>T2</f>
        <v>8900</v>
      </c>
      <c r="T3" s="57">
        <f>S3 + R$11</f>
        <v>9000</v>
      </c>
      <c r="U3" s="77">
        <f>(S3-$F$5)/$F$4</f>
        <v>-0.72609469182548214</v>
      </c>
      <c r="V3" s="74">
        <f>(T3-$F$5)/$F$4</f>
        <v>-0.25460463219854568</v>
      </c>
      <c r="W3" s="57">
        <f>0.2673-0.0987</f>
        <v>0.16859999999999997</v>
      </c>
      <c r="X3" s="57">
        <f>COUNTIFS(A:A, "&gt;="&amp;S3, A:A, "&lt;"&amp;T3)</f>
        <v>8</v>
      </c>
      <c r="Y3" s="100">
        <f t="shared" ref="Y3:Y6" si="1">X3 / F$6</f>
        <v>0.16</v>
      </c>
      <c r="Z3" s="99">
        <f>W3 * F$6</f>
        <v>8.4299999999999979</v>
      </c>
      <c r="AA3" s="61">
        <f>(X3-Z3)^2 / Z3</f>
        <v>2.1933570581257208E-2</v>
      </c>
    </row>
    <row r="4" spans="1:29" ht="30.75" thickBot="1" x14ac:dyDescent="0.3">
      <c r="A4" s="3">
        <f>Partie1!A4</f>
        <v>8800</v>
      </c>
      <c r="B4" s="22">
        <f t="shared" si="0"/>
        <v>64516</v>
      </c>
      <c r="E4" s="83" t="s">
        <v>46</v>
      </c>
      <c r="F4" s="71">
        <f>Partie1!D6</f>
        <v>212.0935488632027</v>
      </c>
      <c r="H4" s="27" t="s">
        <v>47</v>
      </c>
      <c r="I4" s="28">
        <f>F$5+(I$2*(F$4/SQRT(F$6)))</f>
        <v>9112.789332365659</v>
      </c>
      <c r="J4" s="29">
        <f>I4-F$5</f>
        <v>58.789332365658993</v>
      </c>
      <c r="M4" s="20" t="s">
        <v>51</v>
      </c>
      <c r="N4" s="25">
        <f>SQRT(F$7*F$4^2/(N2))</f>
        <v>177.16897184666277</v>
      </c>
      <c r="O4" s="26">
        <f>N4-F$4</f>
        <v>-34.924577016539928</v>
      </c>
      <c r="Q4" s="48">
        <v>3</v>
      </c>
      <c r="R4" s="57" t="str">
        <f>S4 &amp; " &lt;= x &lt; " &amp; T4</f>
        <v>9000 &lt;= x &lt; 9100</v>
      </c>
      <c r="S4" s="57">
        <f t="shared" ref="S4:S6" si="2">T3</f>
        <v>9000</v>
      </c>
      <c r="T4" s="57">
        <f>S4 + R$11</f>
        <v>9100</v>
      </c>
      <c r="U4" s="77">
        <f>ROUNDUP((S4-$F$5)/$F$4,2)</f>
        <v>-0.26</v>
      </c>
      <c r="V4" s="77">
        <f t="shared" ref="V4:V6" si="3">(T4-$F$5)/$F$4</f>
        <v>0.21688542742839076</v>
      </c>
      <c r="W4" s="57">
        <f>0.0987+0.0832</f>
        <v>0.18190000000000001</v>
      </c>
      <c r="X4" s="57">
        <f>COUNTIFS(A:A, "&gt;="&amp;S4, A:A, "&lt;"&amp;T4)</f>
        <v>12</v>
      </c>
      <c r="Y4" s="100">
        <f t="shared" si="1"/>
        <v>0.24</v>
      </c>
      <c r="Z4" s="99">
        <f>W4 * F$6</f>
        <v>9.0950000000000006</v>
      </c>
      <c r="AA4" s="61">
        <f>(X4-Z4)^2 / Z4</f>
        <v>0.92787520615722874</v>
      </c>
      <c r="AB4" s="104" t="s">
        <v>74</v>
      </c>
    </row>
    <row r="5" spans="1:29" ht="30.75" thickBot="1" x14ac:dyDescent="0.3">
      <c r="A5" s="3">
        <f>Partie1!A5</f>
        <v>8800</v>
      </c>
      <c r="B5" s="22">
        <f t="shared" si="0"/>
        <v>64516</v>
      </c>
      <c r="E5" s="3" t="s">
        <v>28</v>
      </c>
      <c r="F5" s="84">
        <f>Partie1!D2</f>
        <v>9054</v>
      </c>
      <c r="K5" s="25"/>
      <c r="M5" s="21" t="s">
        <v>52</v>
      </c>
      <c r="N5" s="28">
        <f>SQRT(F$7*F$4^2/(N3))</f>
        <v>264.29691564463388</v>
      </c>
      <c r="O5" s="29">
        <f>N5-F$4</f>
        <v>52.203366781431185</v>
      </c>
      <c r="Q5" s="48">
        <v>4</v>
      </c>
      <c r="R5" s="57" t="str">
        <f>S5 &amp; " &lt;= x &lt; " &amp; T5</f>
        <v>9100 &lt;= x &lt; 9200</v>
      </c>
      <c r="S5" s="57">
        <f t="shared" si="2"/>
        <v>9100</v>
      </c>
      <c r="T5" s="57">
        <f>S5 + R$11</f>
        <v>9200</v>
      </c>
      <c r="U5" s="77">
        <f t="shared" ref="U5:U6" si="4">(S5-$F$5)/$F$4</f>
        <v>0.21688542742839076</v>
      </c>
      <c r="V5" s="77">
        <f t="shared" si="3"/>
        <v>0.68837548705532725</v>
      </c>
      <c r="W5" s="57">
        <f>0.2549-0.0832</f>
        <v>0.17170000000000002</v>
      </c>
      <c r="X5" s="57">
        <f>COUNTIFS(A:A, "&gt;="&amp;S5, A:A, "&lt;"&amp;T5)</f>
        <v>11</v>
      </c>
      <c r="Y5" s="100">
        <f t="shared" si="1"/>
        <v>0.22</v>
      </c>
      <c r="Z5" s="99">
        <f>W5 * F$6</f>
        <v>8.5850000000000009</v>
      </c>
      <c r="AA5" s="61">
        <f>(X5-Z5)^2 / Z5</f>
        <v>0.67935061153174081</v>
      </c>
      <c r="AB5" s="32">
        <f>X10</f>
        <v>5.9914645471079799</v>
      </c>
    </row>
    <row r="6" spans="1:29" ht="15.75" thickBot="1" x14ac:dyDescent="0.3">
      <c r="A6" s="3">
        <f>Partie1!A6</f>
        <v>8800</v>
      </c>
      <c r="B6" s="22">
        <f t="shared" si="0"/>
        <v>64516</v>
      </c>
      <c r="E6" s="3" t="s">
        <v>26</v>
      </c>
      <c r="F6" s="24">
        <f>Partie1!D11</f>
        <v>50</v>
      </c>
      <c r="Q6" s="49">
        <v>5</v>
      </c>
      <c r="R6" s="58" t="str">
        <f xml:space="preserve"> "x &gt;= " &amp; S6</f>
        <v>x &gt;= 9200</v>
      </c>
      <c r="S6" s="58">
        <f t="shared" si="2"/>
        <v>9200</v>
      </c>
      <c r="T6" s="59">
        <v>9.9999999999999997E+98</v>
      </c>
      <c r="U6" s="75">
        <f t="shared" si="4"/>
        <v>0.68837548705532725</v>
      </c>
      <c r="V6" s="101">
        <f t="shared" si="3"/>
        <v>4.7149005962693643E+96</v>
      </c>
      <c r="W6" s="57">
        <f>0.5-0.2549</f>
        <v>0.24509999999999998</v>
      </c>
      <c r="X6" s="57">
        <f>COUNTIFS(A:A, "&gt;="&amp;S6, A:A, "&lt;"&amp;T6)</f>
        <v>14</v>
      </c>
      <c r="Y6" s="100">
        <f t="shared" si="1"/>
        <v>0.28000000000000003</v>
      </c>
      <c r="Z6" s="99">
        <f>W6 * F$6</f>
        <v>12.254999999999999</v>
      </c>
      <c r="AA6" s="61">
        <f>(X6-Z6)^2 / Z6</f>
        <v>0.24847205222358251</v>
      </c>
    </row>
    <row r="7" spans="1:29" ht="15.75" thickBot="1" x14ac:dyDescent="0.3">
      <c r="A7" s="3">
        <f>Partie1!A12</f>
        <v>8900</v>
      </c>
      <c r="B7" s="22">
        <f t="shared" si="0"/>
        <v>23716</v>
      </c>
      <c r="E7" s="3" t="s">
        <v>27</v>
      </c>
      <c r="F7" s="24">
        <f>F6 - 1</f>
        <v>49</v>
      </c>
      <c r="N7" s="4">
        <f>_xlfn.CHISQ.INV(1-0.025,F7)</f>
        <v>70.22241356643454</v>
      </c>
      <c r="Q7" s="5"/>
      <c r="V7" s="55" t="s">
        <v>7</v>
      </c>
      <c r="W7" s="56">
        <f>SUM(W2:W6)</f>
        <v>0.99999999999999989</v>
      </c>
      <c r="X7" s="51">
        <f>SUM(X2:X6)</f>
        <v>50</v>
      </c>
      <c r="Y7" s="97">
        <f>SUM(Y2:Y6)</f>
        <v>1</v>
      </c>
      <c r="Z7" s="51">
        <f>SUM(Z2:Z6)</f>
        <v>50</v>
      </c>
      <c r="AA7" s="52">
        <f>SUM(AA2:AA6)</f>
        <v>5.6613207400210985</v>
      </c>
    </row>
    <row r="8" spans="1:29" x14ac:dyDescent="0.25">
      <c r="A8" s="3">
        <f>Partie1!A13</f>
        <v>8900</v>
      </c>
      <c r="B8" s="22">
        <f t="shared" si="0"/>
        <v>23716</v>
      </c>
      <c r="E8" s="3" t="s">
        <v>86</v>
      </c>
      <c r="F8" s="24">
        <f>SUM(B2:B51)/(F7)</f>
        <v>44983.673469387752</v>
      </c>
      <c r="N8" s="4">
        <f>_xlfn.CHISQ.INV(0.025,F7)</f>
        <v>31.554916462667123</v>
      </c>
      <c r="R8" s="94" t="s">
        <v>75</v>
      </c>
      <c r="S8" s="94"/>
    </row>
    <row r="9" spans="1:29" x14ac:dyDescent="0.25">
      <c r="A9" s="3">
        <f>Partie1!A14</f>
        <v>8900</v>
      </c>
      <c r="B9" s="22">
        <f t="shared" si="0"/>
        <v>23716</v>
      </c>
      <c r="E9" s="3" t="s">
        <v>85</v>
      </c>
      <c r="F9" s="24">
        <f>SQRT(F8)</f>
        <v>212.0935488632027</v>
      </c>
      <c r="R9" s="94" t="s">
        <v>76</v>
      </c>
      <c r="S9" s="94"/>
    </row>
    <row r="10" spans="1:29" ht="15.75" thickBot="1" x14ac:dyDescent="0.3">
      <c r="A10" s="3">
        <f>Partie1!A7</f>
        <v>8900</v>
      </c>
      <c r="B10" s="22">
        <f t="shared" si="0"/>
        <v>23716</v>
      </c>
      <c r="E10" s="27" t="s">
        <v>87</v>
      </c>
      <c r="F10" s="50">
        <f>SUM(A2:A51) / F6</f>
        <v>9054</v>
      </c>
      <c r="R10" s="4" t="s">
        <v>72</v>
      </c>
      <c r="S10" s="4" t="s">
        <v>71</v>
      </c>
      <c r="T10" s="4" t="s">
        <v>69</v>
      </c>
      <c r="U10" s="4" t="s">
        <v>70</v>
      </c>
      <c r="V10" s="4" t="s">
        <v>68</v>
      </c>
      <c r="W10" s="4" t="str">
        <f>"χ²" &amp; S11 &amp; ";" &amp; V11</f>
        <v>χ²0,05;2</v>
      </c>
      <c r="X10" s="4">
        <f>_xlfn.CHISQ.INV(1-S11,V11)</f>
        <v>5.9914645471079799</v>
      </c>
    </row>
    <row r="11" spans="1:29" x14ac:dyDescent="0.25">
      <c r="A11" s="3">
        <f>Partie1!A8</f>
        <v>8900</v>
      </c>
      <c r="B11" s="22">
        <f t="shared" si="0"/>
        <v>23716</v>
      </c>
      <c r="E11" s="85" t="s">
        <v>11</v>
      </c>
      <c r="F11" s="86"/>
      <c r="R11" s="4">
        <v>100</v>
      </c>
      <c r="S11" s="4">
        <v>0.05</v>
      </c>
      <c r="T11" s="4">
        <f>MAX(Q:Q)</f>
        <v>5</v>
      </c>
      <c r="U11" s="4">
        <v>2</v>
      </c>
      <c r="V11" s="4">
        <f>T11 - 1 - U11</f>
        <v>2</v>
      </c>
    </row>
    <row r="12" spans="1:29" x14ac:dyDescent="0.25">
      <c r="A12" s="3">
        <f>Partie1!A9</f>
        <v>8900</v>
      </c>
      <c r="B12" s="22">
        <f t="shared" si="0"/>
        <v>23716</v>
      </c>
      <c r="E12" s="23" t="s">
        <v>44</v>
      </c>
      <c r="F12" s="30">
        <f>F4 / F5</f>
        <v>2.342539748875665E-2</v>
      </c>
    </row>
    <row r="13" spans="1:29" ht="15.75" thickBot="1" x14ac:dyDescent="0.3">
      <c r="A13" s="3">
        <f>Partie1!A10</f>
        <v>8900</v>
      </c>
      <c r="B13" s="22">
        <f t="shared" si="0"/>
        <v>23716</v>
      </c>
      <c r="E13" s="33" t="s">
        <v>82</v>
      </c>
      <c r="F13" s="31" t="b">
        <f>IF(F12 &lt; 0.15,TRUE,FALSE)</f>
        <v>1</v>
      </c>
    </row>
    <row r="14" spans="1:29" ht="15.75" thickBot="1" x14ac:dyDescent="0.3">
      <c r="A14" s="3">
        <f>Partie1!A11</f>
        <v>8900</v>
      </c>
      <c r="B14" s="22">
        <f t="shared" si="0"/>
        <v>23716</v>
      </c>
      <c r="P14" s="99"/>
      <c r="Q14" s="99"/>
      <c r="R14" s="99"/>
      <c r="S14" s="99"/>
    </row>
    <row r="15" spans="1:29" x14ac:dyDescent="0.25">
      <c r="A15" s="3">
        <f>Partie1!A22</f>
        <v>9000</v>
      </c>
      <c r="B15" s="22">
        <f t="shared" si="0"/>
        <v>2916</v>
      </c>
      <c r="E15" s="8" t="s">
        <v>61</v>
      </c>
      <c r="F15" s="9">
        <v>9150</v>
      </c>
      <c r="G15" s="9"/>
      <c r="H15" s="9"/>
      <c r="I15" s="35"/>
      <c r="J15" s="25"/>
      <c r="K15" s="80"/>
      <c r="P15" s="99"/>
      <c r="Q15" s="99"/>
      <c r="R15" s="99"/>
      <c r="S15" s="99"/>
    </row>
    <row r="16" spans="1:29" x14ac:dyDescent="0.25">
      <c r="A16" s="3">
        <f>Partie1!A23</f>
        <v>9000</v>
      </c>
      <c r="B16" s="22">
        <f t="shared" si="0"/>
        <v>2916</v>
      </c>
      <c r="E16" s="3" t="s">
        <v>55</v>
      </c>
      <c r="F16" s="4" t="str">
        <f>"µ = " &amp; F$15</f>
        <v>µ = 9150</v>
      </c>
      <c r="G16" s="94" t="s">
        <v>57</v>
      </c>
      <c r="H16" s="94"/>
      <c r="I16" s="95">
        <f>(F15 - F5) / (F4/ SQRT(F6))</f>
        <v>3.2005806568728614</v>
      </c>
      <c r="J16" s="25"/>
      <c r="K16" s="80"/>
      <c r="P16" s="99"/>
      <c r="Q16" s="99"/>
      <c r="R16" s="99"/>
      <c r="S16" s="99"/>
    </row>
    <row r="17" spans="1:19" x14ac:dyDescent="0.25">
      <c r="A17" s="3">
        <f>Partie1!A24</f>
        <v>9000</v>
      </c>
      <c r="B17" s="22">
        <f t="shared" si="0"/>
        <v>2916</v>
      </c>
      <c r="E17" s="3" t="s">
        <v>56</v>
      </c>
      <c r="F17" s="4" t="str">
        <f>"µ != " &amp; F$15</f>
        <v>µ != 9150</v>
      </c>
      <c r="G17" s="94"/>
      <c r="H17" s="94"/>
      <c r="I17" s="95"/>
      <c r="P17" s="99"/>
      <c r="Q17" s="102"/>
      <c r="R17" s="102"/>
      <c r="S17" s="99"/>
    </row>
    <row r="18" spans="1:19" x14ac:dyDescent="0.25">
      <c r="A18" s="3">
        <f>Partie1!A25</f>
        <v>9000</v>
      </c>
      <c r="B18" s="22">
        <f t="shared" si="0"/>
        <v>2916</v>
      </c>
      <c r="E18" s="3" t="s">
        <v>59</v>
      </c>
      <c r="F18" s="4">
        <v>1.96</v>
      </c>
      <c r="I18" s="24" t="str">
        <f>IF(OR(I16 &gt;F18, I16 &lt; -F18), "REJET", "VALIDE")</f>
        <v>REJET</v>
      </c>
      <c r="P18" s="99"/>
      <c r="Q18" s="103"/>
      <c r="R18" s="103"/>
      <c r="S18" s="99"/>
    </row>
    <row r="19" spans="1:19" x14ac:dyDescent="0.25">
      <c r="A19" s="3">
        <f>Partie1!A26</f>
        <v>9000</v>
      </c>
      <c r="B19" s="22">
        <f t="shared" si="0"/>
        <v>2916</v>
      </c>
      <c r="E19" s="43" t="s">
        <v>88</v>
      </c>
      <c r="F19" s="4">
        <f>F18*(F4/SQRT(F6))</f>
        <v>58.789332365659668</v>
      </c>
      <c r="G19" s="44">
        <f>F15 - F19</f>
        <v>9091.210667634341</v>
      </c>
      <c r="H19" s="44">
        <f>F15 + F19</f>
        <v>9208.789332365659</v>
      </c>
      <c r="I19" s="24"/>
      <c r="P19" s="99"/>
      <c r="Q19" s="103"/>
      <c r="R19" s="103"/>
      <c r="S19" s="99"/>
    </row>
    <row r="20" spans="1:19" ht="30" x14ac:dyDescent="0.25">
      <c r="A20" s="3">
        <f>Partie1!A15</f>
        <v>9000</v>
      </c>
      <c r="B20" s="22">
        <f t="shared" si="0"/>
        <v>2916</v>
      </c>
      <c r="E20" s="81" t="str">
        <f>"p(z &lt; " &amp; ABS(ROUND((G19-F5)/(F4/SQRT(F6)), 2)) &amp; ")"</f>
        <v>p(z &lt; 1,24)</v>
      </c>
      <c r="F20" s="4">
        <v>0.39250000000000002</v>
      </c>
      <c r="G20" s="39" t="str">
        <f>"p(z &lt; " &amp; ABS(ROUND(F18, 3)) &amp; ")"</f>
        <v>p(z &lt; 1,96)</v>
      </c>
      <c r="H20" s="40" t="s">
        <v>60</v>
      </c>
      <c r="I20" s="41" t="s">
        <v>78</v>
      </c>
      <c r="P20" s="99"/>
      <c r="Q20" s="103"/>
      <c r="R20" s="103"/>
      <c r="S20" s="99"/>
    </row>
    <row r="21" spans="1:19" ht="15.75" thickBot="1" x14ac:dyDescent="0.3">
      <c r="A21" s="3">
        <f>Partie1!A16</f>
        <v>9000</v>
      </c>
      <c r="B21" s="22">
        <f t="shared" si="0"/>
        <v>2916</v>
      </c>
      <c r="E21" s="78" t="str">
        <f>"p(z &lt; " &amp; ABS(ROUND((H19-F5)/(F4/SQRT(F6)), 2)) &amp; ")"</f>
        <v>p(z &lt; 5,16)</v>
      </c>
      <c r="F21" s="36">
        <v>0.5</v>
      </c>
      <c r="G21" s="42">
        <v>2.5000000000000001E-2</v>
      </c>
      <c r="H21" s="37">
        <f>G21*2</f>
        <v>0.05</v>
      </c>
      <c r="I21" s="38">
        <f>F21-F20</f>
        <v>0.10749999999999998</v>
      </c>
      <c r="P21" s="99"/>
      <c r="Q21" s="103"/>
      <c r="R21" s="103"/>
      <c r="S21" s="99"/>
    </row>
    <row r="22" spans="1:19" ht="15.75" thickBot="1" x14ac:dyDescent="0.3">
      <c r="A22" s="3">
        <f>Partie1!A17</f>
        <v>9000</v>
      </c>
      <c r="B22" s="22">
        <f t="shared" si="0"/>
        <v>2916</v>
      </c>
      <c r="I22" s="79"/>
      <c r="P22" s="99"/>
      <c r="Q22" s="103"/>
      <c r="R22" s="103"/>
      <c r="S22" s="99"/>
    </row>
    <row r="23" spans="1:19" x14ac:dyDescent="0.25">
      <c r="A23" s="3">
        <f>Partie1!A18</f>
        <v>9000</v>
      </c>
      <c r="B23" s="22">
        <f t="shared" si="0"/>
        <v>2916</v>
      </c>
      <c r="E23" s="8" t="s">
        <v>79</v>
      </c>
      <c r="F23" s="9">
        <v>1000</v>
      </c>
      <c r="G23" s="9"/>
      <c r="H23" s="9"/>
      <c r="I23" s="82"/>
      <c r="P23" s="99"/>
      <c r="Q23" s="103"/>
      <c r="R23" s="103"/>
      <c r="S23" s="99"/>
    </row>
    <row r="24" spans="1:19" x14ac:dyDescent="0.25">
      <c r="A24" s="3">
        <f>Partie1!A19</f>
        <v>9000</v>
      </c>
      <c r="B24" s="22">
        <f t="shared" si="0"/>
        <v>2916</v>
      </c>
      <c r="E24" s="3" t="s">
        <v>55</v>
      </c>
      <c r="F24" s="45" t="s">
        <v>80</v>
      </c>
      <c r="G24" s="96" t="s">
        <v>83</v>
      </c>
      <c r="H24" s="96"/>
      <c r="I24" s="93">
        <f>(F7*F4^2)/(F23^2)</f>
        <v>2.2042000000000002</v>
      </c>
      <c r="P24" s="99"/>
      <c r="Q24" s="99"/>
      <c r="R24" s="99"/>
      <c r="S24" s="99"/>
    </row>
    <row r="25" spans="1:19" x14ac:dyDescent="0.25">
      <c r="A25" s="3">
        <f>Partie1!A20</f>
        <v>9000</v>
      </c>
      <c r="B25" s="22">
        <f t="shared" si="0"/>
        <v>2916</v>
      </c>
      <c r="E25" s="3" t="s">
        <v>56</v>
      </c>
      <c r="F25" s="45" t="s">
        <v>81</v>
      </c>
      <c r="G25" s="96"/>
      <c r="H25" s="96"/>
      <c r="I25" s="93"/>
      <c r="P25" s="99"/>
      <c r="Q25" s="99"/>
      <c r="R25" s="99"/>
      <c r="S25" s="99"/>
    </row>
    <row r="26" spans="1:19" ht="15.75" thickBot="1" x14ac:dyDescent="0.3">
      <c r="A26" s="3">
        <f>Partie1!A21</f>
        <v>9000</v>
      </c>
      <c r="B26" s="22">
        <f t="shared" si="0"/>
        <v>2916</v>
      </c>
      <c r="E26" s="27" t="s">
        <v>59</v>
      </c>
      <c r="F26" s="36" t="s">
        <v>84</v>
      </c>
      <c r="G26" s="36">
        <v>66.338700000000003</v>
      </c>
      <c r="H26" s="36"/>
      <c r="I26" s="50" t="str">
        <f>IF(OR(I24 &gt;G26, I24 &lt; -G26), "REJET", "VALIDE")</f>
        <v>VALIDE</v>
      </c>
      <c r="P26" s="99"/>
      <c r="Q26" s="99"/>
      <c r="R26" s="99"/>
      <c r="S26" s="99"/>
    </row>
    <row r="27" spans="1:19" x14ac:dyDescent="0.25">
      <c r="A27" s="3">
        <f>Partie1!A27</f>
        <v>9100</v>
      </c>
      <c r="B27" s="22">
        <f t="shared" si="0"/>
        <v>2116</v>
      </c>
    </row>
    <row r="28" spans="1:19" x14ac:dyDescent="0.25">
      <c r="A28" s="3">
        <f>Partie1!A28</f>
        <v>9100</v>
      </c>
      <c r="B28" s="22">
        <f t="shared" si="0"/>
        <v>2116</v>
      </c>
    </row>
    <row r="29" spans="1:19" x14ac:dyDescent="0.25">
      <c r="A29" s="3">
        <f>Partie1!A29</f>
        <v>9100</v>
      </c>
      <c r="B29" s="22">
        <f t="shared" si="0"/>
        <v>2116</v>
      </c>
    </row>
    <row r="30" spans="1:19" x14ac:dyDescent="0.25">
      <c r="A30" s="3">
        <f>Partie1!A30</f>
        <v>9100</v>
      </c>
      <c r="B30" s="22">
        <f t="shared" si="0"/>
        <v>2116</v>
      </c>
    </row>
    <row r="31" spans="1:19" x14ac:dyDescent="0.25">
      <c r="A31" s="3">
        <f>Partie1!A31</f>
        <v>9100</v>
      </c>
      <c r="B31" s="22">
        <f t="shared" si="0"/>
        <v>2116</v>
      </c>
    </row>
    <row r="32" spans="1:19" x14ac:dyDescent="0.25">
      <c r="A32" s="3">
        <f>Partie1!A32</f>
        <v>9100</v>
      </c>
      <c r="B32" s="22">
        <f t="shared" si="0"/>
        <v>2116</v>
      </c>
    </row>
    <row r="33" spans="1:2" x14ac:dyDescent="0.25">
      <c r="A33" s="3">
        <f>Partie1!A33</f>
        <v>9100</v>
      </c>
      <c r="B33" s="22">
        <f t="shared" si="0"/>
        <v>2116</v>
      </c>
    </row>
    <row r="34" spans="1:2" x14ac:dyDescent="0.25">
      <c r="A34" s="3">
        <f>Partie1!A34</f>
        <v>9100</v>
      </c>
      <c r="B34" s="22">
        <f t="shared" ref="B34:B51" si="5">(A34 - $F$5)^2</f>
        <v>2116</v>
      </c>
    </row>
    <row r="35" spans="1:2" x14ac:dyDescent="0.25">
      <c r="A35" s="3">
        <f>Partie1!A35</f>
        <v>9100</v>
      </c>
      <c r="B35" s="22">
        <f t="shared" si="5"/>
        <v>2116</v>
      </c>
    </row>
    <row r="36" spans="1:2" x14ac:dyDescent="0.25">
      <c r="A36" s="3">
        <f>Partie1!A36</f>
        <v>9100</v>
      </c>
      <c r="B36" s="22">
        <f t="shared" si="5"/>
        <v>2116</v>
      </c>
    </row>
    <row r="37" spans="1:2" x14ac:dyDescent="0.25">
      <c r="A37" s="3">
        <f>Partie1!A37</f>
        <v>9100</v>
      </c>
      <c r="B37" s="22">
        <f t="shared" si="5"/>
        <v>2116</v>
      </c>
    </row>
    <row r="38" spans="1:2" x14ac:dyDescent="0.25">
      <c r="A38" s="3">
        <f>Partie1!A42</f>
        <v>9200</v>
      </c>
      <c r="B38" s="22">
        <f t="shared" si="5"/>
        <v>21316</v>
      </c>
    </row>
    <row r="39" spans="1:2" x14ac:dyDescent="0.25">
      <c r="A39" s="3">
        <f>Partie1!A43</f>
        <v>9200</v>
      </c>
      <c r="B39" s="22">
        <f t="shared" si="5"/>
        <v>21316</v>
      </c>
    </row>
    <row r="40" spans="1:2" x14ac:dyDescent="0.25">
      <c r="A40" s="3">
        <f>Partie1!A44</f>
        <v>9200</v>
      </c>
      <c r="B40" s="22">
        <f t="shared" si="5"/>
        <v>21316</v>
      </c>
    </row>
    <row r="41" spans="1:2" x14ac:dyDescent="0.25">
      <c r="A41" s="3">
        <f>Partie1!A45</f>
        <v>9200</v>
      </c>
      <c r="B41" s="22">
        <f t="shared" si="5"/>
        <v>21316</v>
      </c>
    </row>
    <row r="42" spans="1:2" x14ac:dyDescent="0.25">
      <c r="A42" s="3">
        <f>Partie1!A38</f>
        <v>9200</v>
      </c>
      <c r="B42" s="22">
        <f t="shared" si="5"/>
        <v>21316</v>
      </c>
    </row>
    <row r="43" spans="1:2" x14ac:dyDescent="0.25">
      <c r="A43" s="3">
        <f>Partie1!A46</f>
        <v>9200</v>
      </c>
      <c r="B43" s="22">
        <f t="shared" si="5"/>
        <v>21316</v>
      </c>
    </row>
    <row r="44" spans="1:2" x14ac:dyDescent="0.25">
      <c r="A44" s="3">
        <f>Partie1!A47</f>
        <v>9200</v>
      </c>
      <c r="B44" s="22">
        <f t="shared" si="5"/>
        <v>21316</v>
      </c>
    </row>
    <row r="45" spans="1:2" x14ac:dyDescent="0.25">
      <c r="A45" s="3">
        <f>Partie1!A39</f>
        <v>9200</v>
      </c>
      <c r="B45" s="22">
        <f t="shared" si="5"/>
        <v>21316</v>
      </c>
    </row>
    <row r="46" spans="1:2" x14ac:dyDescent="0.25">
      <c r="A46" s="3">
        <f>Partie1!A40</f>
        <v>9200</v>
      </c>
      <c r="B46" s="22">
        <f t="shared" si="5"/>
        <v>21316</v>
      </c>
    </row>
    <row r="47" spans="1:2" x14ac:dyDescent="0.25">
      <c r="A47" s="3">
        <f>Partie1!A41</f>
        <v>9200</v>
      </c>
      <c r="B47" s="22">
        <f t="shared" si="5"/>
        <v>21316</v>
      </c>
    </row>
    <row r="48" spans="1:2" x14ac:dyDescent="0.25">
      <c r="A48" s="3">
        <f>Partie1!A48</f>
        <v>9300</v>
      </c>
      <c r="B48" s="22">
        <f t="shared" si="5"/>
        <v>60516</v>
      </c>
    </row>
    <row r="49" spans="1:2" x14ac:dyDescent="0.25">
      <c r="A49" s="3">
        <f>Partie1!A49</f>
        <v>9400</v>
      </c>
      <c r="B49" s="22">
        <f t="shared" si="5"/>
        <v>119716</v>
      </c>
    </row>
    <row r="50" spans="1:2" x14ac:dyDescent="0.25">
      <c r="A50" s="3">
        <f>Partie1!A50</f>
        <v>9500</v>
      </c>
      <c r="B50" s="22">
        <f t="shared" si="5"/>
        <v>198916</v>
      </c>
    </row>
    <row r="51" spans="1:2" ht="15.75" thickBot="1" x14ac:dyDescent="0.3">
      <c r="A51" s="27">
        <f>Partie1!A51</f>
        <v>9800</v>
      </c>
      <c r="B51" s="32">
        <f t="shared" si="5"/>
        <v>556516</v>
      </c>
    </row>
  </sheetData>
  <sortState xmlns:xlrd2="http://schemas.microsoft.com/office/spreadsheetml/2017/richdata2" ref="Q18:Q22">
    <sortCondition ref="Q18"/>
  </sortState>
  <mergeCells count="12">
    <mergeCell ref="R9:S9"/>
    <mergeCell ref="R8:S8"/>
    <mergeCell ref="G16:H17"/>
    <mergeCell ref="I16:I17"/>
    <mergeCell ref="G24:H25"/>
    <mergeCell ref="I24:I25"/>
    <mergeCell ref="M1:O1"/>
    <mergeCell ref="E11:F11"/>
    <mergeCell ref="E1:F1"/>
    <mergeCell ref="H1:J1"/>
    <mergeCell ref="E2:F2"/>
    <mergeCell ref="E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BEB1-E552-4F2A-BA24-E88602182089}">
  <dimension ref="A1:H51"/>
  <sheetViews>
    <sheetView workbookViewId="0">
      <selection activeCell="P19" sqref="P19"/>
    </sheetView>
  </sheetViews>
  <sheetFormatPr defaultColWidth="11.42578125" defaultRowHeight="15" x14ac:dyDescent="0.25"/>
  <cols>
    <col min="1" max="1" width="13.7109375" style="4" customWidth="1"/>
    <col min="2" max="2" width="11.42578125" style="18"/>
    <col min="3" max="3" width="13.7109375" style="18" bestFit="1" customWidth="1"/>
    <col min="4" max="6" width="11.42578125" style="18"/>
    <col min="7" max="7" width="13.140625" style="18" bestFit="1" customWidth="1"/>
    <col min="8" max="8" width="12.7109375" style="18" bestFit="1" customWidth="1"/>
    <col min="9" max="9" width="12" style="18" bestFit="1" customWidth="1"/>
    <col min="10" max="16384" width="11.42578125" style="18"/>
  </cols>
  <sheetData>
    <row r="1" spans="1:8" ht="30.75" thickBot="1" x14ac:dyDescent="0.3">
      <c r="A1" s="16" t="str">
        <f>Partie1!A1</f>
        <v>Durée de vie (heure)</v>
      </c>
    </row>
    <row r="2" spans="1:8" x14ac:dyDescent="0.25">
      <c r="A2" s="22">
        <f>Partie1!A2</f>
        <v>8500</v>
      </c>
      <c r="C2" s="18" t="s">
        <v>30</v>
      </c>
      <c r="D2" s="18">
        <v>1770</v>
      </c>
      <c r="G2" s="18" t="s">
        <v>38</v>
      </c>
      <c r="H2" s="18">
        <f>(D4-D6)/D7</f>
        <v>-0.96183972163895037</v>
      </c>
    </row>
    <row r="3" spans="1:8" x14ac:dyDescent="0.25">
      <c r="A3" s="22">
        <f>Partie1!A3</f>
        <v>8500</v>
      </c>
      <c r="C3" s="18" t="s">
        <v>31</v>
      </c>
      <c r="D3" s="18">
        <v>5</v>
      </c>
      <c r="G3" s="18" t="s">
        <v>37</v>
      </c>
      <c r="H3" s="18">
        <f>0.5-0.3315</f>
        <v>0.16849999999999998</v>
      </c>
    </row>
    <row r="4" spans="1:8" x14ac:dyDescent="0.25">
      <c r="A4" s="22">
        <f>Partie1!A4</f>
        <v>8800</v>
      </c>
      <c r="C4" s="18" t="s">
        <v>32</v>
      </c>
      <c r="D4" s="18">
        <f>D2*D3</f>
        <v>8850</v>
      </c>
      <c r="G4" s="18" t="s">
        <v>34</v>
      </c>
      <c r="H4" s="18">
        <f>(FACT(50)/(FACT(0)*FACT(50)))*(H3^0)*((1-H3)^50)</f>
        <v>9.8426644073114187E-5</v>
      </c>
    </row>
    <row r="5" spans="1:8" x14ac:dyDescent="0.25">
      <c r="A5" s="22">
        <f>Partie1!A5</f>
        <v>8800</v>
      </c>
      <c r="C5" s="18" t="s">
        <v>33</v>
      </c>
      <c r="D5" s="18">
        <f>Partie1!D11</f>
        <v>50</v>
      </c>
      <c r="G5" s="18" t="s">
        <v>39</v>
      </c>
      <c r="H5" s="18">
        <f>(FACT(50)/(FACT(1)*FACT(49)))*H3^1*(1-H3)^49</f>
        <v>9.9728740386769246E-4</v>
      </c>
    </row>
    <row r="6" spans="1:8" x14ac:dyDescent="0.25">
      <c r="A6" s="22">
        <f>Partie1!A6</f>
        <v>8800</v>
      </c>
      <c r="C6" s="18" t="s">
        <v>35</v>
      </c>
      <c r="D6" s="18">
        <v>9054</v>
      </c>
      <c r="G6" s="18" t="s">
        <v>40</v>
      </c>
      <c r="H6" s="18">
        <f>(FACT(50)/(FACT(2)*FACT(48)))*H3^2*(1-H3)^48</f>
        <v>4.9513550511326582E-3</v>
      </c>
    </row>
    <row r="7" spans="1:8" x14ac:dyDescent="0.25">
      <c r="A7" s="22">
        <f>Partie1!A7</f>
        <v>8900</v>
      </c>
      <c r="C7" s="18" t="s">
        <v>36</v>
      </c>
      <c r="D7" s="63">
        <f>_xlfn.STDEV.S(A:A)</f>
        <v>212.0935488632027</v>
      </c>
      <c r="G7" s="18" t="s">
        <v>41</v>
      </c>
      <c r="H7" s="18">
        <f>(FACT(50)/(FACT(3)*FACT(47)))*H3^3*(1-H3)^47</f>
        <v>1.6053942535001364E-2</v>
      </c>
    </row>
    <row r="8" spans="1:8" x14ac:dyDescent="0.25">
      <c r="A8" s="22">
        <f>Partie1!A8</f>
        <v>8900</v>
      </c>
      <c r="G8" s="18" t="s">
        <v>42</v>
      </c>
      <c r="H8" s="34">
        <f>(D5*H3)*(1-H3)</f>
        <v>7.0053874999999994</v>
      </c>
    </row>
    <row r="9" spans="1:8" x14ac:dyDescent="0.25">
      <c r="A9" s="22">
        <f>Partie1!A9</f>
        <v>8900</v>
      </c>
      <c r="G9" s="18" t="s">
        <v>35</v>
      </c>
      <c r="H9" s="18">
        <f>D5*H3</f>
        <v>8.4249999999999989</v>
      </c>
    </row>
    <row r="10" spans="1:8" x14ac:dyDescent="0.25">
      <c r="A10" s="22">
        <f>Partie1!A10</f>
        <v>8900</v>
      </c>
      <c r="G10" s="18" t="s">
        <v>43</v>
      </c>
      <c r="H10" s="34">
        <f>SQRT(H8)</f>
        <v>2.646769257037719</v>
      </c>
    </row>
    <row r="11" spans="1:8" x14ac:dyDescent="0.25">
      <c r="A11" s="22">
        <f>Partie1!A11</f>
        <v>8900</v>
      </c>
    </row>
    <row r="12" spans="1:8" x14ac:dyDescent="0.25">
      <c r="A12" s="22">
        <f>Partie1!A12</f>
        <v>8900</v>
      </c>
    </row>
    <row r="13" spans="1:8" x14ac:dyDescent="0.25">
      <c r="A13" s="22">
        <f>Partie1!A13</f>
        <v>8900</v>
      </c>
    </row>
    <row r="14" spans="1:8" x14ac:dyDescent="0.25">
      <c r="A14" s="22">
        <f>Partie1!A14</f>
        <v>8900</v>
      </c>
    </row>
    <row r="15" spans="1:8" x14ac:dyDescent="0.25">
      <c r="A15" s="22">
        <f>Partie1!A15</f>
        <v>9000</v>
      </c>
    </row>
    <row r="16" spans="1:8" x14ac:dyDescent="0.25">
      <c r="A16" s="22">
        <f>Partie1!A16</f>
        <v>9000</v>
      </c>
    </row>
    <row r="17" spans="1:1" x14ac:dyDescent="0.25">
      <c r="A17" s="22">
        <f>Partie1!A17</f>
        <v>9000</v>
      </c>
    </row>
    <row r="18" spans="1:1" x14ac:dyDescent="0.25">
      <c r="A18" s="22">
        <f>Partie1!A18</f>
        <v>9000</v>
      </c>
    </row>
    <row r="19" spans="1:1" x14ac:dyDescent="0.25">
      <c r="A19" s="22">
        <f>Partie1!A19</f>
        <v>9000</v>
      </c>
    </row>
    <row r="20" spans="1:1" x14ac:dyDescent="0.25">
      <c r="A20" s="22">
        <f>Partie1!A20</f>
        <v>9000</v>
      </c>
    </row>
    <row r="21" spans="1:1" x14ac:dyDescent="0.25">
      <c r="A21" s="22">
        <f>Partie1!A21</f>
        <v>9000</v>
      </c>
    </row>
    <row r="22" spans="1:1" x14ac:dyDescent="0.25">
      <c r="A22" s="22">
        <f>Partie1!A22</f>
        <v>9000</v>
      </c>
    </row>
    <row r="23" spans="1:1" x14ac:dyDescent="0.25">
      <c r="A23" s="22">
        <f>Partie1!A23</f>
        <v>9000</v>
      </c>
    </row>
    <row r="24" spans="1:1" x14ac:dyDescent="0.25">
      <c r="A24" s="22">
        <f>Partie1!A24</f>
        <v>9000</v>
      </c>
    </row>
    <row r="25" spans="1:1" x14ac:dyDescent="0.25">
      <c r="A25" s="22">
        <f>Partie1!A25</f>
        <v>9000</v>
      </c>
    </row>
    <row r="26" spans="1:1" x14ac:dyDescent="0.25">
      <c r="A26" s="22">
        <f>Partie1!A26</f>
        <v>9000</v>
      </c>
    </row>
    <row r="27" spans="1:1" x14ac:dyDescent="0.25">
      <c r="A27" s="22">
        <f>Partie1!A27</f>
        <v>9100</v>
      </c>
    </row>
    <row r="28" spans="1:1" x14ac:dyDescent="0.25">
      <c r="A28" s="22">
        <f>Partie1!A28</f>
        <v>9100</v>
      </c>
    </row>
    <row r="29" spans="1:1" x14ac:dyDescent="0.25">
      <c r="A29" s="22">
        <f>Partie1!A29</f>
        <v>9100</v>
      </c>
    </row>
    <row r="30" spans="1:1" x14ac:dyDescent="0.25">
      <c r="A30" s="22">
        <f>Partie1!A30</f>
        <v>9100</v>
      </c>
    </row>
    <row r="31" spans="1:1" x14ac:dyDescent="0.25">
      <c r="A31" s="22">
        <f>Partie1!A31</f>
        <v>9100</v>
      </c>
    </row>
    <row r="32" spans="1:1" x14ac:dyDescent="0.25">
      <c r="A32" s="22">
        <f>Partie1!A32</f>
        <v>9100</v>
      </c>
    </row>
    <row r="33" spans="1:1" x14ac:dyDescent="0.25">
      <c r="A33" s="22">
        <f>Partie1!A33</f>
        <v>9100</v>
      </c>
    </row>
    <row r="34" spans="1:1" x14ac:dyDescent="0.25">
      <c r="A34" s="22">
        <f>Partie1!A34</f>
        <v>9100</v>
      </c>
    </row>
    <row r="35" spans="1:1" x14ac:dyDescent="0.25">
      <c r="A35" s="22">
        <f>Partie1!A35</f>
        <v>9100</v>
      </c>
    </row>
    <row r="36" spans="1:1" x14ac:dyDescent="0.25">
      <c r="A36" s="22">
        <f>Partie1!A36</f>
        <v>9100</v>
      </c>
    </row>
    <row r="37" spans="1:1" x14ac:dyDescent="0.25">
      <c r="A37" s="22">
        <f>Partie1!A37</f>
        <v>9100</v>
      </c>
    </row>
    <row r="38" spans="1:1" x14ac:dyDescent="0.25">
      <c r="A38" s="22">
        <f>Partie1!A38</f>
        <v>9200</v>
      </c>
    </row>
    <row r="39" spans="1:1" x14ac:dyDescent="0.25">
      <c r="A39" s="22">
        <f>Partie1!A39</f>
        <v>9200</v>
      </c>
    </row>
    <row r="40" spans="1:1" x14ac:dyDescent="0.25">
      <c r="A40" s="22">
        <f>Partie1!A40</f>
        <v>9200</v>
      </c>
    </row>
    <row r="41" spans="1:1" x14ac:dyDescent="0.25">
      <c r="A41" s="22">
        <f>Partie1!A41</f>
        <v>9200</v>
      </c>
    </row>
    <row r="42" spans="1:1" x14ac:dyDescent="0.25">
      <c r="A42" s="22">
        <f>Partie1!A42</f>
        <v>9200</v>
      </c>
    </row>
    <row r="43" spans="1:1" x14ac:dyDescent="0.25">
      <c r="A43" s="22">
        <f>Partie1!A43</f>
        <v>9200</v>
      </c>
    </row>
    <row r="44" spans="1:1" x14ac:dyDescent="0.25">
      <c r="A44" s="22">
        <f>Partie1!A44</f>
        <v>9200</v>
      </c>
    </row>
    <row r="45" spans="1:1" x14ac:dyDescent="0.25">
      <c r="A45" s="22">
        <f>Partie1!A45</f>
        <v>9200</v>
      </c>
    </row>
    <row r="46" spans="1:1" x14ac:dyDescent="0.25">
      <c r="A46" s="22">
        <f>Partie1!A46</f>
        <v>9200</v>
      </c>
    </row>
    <row r="47" spans="1:1" x14ac:dyDescent="0.25">
      <c r="A47" s="22">
        <f>Partie1!A47</f>
        <v>9200</v>
      </c>
    </row>
    <row r="48" spans="1:1" x14ac:dyDescent="0.25">
      <c r="A48" s="22">
        <f>Partie1!A48</f>
        <v>9300</v>
      </c>
    </row>
    <row r="49" spans="1:1" x14ac:dyDescent="0.25">
      <c r="A49" s="22">
        <f>Partie1!A49</f>
        <v>9400</v>
      </c>
    </row>
    <row r="50" spans="1:1" x14ac:dyDescent="0.25">
      <c r="A50" s="22">
        <f>Partie1!A50</f>
        <v>9500</v>
      </c>
    </row>
    <row r="51" spans="1:1" ht="15.75" thickBot="1" x14ac:dyDescent="0.3">
      <c r="A51" s="32">
        <f>Partie1!A51</f>
        <v>9800</v>
      </c>
    </row>
  </sheetData>
  <sortState xmlns:xlrd2="http://schemas.microsoft.com/office/spreadsheetml/2017/richdata2" ref="A2:A52"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Partie1</vt:lpstr>
      <vt:lpstr>Partie2</vt:lpstr>
      <vt:lpstr>Partie3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st-laurent cyr</dc:creator>
  <cp:lastModifiedBy>Pascal-Emmanuel Lachance</cp:lastModifiedBy>
  <dcterms:created xsi:type="dcterms:W3CDTF">2023-03-28T15:27:05Z</dcterms:created>
  <dcterms:modified xsi:type="dcterms:W3CDTF">2023-04-05T02:15:30Z</dcterms:modified>
</cp:coreProperties>
</file>