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updateLinks="always"/>
  <xr:revisionPtr revIDLastSave="6548" documentId="11_CEF33A22463BC22CF028C6E633036DE0AB0024ED" xr6:coauthVersionLast="47" xr6:coauthVersionMax="47" xr10:uidLastSave="{19D55205-F9B5-493A-A1CF-37FA8C7E9777}"/>
  <bookViews>
    <workbookView xWindow="22932" yWindow="492" windowWidth="23256" windowHeight="12456" tabRatio="629" activeTab="6" xr2:uid="{087A1B5B-7B97-4327-AC94-7D0ECF997B43}"/>
  </bookViews>
  <sheets>
    <sheet name="Partie 1 - MagNet" sheetId="1" r:id="rId1"/>
    <sheet name="Partie 1 - SARLOS" sheetId="8" r:id="rId2"/>
    <sheet name="Partie 1 - SkyTransit" sheetId="9" r:id="rId3"/>
    <sheet name="Partie 1 - Ratios" sheetId="10" r:id="rId4"/>
    <sheet name="Partie 2A (old)" sheetId="2" state="hidden" r:id="rId5"/>
    <sheet name="Partie 2A" sheetId="14" r:id="rId6"/>
    <sheet name="Partie 2B achat new" sheetId="15" r:id="rId7"/>
    <sheet name="Partie 2C" sheetId="4" r:id="rId8"/>
    <sheet name="Partie 3" sheetId="12" r:id="rId9"/>
    <sheet name="Partie 4" sheetId="13" r:id="rId10"/>
    <sheet name="Paradis fiscal" sheetId="7" r:id="rId11"/>
  </sheets>
  <definedNames>
    <definedName name="Cf" localSheetId="6">'Partie 2B achat new'!$H$26</definedName>
    <definedName name="Cf">#REF!</definedName>
    <definedName name="Cx" localSheetId="6">'Partie 2B achat new'!$H$27</definedName>
    <definedName name="Cx">#REF!</definedName>
    <definedName name="Px" localSheetId="6">'Partie 2B achat new'!$H$25</definedName>
    <definedName name="Px">#REF!</definedName>
    <definedName name="Q_item">'Partie 2B achat new'!$H$28</definedName>
    <definedName name="RISQUE" localSheetId="6">'Partie 2B achat new'!$D$5:$G$9</definedName>
    <definedName name="RISQUE">#REF!</definedName>
    <definedName name="Rx" localSheetId="6">'Partie 2B achat new'!$H$29</definedName>
    <definedName name="Rx">#REF!</definedName>
    <definedName name="SOLD_UNIT_MOY" localSheetId="6">'Partie 2B achat new'!$D$13</definedName>
    <definedName name="SOLD_UNIT_MOY">#REF!</definedName>
    <definedName name="Sx" localSheetId="6">'Partie 2B achat new'!$H$30</definedName>
    <definedName name="Sx">#REF!</definedName>
    <definedName name="TAUX_IMPOSITION" localSheetId="6">'Partie 2B achat new'!$D$14</definedName>
    <definedName name="TAUX_IMPOSITION">#REF!</definedName>
    <definedName name="TRAM" localSheetId="5">'Partie 2A'!$H$49</definedName>
    <definedName name="TRAM">#REF!</definedName>
    <definedName name="_xlnm.Print_Area" localSheetId="5">'Partie 2A'!$G$97:$AB$136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14" l="1"/>
  <c r="I86" i="14"/>
  <c r="P69" i="15" s="1"/>
  <c r="J114" i="4"/>
  <c r="AW48" i="15"/>
  <c r="AW45" i="15"/>
  <c r="AW42" i="15"/>
  <c r="AW39" i="15"/>
  <c r="AW36" i="15"/>
  <c r="AW33" i="15"/>
  <c r="AK75" i="15"/>
  <c r="AK76" i="15"/>
  <c r="AK77" i="15"/>
  <c r="AK78" i="15"/>
  <c r="AK79" i="15"/>
  <c r="AK80" i="15"/>
  <c r="AK81" i="15"/>
  <c r="AK82" i="15"/>
  <c r="AK83" i="15"/>
  <c r="AK84" i="15"/>
  <c r="AK85" i="15"/>
  <c r="AK86" i="15"/>
  <c r="AK87" i="15"/>
  <c r="AK88" i="15"/>
  <c r="AK89" i="15"/>
  <c r="AK90" i="15"/>
  <c r="AK91" i="15"/>
  <c r="AK92" i="15"/>
  <c r="AK93" i="15"/>
  <c r="AK94" i="15"/>
  <c r="AK95" i="15"/>
  <c r="AK96" i="15"/>
  <c r="AK97" i="15"/>
  <c r="AK98" i="15"/>
  <c r="AK99" i="15"/>
  <c r="AK100" i="15"/>
  <c r="AK101" i="15"/>
  <c r="AK102" i="15"/>
  <c r="AK103" i="15"/>
  <c r="AK104" i="15"/>
  <c r="AK105" i="15"/>
  <c r="AK106" i="15"/>
  <c r="AK107" i="15"/>
  <c r="AK108" i="15"/>
  <c r="AK109" i="15"/>
  <c r="AK110" i="15"/>
  <c r="AK111" i="15"/>
  <c r="AK112" i="15"/>
  <c r="AK113" i="15"/>
  <c r="AK114" i="15"/>
  <c r="AK115" i="15"/>
  <c r="AK116" i="15"/>
  <c r="AK117" i="15"/>
  <c r="AK118" i="15"/>
  <c r="AK119" i="15"/>
  <c r="AK120" i="15"/>
  <c r="AK121" i="15"/>
  <c r="AK122" i="15"/>
  <c r="AK123" i="15"/>
  <c r="AK124" i="15"/>
  <c r="AK125" i="15"/>
  <c r="AK126" i="15"/>
  <c r="AK127" i="15"/>
  <c r="AK74" i="15"/>
  <c r="AO49" i="15"/>
  <c r="AP49" i="15"/>
  <c r="AQ49" i="15"/>
  <c r="AR49" i="15"/>
  <c r="AS49" i="15"/>
  <c r="AT49" i="15"/>
  <c r="AU49" i="15"/>
  <c r="AV49" i="15"/>
  <c r="AN49" i="15"/>
  <c r="AO46" i="15"/>
  <c r="AP46" i="15"/>
  <c r="AQ46" i="15"/>
  <c r="AR46" i="15"/>
  <c r="AS46" i="15"/>
  <c r="AT46" i="15"/>
  <c r="AU46" i="15"/>
  <c r="AV46" i="15"/>
  <c r="AN46" i="15"/>
  <c r="AO43" i="15"/>
  <c r="AP43" i="15"/>
  <c r="AQ43" i="15"/>
  <c r="AR43" i="15"/>
  <c r="AS43" i="15"/>
  <c r="AT43" i="15"/>
  <c r="AU43" i="15"/>
  <c r="AV43" i="15"/>
  <c r="AN43" i="15"/>
  <c r="AO40" i="15"/>
  <c r="AP40" i="15"/>
  <c r="AQ40" i="15"/>
  <c r="AR40" i="15"/>
  <c r="AS40" i="15"/>
  <c r="AT40" i="15"/>
  <c r="AU40" i="15"/>
  <c r="AV40" i="15"/>
  <c r="AN40" i="15"/>
  <c r="AO37" i="15"/>
  <c r="AP37" i="15"/>
  <c r="AQ37" i="15"/>
  <c r="AR37" i="15"/>
  <c r="AS37" i="15"/>
  <c r="AT37" i="15"/>
  <c r="AU37" i="15"/>
  <c r="AV37" i="15"/>
  <c r="AN37" i="15"/>
  <c r="AO34" i="15"/>
  <c r="AP34" i="15"/>
  <c r="AQ34" i="15"/>
  <c r="AR34" i="15"/>
  <c r="AS34" i="15"/>
  <c r="AT34" i="15"/>
  <c r="AU34" i="15"/>
  <c r="AV34" i="15"/>
  <c r="AN34" i="15"/>
  <c r="AN36" i="15"/>
  <c r="AO36" i="15"/>
  <c r="AP36" i="15"/>
  <c r="AQ36" i="15"/>
  <c r="AS36" i="15"/>
  <c r="AT36" i="15"/>
  <c r="AU36" i="15"/>
  <c r="AV36" i="15"/>
  <c r="AR36" i="15"/>
  <c r="O121" i="15"/>
  <c r="O122" i="15"/>
  <c r="O123" i="15"/>
  <c r="O124" i="15"/>
  <c r="O125" i="15"/>
  <c r="O126" i="15"/>
  <c r="O127" i="15"/>
  <c r="O120" i="15"/>
  <c r="O119" i="15"/>
  <c r="N124" i="15"/>
  <c r="N125" i="15"/>
  <c r="N126" i="15"/>
  <c r="N127" i="15"/>
  <c r="N119" i="15"/>
  <c r="N120" i="15"/>
  <c r="N121" i="15"/>
  <c r="N122" i="15"/>
  <c r="N123" i="15"/>
  <c r="J7" i="10"/>
  <c r="J8" i="10"/>
  <c r="J9" i="10"/>
  <c r="J10" i="10"/>
  <c r="J11" i="10"/>
  <c r="J12" i="10"/>
  <c r="J13" i="10"/>
  <c r="J14" i="10"/>
  <c r="J15" i="10"/>
  <c r="J16" i="10"/>
  <c r="J17" i="10"/>
  <c r="J18" i="10"/>
  <c r="J19" i="10"/>
  <c r="J20" i="10"/>
  <c r="J21" i="10"/>
  <c r="J22" i="10"/>
  <c r="J23" i="10"/>
  <c r="J24" i="10"/>
  <c r="J25" i="10"/>
  <c r="J6" i="10"/>
  <c r="I17" i="10"/>
  <c r="I15" i="10"/>
  <c r="P73" i="15"/>
  <c r="Q73" i="15"/>
  <c r="R73" i="15"/>
  <c r="AH73" i="15"/>
  <c r="AI73" i="15"/>
  <c r="O73" i="15"/>
  <c r="M92" i="15"/>
  <c r="M94" i="15" s="1"/>
  <c r="L96" i="15"/>
  <c r="L105" i="15" s="1"/>
  <c r="L87" i="15"/>
  <c r="L79" i="15"/>
  <c r="L80" i="15" s="1"/>
  <c r="L77" i="15"/>
  <c r="L76" i="15" s="1"/>
  <c r="J76" i="14"/>
  <c r="P51" i="15"/>
  <c r="AG39" i="15"/>
  <c r="AH39" i="15"/>
  <c r="AI39" i="15"/>
  <c r="Q39" i="15"/>
  <c r="R39" i="15"/>
  <c r="S39" i="15"/>
  <c r="T39" i="15"/>
  <c r="U39" i="15"/>
  <c r="V39" i="15"/>
  <c r="W39" i="15"/>
  <c r="X39" i="15"/>
  <c r="Y39" i="15"/>
  <c r="Z39" i="15"/>
  <c r="AA39" i="15"/>
  <c r="AB39" i="15"/>
  <c r="AC39" i="15"/>
  <c r="AD39" i="15"/>
  <c r="AE39" i="15"/>
  <c r="AF39" i="15"/>
  <c r="P39" i="15"/>
  <c r="AH60" i="15"/>
  <c r="AI60" i="15"/>
  <c r="AH61" i="15"/>
  <c r="AI61" i="15"/>
  <c r="AH62" i="15"/>
  <c r="AI62" i="15"/>
  <c r="AH63" i="15"/>
  <c r="AI63" i="15"/>
  <c r="AH64" i="15"/>
  <c r="AI64" i="15"/>
  <c r="AH65" i="15"/>
  <c r="AI65" i="15"/>
  <c r="AH66" i="15"/>
  <c r="AI66" i="15"/>
  <c r="AH67" i="15"/>
  <c r="AI67" i="15"/>
  <c r="AH69" i="15"/>
  <c r="AI69" i="15"/>
  <c r="N57" i="15"/>
  <c r="N58" i="15"/>
  <c r="N59" i="15"/>
  <c r="N60" i="15"/>
  <c r="N61" i="15"/>
  <c r="N62" i="15"/>
  <c r="N63" i="15"/>
  <c r="N64" i="15"/>
  <c r="N65" i="15"/>
  <c r="N66" i="15"/>
  <c r="N67" i="15"/>
  <c r="N68" i="15"/>
  <c r="N69" i="15"/>
  <c r="N70" i="15"/>
  <c r="N71" i="15"/>
  <c r="O60" i="15"/>
  <c r="P60" i="15"/>
  <c r="Q60" i="15"/>
  <c r="R60" i="15"/>
  <c r="S60" i="15"/>
  <c r="T60" i="15"/>
  <c r="U60" i="15"/>
  <c r="V60" i="15"/>
  <c r="W60" i="15"/>
  <c r="X60" i="15"/>
  <c r="Y60" i="15"/>
  <c r="Z60" i="15"/>
  <c r="AA60" i="15"/>
  <c r="AB60" i="15"/>
  <c r="AC60" i="15"/>
  <c r="AD60" i="15"/>
  <c r="AE60" i="15"/>
  <c r="AF60" i="15"/>
  <c r="AG60" i="15"/>
  <c r="O61" i="15"/>
  <c r="P61" i="15"/>
  <c r="Q61" i="15"/>
  <c r="R61" i="15"/>
  <c r="S61" i="15"/>
  <c r="T61" i="15"/>
  <c r="U61" i="15"/>
  <c r="V61" i="15"/>
  <c r="W61" i="15"/>
  <c r="X61" i="15"/>
  <c r="Y61" i="15"/>
  <c r="Z61" i="15"/>
  <c r="AA61" i="15"/>
  <c r="AB61" i="15"/>
  <c r="AC61" i="15"/>
  <c r="AD61" i="15"/>
  <c r="AE61" i="15"/>
  <c r="AF61" i="15"/>
  <c r="AG61" i="15"/>
  <c r="O62" i="15"/>
  <c r="P62" i="15"/>
  <c r="Q62" i="15"/>
  <c r="R62" i="15"/>
  <c r="S62" i="15"/>
  <c r="T62" i="15"/>
  <c r="U62" i="15"/>
  <c r="V62" i="15"/>
  <c r="W62" i="15"/>
  <c r="X62" i="15"/>
  <c r="Y62" i="15"/>
  <c r="Z62" i="15"/>
  <c r="AA62" i="15"/>
  <c r="AB62" i="15"/>
  <c r="AC62" i="15"/>
  <c r="AD62" i="15"/>
  <c r="AE62" i="15"/>
  <c r="AF62" i="15"/>
  <c r="AG62" i="15"/>
  <c r="O63" i="15"/>
  <c r="P63" i="15"/>
  <c r="Q63" i="15"/>
  <c r="R63" i="15"/>
  <c r="S63" i="15"/>
  <c r="T63" i="15"/>
  <c r="U63" i="15"/>
  <c r="V63" i="15"/>
  <c r="W63" i="15"/>
  <c r="X63" i="15"/>
  <c r="Y63" i="15"/>
  <c r="Z63" i="15"/>
  <c r="AA63" i="15"/>
  <c r="AB63" i="15"/>
  <c r="AC63" i="15"/>
  <c r="AD63" i="15"/>
  <c r="AE63" i="15"/>
  <c r="AF63" i="15"/>
  <c r="AG63" i="15"/>
  <c r="O64" i="15"/>
  <c r="P64" i="15"/>
  <c r="Q64" i="15"/>
  <c r="R64" i="15"/>
  <c r="S64" i="15"/>
  <c r="T64" i="15"/>
  <c r="U64" i="15"/>
  <c r="V64" i="15"/>
  <c r="W64" i="15"/>
  <c r="X64" i="15"/>
  <c r="Y64" i="15"/>
  <c r="Z64" i="15"/>
  <c r="AA64" i="15"/>
  <c r="AB64" i="15"/>
  <c r="AC64" i="15"/>
  <c r="AD64" i="15"/>
  <c r="AE64" i="15"/>
  <c r="AF64" i="15"/>
  <c r="AG64" i="15"/>
  <c r="O65" i="15"/>
  <c r="P65" i="15"/>
  <c r="Q65" i="15"/>
  <c r="R65" i="15"/>
  <c r="S65" i="15"/>
  <c r="T65" i="15"/>
  <c r="U65" i="15"/>
  <c r="V65" i="15"/>
  <c r="W65" i="15"/>
  <c r="X65" i="15"/>
  <c r="Y65" i="15"/>
  <c r="Z65" i="15"/>
  <c r="AA65" i="15"/>
  <c r="AB65" i="15"/>
  <c r="AC65" i="15"/>
  <c r="AD65" i="15"/>
  <c r="AE65" i="15"/>
  <c r="AF65" i="15"/>
  <c r="AG65" i="15"/>
  <c r="O66" i="15"/>
  <c r="P66" i="15"/>
  <c r="Q66" i="15"/>
  <c r="R66" i="15"/>
  <c r="S66" i="15"/>
  <c r="T66" i="15"/>
  <c r="U66" i="15"/>
  <c r="V66" i="15"/>
  <c r="W66" i="15"/>
  <c r="X66" i="15"/>
  <c r="Y66" i="15"/>
  <c r="Z66" i="15"/>
  <c r="AA66" i="15"/>
  <c r="AB66" i="15"/>
  <c r="AC66" i="15"/>
  <c r="AD66" i="15"/>
  <c r="AE66" i="15"/>
  <c r="AF66" i="15"/>
  <c r="AG66" i="15"/>
  <c r="O67" i="15"/>
  <c r="P67" i="15"/>
  <c r="Q67" i="15"/>
  <c r="R67" i="15"/>
  <c r="S67" i="15"/>
  <c r="T67" i="15"/>
  <c r="U67" i="15"/>
  <c r="V67" i="15"/>
  <c r="W67" i="15"/>
  <c r="X67" i="15"/>
  <c r="Y67" i="15"/>
  <c r="Z67" i="15"/>
  <c r="AA67" i="15"/>
  <c r="AB67" i="15"/>
  <c r="AC67" i="15"/>
  <c r="AD67" i="15"/>
  <c r="AE67" i="15"/>
  <c r="AF67" i="15"/>
  <c r="AG67" i="15"/>
  <c r="O69" i="15"/>
  <c r="Q69" i="15"/>
  <c r="R69" i="15"/>
  <c r="S69" i="15"/>
  <c r="T69" i="15"/>
  <c r="U69" i="15"/>
  <c r="V69" i="15"/>
  <c r="W69" i="15"/>
  <c r="X69" i="15"/>
  <c r="Y69" i="15"/>
  <c r="Z69" i="15"/>
  <c r="AA69" i="15"/>
  <c r="AB69" i="15"/>
  <c r="AC69" i="15"/>
  <c r="AD69" i="15"/>
  <c r="AE69" i="15"/>
  <c r="AF69" i="15"/>
  <c r="AG69" i="15"/>
  <c r="O37" i="15"/>
  <c r="P37" i="15"/>
  <c r="Q37" i="15"/>
  <c r="R37" i="15"/>
  <c r="S37" i="15"/>
  <c r="T37" i="15"/>
  <c r="U37" i="15"/>
  <c r="V37" i="15"/>
  <c r="W37" i="15"/>
  <c r="X37" i="15"/>
  <c r="Y37" i="15"/>
  <c r="Z37" i="15"/>
  <c r="AA37" i="15"/>
  <c r="AB37" i="15"/>
  <c r="AC37" i="15"/>
  <c r="AD37" i="15"/>
  <c r="AE37" i="15"/>
  <c r="AF37" i="15"/>
  <c r="AG37" i="15"/>
  <c r="AH37" i="15"/>
  <c r="AI37" i="15"/>
  <c r="O38" i="15"/>
  <c r="P38" i="15"/>
  <c r="Q38" i="15"/>
  <c r="R38" i="15"/>
  <c r="S38" i="15"/>
  <c r="S40" i="15" s="1"/>
  <c r="T38" i="15"/>
  <c r="T40" i="15" s="1"/>
  <c r="U38" i="15"/>
  <c r="V38" i="15"/>
  <c r="W38" i="15"/>
  <c r="X38" i="15"/>
  <c r="Y38" i="15"/>
  <c r="Z38" i="15"/>
  <c r="AA38" i="15"/>
  <c r="AB38" i="15"/>
  <c r="AC38" i="15"/>
  <c r="AD38" i="15"/>
  <c r="AE38" i="15"/>
  <c r="AF38" i="15"/>
  <c r="AG38" i="15"/>
  <c r="AH38" i="15"/>
  <c r="AI38" i="15"/>
  <c r="O39" i="15"/>
  <c r="O40" i="15"/>
  <c r="O41" i="15"/>
  <c r="P41" i="15"/>
  <c r="Q41" i="15"/>
  <c r="R41" i="15"/>
  <c r="S41" i="15"/>
  <c r="T41" i="15"/>
  <c r="U41" i="15"/>
  <c r="V41" i="15"/>
  <c r="W41" i="15"/>
  <c r="X41" i="15"/>
  <c r="Y41" i="15"/>
  <c r="Z41" i="15"/>
  <c r="AA41" i="15"/>
  <c r="AB41" i="15"/>
  <c r="AC41" i="15"/>
  <c r="AD41" i="15"/>
  <c r="AE41" i="15"/>
  <c r="AF41" i="15"/>
  <c r="AG41" i="15"/>
  <c r="AH41" i="15"/>
  <c r="AI41" i="15"/>
  <c r="O42" i="15"/>
  <c r="P42" i="15"/>
  <c r="Q42" i="15"/>
  <c r="R42" i="15"/>
  <c r="S42" i="15"/>
  <c r="T42" i="15"/>
  <c r="U42" i="15"/>
  <c r="V42" i="15"/>
  <c r="W42" i="15"/>
  <c r="X42" i="15"/>
  <c r="Y42" i="15"/>
  <c r="Z42" i="15"/>
  <c r="AA42" i="15"/>
  <c r="AB42" i="15"/>
  <c r="AC42" i="15"/>
  <c r="AD42" i="15"/>
  <c r="AE42" i="15"/>
  <c r="AF42" i="15"/>
  <c r="AG42" i="15"/>
  <c r="AH42" i="15"/>
  <c r="AI42" i="15"/>
  <c r="O43" i="15"/>
  <c r="P43" i="15"/>
  <c r="Q43" i="15"/>
  <c r="R43" i="15"/>
  <c r="S43" i="15"/>
  <c r="T43" i="15"/>
  <c r="U43" i="15"/>
  <c r="V43" i="15"/>
  <c r="W43" i="15"/>
  <c r="X43" i="15"/>
  <c r="Y43" i="15"/>
  <c r="Z43" i="15"/>
  <c r="AA43" i="15"/>
  <c r="AB43" i="15"/>
  <c r="AC43" i="15"/>
  <c r="AD43" i="15"/>
  <c r="AE43" i="15"/>
  <c r="AF43" i="15"/>
  <c r="AG43" i="15"/>
  <c r="AH43" i="15"/>
  <c r="AI43" i="15"/>
  <c r="O44" i="15"/>
  <c r="P44" i="15"/>
  <c r="Q44" i="15"/>
  <c r="R44" i="15"/>
  <c r="S44" i="15"/>
  <c r="T44" i="15"/>
  <c r="U44" i="15"/>
  <c r="V44" i="15"/>
  <c r="W44" i="15"/>
  <c r="X44" i="15"/>
  <c r="Y44" i="15"/>
  <c r="Z44" i="15"/>
  <c r="AA44" i="15"/>
  <c r="AB44" i="15"/>
  <c r="AC44" i="15"/>
  <c r="AD44" i="15"/>
  <c r="AE44" i="15"/>
  <c r="AF44" i="15"/>
  <c r="AG44" i="15"/>
  <c r="AH44" i="15"/>
  <c r="AI44" i="15"/>
  <c r="O45" i="15"/>
  <c r="P45" i="15"/>
  <c r="Q45" i="15"/>
  <c r="R45" i="15"/>
  <c r="S45" i="15"/>
  <c r="T45" i="15"/>
  <c r="U45" i="15"/>
  <c r="V45" i="15"/>
  <c r="W45" i="15"/>
  <c r="X45" i="15"/>
  <c r="Y45" i="15"/>
  <c r="Z45" i="15"/>
  <c r="AA45" i="15"/>
  <c r="AB45" i="15"/>
  <c r="AC45" i="15"/>
  <c r="AD45" i="15"/>
  <c r="AE45" i="15"/>
  <c r="AF45" i="15"/>
  <c r="AG45" i="15"/>
  <c r="AH45" i="15"/>
  <c r="AI45" i="15"/>
  <c r="O46" i="15"/>
  <c r="P46" i="15"/>
  <c r="Q46" i="15"/>
  <c r="R46" i="15"/>
  <c r="S46" i="15"/>
  <c r="T46" i="15"/>
  <c r="U46" i="15"/>
  <c r="V46" i="15"/>
  <c r="W46" i="15"/>
  <c r="X46" i="15"/>
  <c r="Y46" i="15"/>
  <c r="Z46" i="15"/>
  <c r="AA46" i="15"/>
  <c r="AB46" i="15"/>
  <c r="AC46" i="15"/>
  <c r="AD46" i="15"/>
  <c r="AE46" i="15"/>
  <c r="AF46" i="15"/>
  <c r="AG46" i="15"/>
  <c r="AH46" i="15"/>
  <c r="AI46" i="15"/>
  <c r="O47" i="15"/>
  <c r="P47" i="15"/>
  <c r="Q47" i="15"/>
  <c r="R47" i="15"/>
  <c r="S47" i="15"/>
  <c r="T47" i="15"/>
  <c r="U47" i="15"/>
  <c r="V47" i="15"/>
  <c r="W47" i="15"/>
  <c r="X47" i="15"/>
  <c r="Y47" i="15"/>
  <c r="Z47" i="15"/>
  <c r="AA47" i="15"/>
  <c r="AB47" i="15"/>
  <c r="AC47" i="15"/>
  <c r="AD47" i="15"/>
  <c r="AE47" i="15"/>
  <c r="AF47" i="15"/>
  <c r="AG47" i="15"/>
  <c r="AH47" i="15"/>
  <c r="AI47" i="15"/>
  <c r="O48" i="15"/>
  <c r="O49" i="15"/>
  <c r="P49" i="15"/>
  <c r="Q49" i="15"/>
  <c r="R49" i="15"/>
  <c r="S49" i="15"/>
  <c r="T49" i="15"/>
  <c r="U49" i="15"/>
  <c r="V49" i="15"/>
  <c r="W49" i="15"/>
  <c r="X49" i="15"/>
  <c r="Y49" i="15"/>
  <c r="Z49" i="15"/>
  <c r="AA49" i="15"/>
  <c r="AB49" i="15"/>
  <c r="AC49" i="15"/>
  <c r="AD49" i="15"/>
  <c r="AE49" i="15"/>
  <c r="AF49" i="15"/>
  <c r="AG49" i="15"/>
  <c r="AH49" i="15"/>
  <c r="AI49" i="15"/>
  <c r="O50" i="15"/>
  <c r="P50" i="15"/>
  <c r="Q50" i="15"/>
  <c r="R50" i="15"/>
  <c r="S50" i="15"/>
  <c r="T50" i="15"/>
  <c r="U50" i="15"/>
  <c r="V50" i="15"/>
  <c r="W50" i="15"/>
  <c r="X50" i="15"/>
  <c r="Y50" i="15"/>
  <c r="Z50" i="15"/>
  <c r="AA50" i="15"/>
  <c r="AB50" i="15"/>
  <c r="AC50" i="15"/>
  <c r="AD50" i="15"/>
  <c r="AE50" i="15"/>
  <c r="AF50" i="15"/>
  <c r="AG50" i="15"/>
  <c r="AH50" i="15"/>
  <c r="AI50" i="15"/>
  <c r="O51" i="15"/>
  <c r="Q51" i="15"/>
  <c r="R51" i="15"/>
  <c r="S51" i="15"/>
  <c r="T51" i="15"/>
  <c r="U51" i="15"/>
  <c r="V51" i="15"/>
  <c r="W51" i="15"/>
  <c r="X51" i="15"/>
  <c r="Y51" i="15"/>
  <c r="Z51" i="15"/>
  <c r="AA51" i="15"/>
  <c r="AB51" i="15"/>
  <c r="AC51" i="15"/>
  <c r="AD51" i="15"/>
  <c r="AE51" i="15"/>
  <c r="AF51" i="15"/>
  <c r="AG51" i="15"/>
  <c r="AH51" i="15"/>
  <c r="AI51" i="15"/>
  <c r="O52" i="15"/>
  <c r="O53" i="15"/>
  <c r="O54" i="15"/>
  <c r="O55" i="15"/>
  <c r="O57" i="15"/>
  <c r="P57" i="15"/>
  <c r="Q57" i="15"/>
  <c r="R57" i="15"/>
  <c r="S57" i="15"/>
  <c r="S73" i="15" s="1"/>
  <c r="T57" i="15"/>
  <c r="T73" i="15" s="1"/>
  <c r="U57" i="15"/>
  <c r="U73" i="15" s="1"/>
  <c r="V57" i="15"/>
  <c r="V73" i="15" s="1"/>
  <c r="W57" i="15"/>
  <c r="W73" i="15" s="1"/>
  <c r="X57" i="15"/>
  <c r="X73" i="15" s="1"/>
  <c r="Y57" i="15"/>
  <c r="Y73" i="15" s="1"/>
  <c r="Z57" i="15"/>
  <c r="Z73" i="15" s="1"/>
  <c r="AA57" i="15"/>
  <c r="AA73" i="15" s="1"/>
  <c r="AB57" i="15"/>
  <c r="AB73" i="15" s="1"/>
  <c r="AC57" i="15"/>
  <c r="AC73" i="15" s="1"/>
  <c r="AD57" i="15"/>
  <c r="AD73" i="15" s="1"/>
  <c r="AE57" i="15"/>
  <c r="AE73" i="15" s="1"/>
  <c r="AF57" i="15"/>
  <c r="AF73" i="15" s="1"/>
  <c r="AG57" i="15"/>
  <c r="AG73" i="15" s="1"/>
  <c r="AH57" i="15"/>
  <c r="AI57" i="15"/>
  <c r="O58" i="15"/>
  <c r="P58" i="15"/>
  <c r="Q58" i="15"/>
  <c r="R58" i="15"/>
  <c r="S58" i="15"/>
  <c r="T58" i="15"/>
  <c r="U58" i="15"/>
  <c r="V58" i="15"/>
  <c r="W58" i="15"/>
  <c r="X58" i="15"/>
  <c r="Y58" i="15"/>
  <c r="Z58" i="15"/>
  <c r="AA58" i="15"/>
  <c r="AB58" i="15"/>
  <c r="AC58" i="15"/>
  <c r="AD58" i="15"/>
  <c r="AE58" i="15"/>
  <c r="AF58" i="15"/>
  <c r="AG58" i="15"/>
  <c r="AH58" i="15"/>
  <c r="AI58" i="15"/>
  <c r="O59" i="15"/>
  <c r="O36" i="15"/>
  <c r="P36" i="15"/>
  <c r="Q36" i="15"/>
  <c r="R36" i="15"/>
  <c r="S36" i="15"/>
  <c r="T36" i="15"/>
  <c r="U36" i="15"/>
  <c r="V36" i="15"/>
  <c r="W36" i="15"/>
  <c r="X36" i="15"/>
  <c r="Y36" i="15"/>
  <c r="Z36" i="15"/>
  <c r="AA36" i="15"/>
  <c r="AB36" i="15"/>
  <c r="AC36" i="15"/>
  <c r="AD36" i="15"/>
  <c r="AE36" i="15"/>
  <c r="AF36" i="15"/>
  <c r="AG36" i="15"/>
  <c r="AH36" i="15"/>
  <c r="AI36" i="15"/>
  <c r="N54" i="15"/>
  <c r="N55" i="15"/>
  <c r="N37" i="15"/>
  <c r="N38" i="15"/>
  <c r="N39" i="15"/>
  <c r="N40" i="15"/>
  <c r="N41" i="15"/>
  <c r="N42" i="15"/>
  <c r="N43" i="15"/>
  <c r="N44" i="15"/>
  <c r="N45" i="15"/>
  <c r="N46" i="15"/>
  <c r="N47" i="15"/>
  <c r="N48" i="15"/>
  <c r="N49" i="15"/>
  <c r="N50" i="15"/>
  <c r="N51" i="15"/>
  <c r="N52" i="15"/>
  <c r="N53" i="15"/>
  <c r="N36" i="15"/>
  <c r="L114" i="15" l="1"/>
  <c r="M93" i="15"/>
  <c r="M100" i="15"/>
  <c r="M99" i="15"/>
  <c r="M98" i="15"/>
  <c r="M97" i="15"/>
  <c r="L86" i="15"/>
  <c r="M96" i="15"/>
  <c r="N96" i="15" s="1"/>
  <c r="M95" i="15"/>
  <c r="AF40" i="15"/>
  <c r="L81" i="15"/>
  <c r="L89" i="15"/>
  <c r="L75" i="15"/>
  <c r="L85" i="15"/>
  <c r="L88" i="15"/>
  <c r="P40" i="15"/>
  <c r="R40" i="15"/>
  <c r="Q40" i="15"/>
  <c r="O68" i="15"/>
  <c r="O70" i="15" s="1"/>
  <c r="AG40" i="15"/>
  <c r="AE40" i="15"/>
  <c r="AD40" i="15"/>
  <c r="V40" i="15"/>
  <c r="U40" i="15"/>
  <c r="AB40" i="15"/>
  <c r="AC40" i="15"/>
  <c r="AA40" i="15"/>
  <c r="Z40" i="15"/>
  <c r="Y40" i="15"/>
  <c r="X40" i="15"/>
  <c r="W40" i="15"/>
  <c r="AI40" i="15"/>
  <c r="AH40" i="15"/>
  <c r="L24" i="15"/>
  <c r="L28" i="15" s="1"/>
  <c r="K24" i="15"/>
  <c r="K28" i="15" s="1"/>
  <c r="J24" i="15"/>
  <c r="J28" i="15" s="1"/>
  <c r="I24" i="15"/>
  <c r="I28" i="15" s="1"/>
  <c r="H24" i="15"/>
  <c r="G24" i="15"/>
  <c r="F24" i="15"/>
  <c r="E24" i="15"/>
  <c r="D24" i="15"/>
  <c r="C21" i="15"/>
  <c r="C20" i="15"/>
  <c r="L29" i="15" s="1"/>
  <c r="C19" i="15"/>
  <c r="L27" i="15" s="1"/>
  <c r="C18" i="15"/>
  <c r="L26" i="15" s="1"/>
  <c r="C17" i="15"/>
  <c r="K25" i="15" s="1"/>
  <c r="E9" i="15"/>
  <c r="G9" i="15" s="1"/>
  <c r="G8" i="15"/>
  <c r="G7" i="15"/>
  <c r="G6" i="15"/>
  <c r="G5" i="15"/>
  <c r="AB145" i="14"/>
  <c r="AA145" i="14"/>
  <c r="T145" i="14"/>
  <c r="S145" i="14"/>
  <c r="L145" i="14"/>
  <c r="K145" i="14"/>
  <c r="F17" i="10"/>
  <c r="E17" i="10"/>
  <c r="E14" i="10"/>
  <c r="F14" i="10"/>
  <c r="E15" i="10"/>
  <c r="E29" i="8"/>
  <c r="K18" i="1"/>
  <c r="K11" i="1"/>
  <c r="K5" i="1"/>
  <c r="K6" i="1"/>
  <c r="K14" i="1"/>
  <c r="F11" i="10"/>
  <c r="E11" i="10"/>
  <c r="G122" i="14"/>
  <c r="G145" i="14" s="1"/>
  <c r="H122" i="14"/>
  <c r="H145" i="14" s="1"/>
  <c r="I122" i="14"/>
  <c r="I145" i="14" s="1"/>
  <c r="J122" i="14"/>
  <c r="J145" i="14" s="1"/>
  <c r="K122" i="14"/>
  <c r="L122" i="14"/>
  <c r="M122" i="14"/>
  <c r="M145" i="14" s="1"/>
  <c r="N122" i="14"/>
  <c r="N145" i="14" s="1"/>
  <c r="O122" i="14"/>
  <c r="O145" i="14" s="1"/>
  <c r="P122" i="14"/>
  <c r="P145" i="14" s="1"/>
  <c r="Q122" i="14"/>
  <c r="Q145" i="14" s="1"/>
  <c r="R122" i="14"/>
  <c r="R145" i="14" s="1"/>
  <c r="S122" i="14"/>
  <c r="T122" i="14"/>
  <c r="U122" i="14"/>
  <c r="U145" i="14" s="1"/>
  <c r="V122" i="14"/>
  <c r="V145" i="14" s="1"/>
  <c r="W122" i="14"/>
  <c r="W145" i="14" s="1"/>
  <c r="X122" i="14"/>
  <c r="X145" i="14" s="1"/>
  <c r="Y122" i="14"/>
  <c r="Y145" i="14" s="1"/>
  <c r="Z122" i="14"/>
  <c r="Z145" i="14" s="1"/>
  <c r="AA122" i="14"/>
  <c r="AB122" i="14"/>
  <c r="G124" i="14"/>
  <c r="G125" i="14"/>
  <c r="I102" i="14"/>
  <c r="J102" i="14"/>
  <c r="K102" i="14"/>
  <c r="L102" i="14"/>
  <c r="M102" i="14"/>
  <c r="N102" i="14"/>
  <c r="O102" i="14"/>
  <c r="P102" i="14"/>
  <c r="Q102" i="14"/>
  <c r="R102" i="14"/>
  <c r="S102" i="14"/>
  <c r="T102" i="14"/>
  <c r="U102" i="14"/>
  <c r="V102" i="14"/>
  <c r="W102" i="14"/>
  <c r="X102" i="14"/>
  <c r="Y102" i="14"/>
  <c r="Z102" i="14"/>
  <c r="AA102" i="14"/>
  <c r="AB102" i="14"/>
  <c r="I103" i="14"/>
  <c r="J103" i="14"/>
  <c r="K103" i="14"/>
  <c r="L103" i="14"/>
  <c r="M103" i="14"/>
  <c r="N103" i="14"/>
  <c r="O103" i="14"/>
  <c r="P103" i="14"/>
  <c r="Q103" i="14"/>
  <c r="R103" i="14"/>
  <c r="S103" i="14"/>
  <c r="T103" i="14"/>
  <c r="U103" i="14"/>
  <c r="V103" i="14"/>
  <c r="W103" i="14"/>
  <c r="X103" i="14"/>
  <c r="Y103" i="14"/>
  <c r="Z103" i="14"/>
  <c r="AA103" i="14"/>
  <c r="AB103" i="14"/>
  <c r="H109" i="14"/>
  <c r="I111" i="14"/>
  <c r="G11" i="10"/>
  <c r="H11" i="10"/>
  <c r="D14" i="10"/>
  <c r="H14" i="10"/>
  <c r="D15" i="10"/>
  <c r="R26" i="1"/>
  <c r="R25" i="1"/>
  <c r="G23" i="10"/>
  <c r="H23" i="10"/>
  <c r="H18" i="10"/>
  <c r="G18" i="10"/>
  <c r="G15" i="10"/>
  <c r="G14" i="10"/>
  <c r="O100" i="15" l="1"/>
  <c r="O84" i="15"/>
  <c r="O102" i="15"/>
  <c r="O86" i="15"/>
  <c r="O104" i="15"/>
  <c r="O88" i="15"/>
  <c r="O89" i="15"/>
  <c r="O106" i="15"/>
  <c r="O90" i="15"/>
  <c r="O107" i="15"/>
  <c r="O91" i="15"/>
  <c r="O75" i="15"/>
  <c r="O114" i="15"/>
  <c r="O95" i="15"/>
  <c r="O83" i="15"/>
  <c r="O101" i="15"/>
  <c r="O85" i="15"/>
  <c r="O103" i="15"/>
  <c r="O87" i="15"/>
  <c r="O105" i="15"/>
  <c r="O108" i="15"/>
  <c r="O79" i="15"/>
  <c r="O109" i="15"/>
  <c r="O80" i="15"/>
  <c r="O92" i="15"/>
  <c r="O74" i="15"/>
  <c r="O93" i="15"/>
  <c r="O113" i="15"/>
  <c r="O77" i="15"/>
  <c r="O116" i="15"/>
  <c r="O97" i="15"/>
  <c r="O98" i="15"/>
  <c r="O110" i="15"/>
  <c r="O81" i="15"/>
  <c r="O111" i="15"/>
  <c r="O82" i="15"/>
  <c r="O112" i="15"/>
  <c r="O94" i="15"/>
  <c r="O76" i="15"/>
  <c r="O115" i="15"/>
  <c r="O96" i="15"/>
  <c r="O117" i="15"/>
  <c r="O78" i="15"/>
  <c r="O118" i="15"/>
  <c r="O99" i="15"/>
  <c r="L123" i="15"/>
  <c r="L97" i="15"/>
  <c r="L94" i="15"/>
  <c r="L98" i="15"/>
  <c r="L95" i="15"/>
  <c r="L74" i="15"/>
  <c r="L84" i="15"/>
  <c r="L82" i="15"/>
  <c r="L90" i="15"/>
  <c r="E26" i="15"/>
  <c r="G26" i="15"/>
  <c r="H26" i="15"/>
  <c r="D27" i="15"/>
  <c r="E27" i="15"/>
  <c r="J19" i="15"/>
  <c r="J27" i="15"/>
  <c r="K26" i="15"/>
  <c r="F19" i="15"/>
  <c r="I19" i="15"/>
  <c r="K19" i="15"/>
  <c r="H27" i="15"/>
  <c r="L19" i="15"/>
  <c r="I27" i="15"/>
  <c r="K27" i="15"/>
  <c r="G27" i="15"/>
  <c r="H29" i="15"/>
  <c r="F18" i="15"/>
  <c r="K29" i="15"/>
  <c r="F20" i="15"/>
  <c r="G29" i="15"/>
  <c r="L20" i="15"/>
  <c r="E29" i="15"/>
  <c r="G18" i="15"/>
  <c r="J18" i="15"/>
  <c r="D18" i="15"/>
  <c r="L18" i="15"/>
  <c r="D20" i="15"/>
  <c r="J20" i="15"/>
  <c r="C29" i="15"/>
  <c r="M101" i="15" s="1"/>
  <c r="C26" i="15"/>
  <c r="M83" i="15" s="1"/>
  <c r="F17" i="15"/>
  <c r="G17" i="15"/>
  <c r="I17" i="15"/>
  <c r="J17" i="15"/>
  <c r="K17" i="15"/>
  <c r="G20" i="15"/>
  <c r="D25" i="15"/>
  <c r="L17" i="15"/>
  <c r="E25" i="15"/>
  <c r="F30" i="15"/>
  <c r="E21" i="15"/>
  <c r="E30" i="15"/>
  <c r="C30" i="15"/>
  <c r="M110" i="15" s="1"/>
  <c r="G25" i="15"/>
  <c r="D21" i="15"/>
  <c r="H25" i="15"/>
  <c r="I25" i="15"/>
  <c r="H17" i="15"/>
  <c r="G21" i="15"/>
  <c r="J25" i="15"/>
  <c r="H21" i="15"/>
  <c r="D30" i="15"/>
  <c r="F25" i="15"/>
  <c r="E17" i="15"/>
  <c r="C25" i="15"/>
  <c r="M74" i="15" s="1"/>
  <c r="D17" i="15"/>
  <c r="F27" i="15"/>
  <c r="E19" i="15"/>
  <c r="C27" i="15"/>
  <c r="J21" i="15"/>
  <c r="F21" i="15"/>
  <c r="I21" i="15"/>
  <c r="H30" i="15"/>
  <c r="D19" i="15"/>
  <c r="K21" i="15"/>
  <c r="I30" i="15"/>
  <c r="G30" i="15"/>
  <c r="G19" i="15"/>
  <c r="K30" i="15"/>
  <c r="L25" i="15"/>
  <c r="L21" i="15"/>
  <c r="J30" i="15"/>
  <c r="H19" i="15"/>
  <c r="L30" i="15"/>
  <c r="D26" i="15"/>
  <c r="D29" i="15"/>
  <c r="E18" i="15"/>
  <c r="E20" i="15"/>
  <c r="F26" i="15"/>
  <c r="F29" i="15"/>
  <c r="H18" i="15"/>
  <c r="H20" i="15"/>
  <c r="I26" i="15"/>
  <c r="I29" i="15"/>
  <c r="I18" i="15"/>
  <c r="I20" i="15"/>
  <c r="J26" i="15"/>
  <c r="J29" i="15"/>
  <c r="K18" i="15"/>
  <c r="K20" i="15"/>
  <c r="E6" i="10"/>
  <c r="D7" i="10"/>
  <c r="H74" i="14"/>
  <c r="I74" i="14"/>
  <c r="J74" i="14"/>
  <c r="K74" i="14"/>
  <c r="L74" i="14"/>
  <c r="M74" i="14"/>
  <c r="N74" i="14"/>
  <c r="O74" i="14"/>
  <c r="P74" i="14"/>
  <c r="Q74" i="14"/>
  <c r="R74" i="14"/>
  <c r="S74" i="14"/>
  <c r="T74" i="14"/>
  <c r="U74" i="14"/>
  <c r="V74" i="14"/>
  <c r="W74" i="14"/>
  <c r="X74" i="14"/>
  <c r="Y74" i="14"/>
  <c r="Z74" i="14"/>
  <c r="AA74" i="14"/>
  <c r="AB74" i="14"/>
  <c r="D6" i="10"/>
  <c r="G74" i="14"/>
  <c r="A53" i="8"/>
  <c r="E52" i="8"/>
  <c r="G78" i="14"/>
  <c r="G77" i="14"/>
  <c r="E44" i="8"/>
  <c r="E45" i="8"/>
  <c r="G76" i="14"/>
  <c r="E39" i="8"/>
  <c r="E38" i="8"/>
  <c r="E37" i="8"/>
  <c r="O31" i="8"/>
  <c r="O30" i="8"/>
  <c r="H38" i="8"/>
  <c r="H36" i="8"/>
  <c r="H34" i="8"/>
  <c r="U69" i="14"/>
  <c r="B54" i="14"/>
  <c r="S68" i="14" s="1"/>
  <c r="B53" i="14"/>
  <c r="H29" i="8"/>
  <c r="H30" i="8"/>
  <c r="I64" i="14"/>
  <c r="O65" i="14"/>
  <c r="P65" i="14"/>
  <c r="R65" i="14"/>
  <c r="S65" i="14"/>
  <c r="P64" i="14"/>
  <c r="Q64" i="14"/>
  <c r="R64" i="14"/>
  <c r="S64" i="14"/>
  <c r="K10" i="1"/>
  <c r="D51" i="14"/>
  <c r="H18" i="1"/>
  <c r="H16" i="1"/>
  <c r="Q23" i="1"/>
  <c r="Q19" i="1"/>
  <c r="Q12" i="1"/>
  <c r="H62" i="14"/>
  <c r="H61" i="14"/>
  <c r="K9" i="1"/>
  <c r="Q11" i="1"/>
  <c r="K29" i="1"/>
  <c r="K31" i="1"/>
  <c r="K33" i="1" s="1"/>
  <c r="K35" i="1" s="1"/>
  <c r="K30" i="1"/>
  <c r="Q60" i="14"/>
  <c r="K26" i="1"/>
  <c r="K25" i="1"/>
  <c r="B19" i="14"/>
  <c r="O56" i="14"/>
  <c r="O69" i="14" s="1"/>
  <c r="P56" i="14"/>
  <c r="P69" i="14" s="1"/>
  <c r="Q56" i="14"/>
  <c r="Q69" i="14" s="1"/>
  <c r="R56" i="14"/>
  <c r="R69" i="14" s="1"/>
  <c r="S56" i="14"/>
  <c r="S69" i="14" s="1"/>
  <c r="T56" i="14"/>
  <c r="T65" i="14" s="1"/>
  <c r="U56" i="14"/>
  <c r="U65" i="14" s="1"/>
  <c r="V56" i="14"/>
  <c r="V69" i="14" s="1"/>
  <c r="W56" i="14"/>
  <c r="W69" i="14" s="1"/>
  <c r="X56" i="14"/>
  <c r="Y56" i="14"/>
  <c r="Z56" i="14"/>
  <c r="AA56" i="14"/>
  <c r="AB56" i="14"/>
  <c r="AB69" i="14" s="1"/>
  <c r="N56" i="14"/>
  <c r="N69" i="14" s="1"/>
  <c r="J56" i="14"/>
  <c r="J65" i="14" s="1"/>
  <c r="K56" i="14"/>
  <c r="K69" i="14" s="1"/>
  <c r="L56" i="14"/>
  <c r="L69" i="14" s="1"/>
  <c r="M56" i="14"/>
  <c r="M65" i="14" s="1"/>
  <c r="I56" i="14"/>
  <c r="AS48" i="15" l="1"/>
  <c r="AT48" i="15"/>
  <c r="AU48" i="15"/>
  <c r="AV48" i="15"/>
  <c r="AN48" i="15"/>
  <c r="AO48" i="15"/>
  <c r="AP48" i="15"/>
  <c r="AQ48" i="15"/>
  <c r="AR48" i="15"/>
  <c r="AT45" i="15"/>
  <c r="AR45" i="15"/>
  <c r="AN45" i="15"/>
  <c r="AO45" i="15"/>
  <c r="AP45" i="15"/>
  <c r="AQ45" i="15"/>
  <c r="AS45" i="15"/>
  <c r="AU45" i="15"/>
  <c r="AV45" i="15"/>
  <c r="AN39" i="15"/>
  <c r="AO39" i="15"/>
  <c r="AS39" i="15"/>
  <c r="AT39" i="15"/>
  <c r="AU39" i="15"/>
  <c r="AV39" i="15"/>
  <c r="AP39" i="15"/>
  <c r="AQ39" i="15"/>
  <c r="AR39" i="15"/>
  <c r="AU42" i="15"/>
  <c r="AV42" i="15"/>
  <c r="AN42" i="15"/>
  <c r="AO42" i="15"/>
  <c r="AQ42" i="15"/>
  <c r="AR42" i="15"/>
  <c r="AP42" i="15"/>
  <c r="AS42" i="15"/>
  <c r="AT42" i="15"/>
  <c r="AS33" i="15"/>
  <c r="AT33" i="15"/>
  <c r="AO33" i="15"/>
  <c r="AR33" i="15"/>
  <c r="AU33" i="15"/>
  <c r="AV33" i="15"/>
  <c r="AN33" i="15"/>
  <c r="AP33" i="15"/>
  <c r="AQ33" i="15"/>
  <c r="Q48" i="15"/>
  <c r="P120" i="15"/>
  <c r="AF120" i="15"/>
  <c r="AG121" i="15"/>
  <c r="P122" i="15"/>
  <c r="AI122" i="15"/>
  <c r="P127" i="15"/>
  <c r="S122" i="15"/>
  <c r="U124" i="15"/>
  <c r="P123" i="15"/>
  <c r="X125" i="15"/>
  <c r="Z127" i="15"/>
  <c r="AC127" i="15"/>
  <c r="AC124" i="15"/>
  <c r="AF127" i="15"/>
  <c r="Z120" i="15"/>
  <c r="AG125" i="15"/>
  <c r="L93" i="15"/>
  <c r="L104" i="15"/>
  <c r="N95" i="15"/>
  <c r="L91" i="15"/>
  <c r="L83" i="15"/>
  <c r="N74" i="15"/>
  <c r="L103" i="15"/>
  <c r="N94" i="15"/>
  <c r="M109" i="15"/>
  <c r="M102" i="15"/>
  <c r="M104" i="15"/>
  <c r="M105" i="15"/>
  <c r="N105" i="15" s="1"/>
  <c r="M106" i="15"/>
  <c r="M108" i="15"/>
  <c r="M103" i="15"/>
  <c r="M107" i="15"/>
  <c r="L107" i="15"/>
  <c r="N98" i="15"/>
  <c r="L106" i="15"/>
  <c r="N97" i="15"/>
  <c r="M113" i="15"/>
  <c r="M115" i="15"/>
  <c r="M116" i="15"/>
  <c r="M112" i="15"/>
  <c r="M114" i="15"/>
  <c r="N114" i="15" s="1"/>
  <c r="M117" i="15"/>
  <c r="M118" i="15"/>
  <c r="M111" i="15"/>
  <c r="M79" i="15"/>
  <c r="N79" i="15" s="1"/>
  <c r="M76" i="15"/>
  <c r="N76" i="15" s="1"/>
  <c r="M80" i="15"/>
  <c r="N80" i="15" s="1"/>
  <c r="M81" i="15"/>
  <c r="N81" i="15" s="1"/>
  <c r="M82" i="15"/>
  <c r="N82" i="15" s="1"/>
  <c r="M78" i="15"/>
  <c r="N78" i="15" s="1"/>
  <c r="M77" i="15"/>
  <c r="N77" i="15" s="1"/>
  <c r="M75" i="15"/>
  <c r="N75" i="15" s="1"/>
  <c r="M89" i="15"/>
  <c r="N89" i="15" s="1"/>
  <c r="M90" i="15"/>
  <c r="N90" i="15" s="1"/>
  <c r="M91" i="15"/>
  <c r="M84" i="15"/>
  <c r="N84" i="15" s="1"/>
  <c r="M85" i="15"/>
  <c r="N85" i="15" s="1"/>
  <c r="M86" i="15"/>
  <c r="N86" i="15" s="1"/>
  <c r="M87" i="15"/>
  <c r="N87" i="15" s="1"/>
  <c r="M88" i="15"/>
  <c r="N88" i="15" s="1"/>
  <c r="L99" i="15"/>
  <c r="U48" i="15"/>
  <c r="AG48" i="15"/>
  <c r="AF48" i="15"/>
  <c r="AE48" i="15"/>
  <c r="R48" i="15"/>
  <c r="AH48" i="15"/>
  <c r="AI48" i="15"/>
  <c r="T48" i="15"/>
  <c r="S48" i="15"/>
  <c r="AA52" i="15"/>
  <c r="AA93" i="15" s="1"/>
  <c r="AB52" i="15"/>
  <c r="AB96" i="15" s="1"/>
  <c r="AD52" i="15"/>
  <c r="AD93" i="15" s="1"/>
  <c r="AE52" i="15"/>
  <c r="AE120" i="15" s="1"/>
  <c r="Y52" i="15"/>
  <c r="Y93" i="15" s="1"/>
  <c r="Z52" i="15"/>
  <c r="Z95" i="15" s="1"/>
  <c r="AC52" i="15"/>
  <c r="AC98" i="15" s="1"/>
  <c r="AF52" i="15"/>
  <c r="AF98" i="15" s="1"/>
  <c r="X52" i="15"/>
  <c r="X121" i="15" s="1"/>
  <c r="R52" i="15"/>
  <c r="R125" i="15" s="1"/>
  <c r="W52" i="15"/>
  <c r="W125" i="15" s="1"/>
  <c r="AH52" i="15"/>
  <c r="AH93" i="15" s="1"/>
  <c r="AG52" i="15"/>
  <c r="AG99" i="15" s="1"/>
  <c r="P52" i="15"/>
  <c r="P125" i="15" s="1"/>
  <c r="U52" i="15"/>
  <c r="U96" i="15" s="1"/>
  <c r="T52" i="15"/>
  <c r="T93" i="15" s="1"/>
  <c r="S52" i="15"/>
  <c r="S93" i="15" s="1"/>
  <c r="Q52" i="15"/>
  <c r="Q79" i="15" s="1"/>
  <c r="AI52" i="15"/>
  <c r="AI123" i="15" s="1"/>
  <c r="V52" i="15"/>
  <c r="V98" i="15" s="1"/>
  <c r="W48" i="15"/>
  <c r="P48" i="15"/>
  <c r="X48" i="15"/>
  <c r="V48" i="15"/>
  <c r="AC48" i="15"/>
  <c r="AA48" i="15"/>
  <c r="AB48" i="15"/>
  <c r="Z48" i="15"/>
  <c r="Z86" i="15" s="1"/>
  <c r="AD48" i="15"/>
  <c r="Y48" i="15"/>
  <c r="Q65" i="14"/>
  <c r="T69" i="14"/>
  <c r="V65" i="14"/>
  <c r="N65" i="14"/>
  <c r="AB65" i="14"/>
  <c r="L65" i="14"/>
  <c r="L115" i="14"/>
  <c r="AB115" i="14"/>
  <c r="O115" i="14"/>
  <c r="P115" i="14"/>
  <c r="S115" i="14"/>
  <c r="V115" i="14"/>
  <c r="X115" i="14"/>
  <c r="M115" i="14"/>
  <c r="N115" i="14"/>
  <c r="I115" i="14"/>
  <c r="Q115" i="14"/>
  <c r="R115" i="14"/>
  <c r="J115" i="14"/>
  <c r="K115" i="14"/>
  <c r="Y115" i="14"/>
  <c r="AA115" i="14"/>
  <c r="T115" i="14"/>
  <c r="Z115" i="14"/>
  <c r="U115" i="14"/>
  <c r="W115" i="14"/>
  <c r="Q107" i="14"/>
  <c r="S107" i="14"/>
  <c r="U107" i="14"/>
  <c r="R107" i="14"/>
  <c r="T107" i="14"/>
  <c r="V107" i="14"/>
  <c r="K107" i="14"/>
  <c r="W107" i="14"/>
  <c r="N107" i="14"/>
  <c r="X107" i="14"/>
  <c r="I107" i="14"/>
  <c r="Y107" i="14"/>
  <c r="P107" i="14"/>
  <c r="J107" i="14"/>
  <c r="Z107" i="14"/>
  <c r="AA107" i="14"/>
  <c r="L107" i="14"/>
  <c r="AB107" i="14"/>
  <c r="O107" i="14"/>
  <c r="M107" i="14"/>
  <c r="P114" i="14"/>
  <c r="R114" i="14"/>
  <c r="Q114" i="14"/>
  <c r="S114" i="14"/>
  <c r="M114" i="14"/>
  <c r="N114" i="14"/>
  <c r="T114" i="14"/>
  <c r="O114" i="14"/>
  <c r="U114" i="14"/>
  <c r="V114" i="14"/>
  <c r="J114" i="14"/>
  <c r="L114" i="14"/>
  <c r="W114" i="14"/>
  <c r="X114" i="14"/>
  <c r="Y114" i="14"/>
  <c r="Z114" i="14"/>
  <c r="AB114" i="14"/>
  <c r="I114" i="14"/>
  <c r="K114" i="14"/>
  <c r="AA114" i="14"/>
  <c r="X111" i="14"/>
  <c r="Z111" i="14"/>
  <c r="AA111" i="14"/>
  <c r="Y111" i="14"/>
  <c r="J111" i="14"/>
  <c r="K111" i="14"/>
  <c r="AB111" i="14"/>
  <c r="O111" i="14"/>
  <c r="R111" i="14"/>
  <c r="V111" i="14"/>
  <c r="L111" i="14"/>
  <c r="M111" i="14"/>
  <c r="N111" i="14"/>
  <c r="T111" i="14"/>
  <c r="P111" i="14"/>
  <c r="Q111" i="14"/>
  <c r="U111" i="14"/>
  <c r="W111" i="14"/>
  <c r="S111" i="14"/>
  <c r="Y116" i="14"/>
  <c r="Y112" i="14"/>
  <c r="X116" i="14"/>
  <c r="X112" i="14"/>
  <c r="Z67" i="14"/>
  <c r="O67" i="14"/>
  <c r="N67" i="14"/>
  <c r="O60" i="14"/>
  <c r="O68" i="14"/>
  <c r="J67" i="14"/>
  <c r="AA60" i="14"/>
  <c r="M64" i="14"/>
  <c r="M68" i="14"/>
  <c r="AA116" i="14"/>
  <c r="AA112" i="14"/>
  <c r="V112" i="14"/>
  <c r="V116" i="14"/>
  <c r="N64" i="14"/>
  <c r="Z116" i="14"/>
  <c r="Z112" i="14"/>
  <c r="Q68" i="14"/>
  <c r="N60" i="14"/>
  <c r="N68" i="14"/>
  <c r="I68" i="14"/>
  <c r="AA64" i="14"/>
  <c r="K64" i="14"/>
  <c r="W67" i="14"/>
  <c r="AA68" i="14"/>
  <c r="K68" i="14"/>
  <c r="L67" i="14"/>
  <c r="M60" i="14"/>
  <c r="K60" i="14"/>
  <c r="I67" i="14"/>
  <c r="AB67" i="14"/>
  <c r="AB68" i="14"/>
  <c r="V67" i="14"/>
  <c r="Y68" i="14"/>
  <c r="K67" i="14"/>
  <c r="L60" i="14"/>
  <c r="U112" i="14"/>
  <c r="U116" i="14"/>
  <c r="Y67" i="14"/>
  <c r="Z60" i="14"/>
  <c r="L64" i="14"/>
  <c r="Y60" i="14"/>
  <c r="J68" i="14"/>
  <c r="M116" i="14"/>
  <c r="M112" i="14"/>
  <c r="W60" i="14"/>
  <c r="Y64" i="14"/>
  <c r="U67" i="14"/>
  <c r="P116" i="14"/>
  <c r="P112" i="14"/>
  <c r="X64" i="14"/>
  <c r="AA65" i="14"/>
  <c r="K65" i="14"/>
  <c r="T67" i="14"/>
  <c r="X68" i="14"/>
  <c r="M67" i="14"/>
  <c r="P68" i="14"/>
  <c r="L68" i="14"/>
  <c r="R112" i="14"/>
  <c r="R116" i="14"/>
  <c r="L116" i="14"/>
  <c r="L112" i="14"/>
  <c r="U60" i="14"/>
  <c r="W64" i="14"/>
  <c r="Z65" i="14"/>
  <c r="S67" i="14"/>
  <c r="W68" i="14"/>
  <c r="AA69" i="14"/>
  <c r="I60" i="14"/>
  <c r="I116" i="14"/>
  <c r="I112" i="14"/>
  <c r="I65" i="14"/>
  <c r="Z68" i="14"/>
  <c r="Q116" i="14"/>
  <c r="Q112" i="14"/>
  <c r="I69" i="14"/>
  <c r="K116" i="14"/>
  <c r="K112" i="14"/>
  <c r="J116" i="14"/>
  <c r="J112" i="14"/>
  <c r="T60" i="14"/>
  <c r="V64" i="14"/>
  <c r="Y65" i="14"/>
  <c r="R67" i="14"/>
  <c r="V68" i="14"/>
  <c r="Z69" i="14"/>
  <c r="J69" i="14"/>
  <c r="R68" i="14"/>
  <c r="W112" i="14"/>
  <c r="W116" i="14"/>
  <c r="AA67" i="14"/>
  <c r="J64" i="14"/>
  <c r="J60" i="14"/>
  <c r="X67" i="14"/>
  <c r="S116" i="14"/>
  <c r="S112" i="14"/>
  <c r="X60" i="14"/>
  <c r="Z64" i="14"/>
  <c r="M69" i="14"/>
  <c r="O116" i="14"/>
  <c r="O112" i="14"/>
  <c r="N112" i="14"/>
  <c r="N116" i="14"/>
  <c r="S60" i="14"/>
  <c r="U64" i="14"/>
  <c r="X65" i="14"/>
  <c r="Q67" i="14"/>
  <c r="U68" i="14"/>
  <c r="Y69" i="14"/>
  <c r="P60" i="14"/>
  <c r="O64" i="14"/>
  <c r="AB60" i="14"/>
  <c r="T112" i="14"/>
  <c r="T116" i="14"/>
  <c r="AB64" i="14"/>
  <c r="V60" i="14"/>
  <c r="AB116" i="14"/>
  <c r="AB112" i="14"/>
  <c r="R60" i="14"/>
  <c r="T64" i="14"/>
  <c r="W65" i="14"/>
  <c r="P67" i="14"/>
  <c r="T68" i="14"/>
  <c r="X69" i="14"/>
  <c r="I55" i="14"/>
  <c r="J55" i="14"/>
  <c r="K55" i="14"/>
  <c r="L55" i="14"/>
  <c r="M55" i="14"/>
  <c r="N55" i="14"/>
  <c r="O55" i="14"/>
  <c r="P55" i="14"/>
  <c r="Q55" i="14"/>
  <c r="R55" i="14"/>
  <c r="S55" i="14"/>
  <c r="T55" i="14"/>
  <c r="U55" i="14"/>
  <c r="V55" i="14"/>
  <c r="W55" i="14"/>
  <c r="X55" i="14"/>
  <c r="Y55" i="14"/>
  <c r="Z55" i="14"/>
  <c r="AA55" i="14"/>
  <c r="AB55" i="14"/>
  <c r="B59" i="14"/>
  <c r="B58" i="14"/>
  <c r="H49" i="14"/>
  <c r="D48" i="14"/>
  <c r="D47" i="14"/>
  <c r="F29" i="14"/>
  <c r="F26" i="14"/>
  <c r="F25" i="14"/>
  <c r="N24" i="14"/>
  <c r="G14" i="14"/>
  <c r="H48" i="14" s="1"/>
  <c r="B14" i="14"/>
  <c r="B11" i="14"/>
  <c r="B10" i="14"/>
  <c r="B9" i="14"/>
  <c r="AB81" i="14" s="1"/>
  <c r="B8" i="14"/>
  <c r="B7" i="14"/>
  <c r="G11" i="14" s="1"/>
  <c r="H10" i="14" s="1"/>
  <c r="N306" i="4"/>
  <c r="M306" i="4"/>
  <c r="L306" i="4"/>
  <c r="M305" i="4"/>
  <c r="L305" i="4"/>
  <c r="K306" i="4"/>
  <c r="J273" i="4"/>
  <c r="J274" i="4"/>
  <c r="J285" i="4" s="1"/>
  <c r="J275" i="4"/>
  <c r="J286" i="4" s="1"/>
  <c r="O289" i="4"/>
  <c r="O285" i="4"/>
  <c r="O286" i="4"/>
  <c r="O287" i="4"/>
  <c r="O288" i="4"/>
  <c r="O284" i="4"/>
  <c r="N285" i="4"/>
  <c r="N286" i="4"/>
  <c r="N287" i="4"/>
  <c r="N288" i="4"/>
  <c r="N284" i="4"/>
  <c r="M285" i="4"/>
  <c r="M286" i="4"/>
  <c r="M287" i="4"/>
  <c r="M288" i="4"/>
  <c r="M284" i="4"/>
  <c r="J287" i="4"/>
  <c r="J288" i="4"/>
  <c r="J284" i="4"/>
  <c r="U253" i="4"/>
  <c r="U254" i="4"/>
  <c r="U255" i="4"/>
  <c r="U256" i="4"/>
  <c r="U252" i="4"/>
  <c r="T253" i="4"/>
  <c r="T254" i="4"/>
  <c r="T255" i="4"/>
  <c r="T256" i="4"/>
  <c r="S253" i="4"/>
  <c r="S254" i="4"/>
  <c r="S255" i="4"/>
  <c r="S256" i="4"/>
  <c r="R253" i="4"/>
  <c r="R254" i="4"/>
  <c r="R256" i="4"/>
  <c r="S252" i="4"/>
  <c r="R252" i="4"/>
  <c r="O260" i="4"/>
  <c r="O261" i="4"/>
  <c r="O262" i="4"/>
  <c r="O263" i="4"/>
  <c r="O259" i="4"/>
  <c r="Q253" i="4"/>
  <c r="Q254" i="4"/>
  <c r="Q255" i="4"/>
  <c r="Q256" i="4"/>
  <c r="Q252" i="4"/>
  <c r="P253" i="4"/>
  <c r="P254" i="4"/>
  <c r="P256" i="4"/>
  <c r="P252" i="4"/>
  <c r="H190" i="4"/>
  <c r="L158" i="4"/>
  <c r="L157" i="4"/>
  <c r="L156" i="4"/>
  <c r="H196" i="4"/>
  <c r="L155" i="4"/>
  <c r="M155" i="4" s="1"/>
  <c r="L154" i="4"/>
  <c r="K159" i="4"/>
  <c r="N156" i="4"/>
  <c r="N153" i="4"/>
  <c r="M157" i="4"/>
  <c r="N157" i="4" s="1"/>
  <c r="M156" i="4"/>
  <c r="M154" i="4"/>
  <c r="N154" i="4" s="1"/>
  <c r="N260" i="4"/>
  <c r="N261" i="4"/>
  <c r="N263" i="4"/>
  <c r="N259" i="4"/>
  <c r="V119" i="15" l="1"/>
  <c r="U119" i="15"/>
  <c r="AA123" i="15"/>
  <c r="AI125" i="15"/>
  <c r="S123" i="15"/>
  <c r="P119" i="15"/>
  <c r="AA125" i="15"/>
  <c r="S121" i="15"/>
  <c r="U127" i="15"/>
  <c r="S125" i="15"/>
  <c r="Q127" i="15"/>
  <c r="Q119" i="15"/>
  <c r="AG123" i="15"/>
  <c r="U126" i="15"/>
  <c r="P126" i="15"/>
  <c r="AI120" i="15"/>
  <c r="X126" i="15"/>
  <c r="AB126" i="15"/>
  <c r="AD119" i="15"/>
  <c r="AI127" i="15"/>
  <c r="V124" i="15"/>
  <c r="R123" i="15"/>
  <c r="AH121" i="15"/>
  <c r="AF123" i="15"/>
  <c r="AH119" i="15"/>
  <c r="R122" i="15"/>
  <c r="AF122" i="15"/>
  <c r="AC119" i="15"/>
  <c r="Z125" i="15"/>
  <c r="AF124" i="15"/>
  <c r="AC126" i="15"/>
  <c r="AF125" i="15"/>
  <c r="AA120" i="15"/>
  <c r="V122" i="15"/>
  <c r="AG127" i="15"/>
  <c r="U121" i="15"/>
  <c r="Q120" i="15"/>
  <c r="R126" i="15"/>
  <c r="W124" i="15"/>
  <c r="Z124" i="15"/>
  <c r="AH124" i="15"/>
  <c r="W121" i="15"/>
  <c r="AH126" i="15"/>
  <c r="AH120" i="15"/>
  <c r="R124" i="15"/>
  <c r="X123" i="15"/>
  <c r="AC121" i="15"/>
  <c r="X124" i="15"/>
  <c r="AF119" i="15"/>
  <c r="V125" i="15"/>
  <c r="Z119" i="15"/>
  <c r="S127" i="15"/>
  <c r="AF126" i="15"/>
  <c r="T120" i="15"/>
  <c r="W127" i="15"/>
  <c r="Q125" i="15"/>
  <c r="R127" i="15"/>
  <c r="R120" i="15"/>
  <c r="X120" i="15"/>
  <c r="W126" i="15"/>
  <c r="X122" i="15"/>
  <c r="R121" i="15"/>
  <c r="W119" i="15"/>
  <c r="AH125" i="15"/>
  <c r="Z126" i="15"/>
  <c r="X127" i="15"/>
  <c r="AH84" i="15"/>
  <c r="W123" i="15"/>
  <c r="T123" i="15"/>
  <c r="AC123" i="15"/>
  <c r="S119" i="15"/>
  <c r="U125" i="15"/>
  <c r="AH122" i="15"/>
  <c r="AA121" i="15"/>
  <c r="V120" i="15"/>
  <c r="Q123" i="15"/>
  <c r="V126" i="15"/>
  <c r="AD120" i="15"/>
  <c r="Y122" i="15"/>
  <c r="Y123" i="15"/>
  <c r="Q121" i="15"/>
  <c r="Y126" i="15"/>
  <c r="AB120" i="15"/>
  <c r="AA126" i="15"/>
  <c r="AG119" i="15"/>
  <c r="Q122" i="15"/>
  <c r="V127" i="15"/>
  <c r="AE119" i="15"/>
  <c r="AI126" i="15"/>
  <c r="AI121" i="15"/>
  <c r="S124" i="15"/>
  <c r="AE126" i="15"/>
  <c r="T126" i="15"/>
  <c r="AB123" i="15"/>
  <c r="W122" i="15"/>
  <c r="S120" i="15"/>
  <c r="W120" i="15"/>
  <c r="AB124" i="15"/>
  <c r="P124" i="15"/>
  <c r="AI124" i="15"/>
  <c r="AE122" i="15"/>
  <c r="AB122" i="15"/>
  <c r="AE123" i="15"/>
  <c r="T124" i="15"/>
  <c r="V123" i="15"/>
  <c r="P121" i="15"/>
  <c r="Y124" i="15"/>
  <c r="AE124" i="15"/>
  <c r="AA122" i="15"/>
  <c r="V121" i="15"/>
  <c r="R119" i="15"/>
  <c r="Y127" i="15"/>
  <c r="Z122" i="15"/>
  <c r="T127" i="15"/>
  <c r="AH123" i="15"/>
  <c r="AD121" i="15"/>
  <c r="Y125" i="15"/>
  <c r="AB127" i="15"/>
  <c r="AI119" i="15"/>
  <c r="AA119" i="15"/>
  <c r="AD125" i="15"/>
  <c r="AG126" i="15"/>
  <c r="AD123" i="15"/>
  <c r="Z121" i="15"/>
  <c r="U120" i="15"/>
  <c r="AA124" i="15"/>
  <c r="Y121" i="15"/>
  <c r="S126" i="15"/>
  <c r="AG122" i="15"/>
  <c r="AC120" i="15"/>
  <c r="AE125" i="15"/>
  <c r="AD124" i="15"/>
  <c r="Y119" i="15"/>
  <c r="AE127" i="15"/>
  <c r="AH127" i="15"/>
  <c r="U122" i="15"/>
  <c r="AG124" i="15"/>
  <c r="T121" i="15"/>
  <c r="AG120" i="15"/>
  <c r="AC122" i="15"/>
  <c r="Y120" i="15"/>
  <c r="T119" i="15"/>
  <c r="AC125" i="15"/>
  <c r="U123" i="15"/>
  <c r="AB125" i="15"/>
  <c r="AF121" i="15"/>
  <c r="AB119" i="15"/>
  <c r="AD127" i="15"/>
  <c r="AE121" i="15"/>
  <c r="AD122" i="15"/>
  <c r="T125" i="15"/>
  <c r="Q126" i="15"/>
  <c r="AD126" i="15"/>
  <c r="AB121" i="15"/>
  <c r="X119" i="15"/>
  <c r="AA127" i="15"/>
  <c r="Z123" i="15"/>
  <c r="T122" i="15"/>
  <c r="Q124" i="15"/>
  <c r="L116" i="15"/>
  <c r="N107" i="15"/>
  <c r="L112" i="15"/>
  <c r="N103" i="15"/>
  <c r="L92" i="15"/>
  <c r="AE92" i="15" s="1"/>
  <c r="N83" i="15"/>
  <c r="AB90" i="15"/>
  <c r="N104" i="15"/>
  <c r="L113" i="15"/>
  <c r="L100" i="15"/>
  <c r="W100" i="15" s="1"/>
  <c r="N91" i="15"/>
  <c r="R92" i="15"/>
  <c r="L108" i="15"/>
  <c r="AH108" i="15" s="1"/>
  <c r="N99" i="15"/>
  <c r="AE100" i="15"/>
  <c r="L115" i="15"/>
  <c r="N106" i="15"/>
  <c r="L102" i="15"/>
  <c r="X102" i="15" s="1"/>
  <c r="N93" i="15"/>
  <c r="AI86" i="15"/>
  <c r="AB85" i="15"/>
  <c r="AD94" i="15"/>
  <c r="AD86" i="15"/>
  <c r="Q87" i="15"/>
  <c r="V88" i="15"/>
  <c r="S95" i="15"/>
  <c r="AB92" i="15"/>
  <c r="Q80" i="15"/>
  <c r="Q74" i="15"/>
  <c r="V100" i="15"/>
  <c r="V95" i="15"/>
  <c r="T100" i="15"/>
  <c r="S100" i="15"/>
  <c r="S90" i="15"/>
  <c r="S97" i="15"/>
  <c r="T89" i="15"/>
  <c r="P95" i="15"/>
  <c r="Q98" i="15"/>
  <c r="AF90" i="15"/>
  <c r="AB97" i="15"/>
  <c r="V94" i="15"/>
  <c r="T85" i="15"/>
  <c r="V90" i="15"/>
  <c r="S92" i="15"/>
  <c r="T90" i="15"/>
  <c r="Q95" i="15"/>
  <c r="AB93" i="15"/>
  <c r="AA92" i="15"/>
  <c r="AG85" i="15"/>
  <c r="AF87" i="15"/>
  <c r="Q99" i="15"/>
  <c r="AD99" i="15"/>
  <c r="U87" i="15"/>
  <c r="Q94" i="15"/>
  <c r="S84" i="15"/>
  <c r="R97" i="15"/>
  <c r="AA96" i="15"/>
  <c r="AI84" i="15"/>
  <c r="Q91" i="15"/>
  <c r="AA91" i="15"/>
  <c r="V83" i="15"/>
  <c r="S96" i="15"/>
  <c r="AE95" i="15"/>
  <c r="Q86" i="15"/>
  <c r="AI87" i="15"/>
  <c r="Q83" i="15"/>
  <c r="V99" i="15"/>
  <c r="AD84" i="15"/>
  <c r="V87" i="15"/>
  <c r="Y95" i="15"/>
  <c r="AI85" i="15"/>
  <c r="S91" i="15"/>
  <c r="P100" i="15"/>
  <c r="AB99" i="15"/>
  <c r="AI97" i="15"/>
  <c r="P94" i="15"/>
  <c r="V84" i="15"/>
  <c r="AA97" i="15"/>
  <c r="X83" i="15"/>
  <c r="AI89" i="15"/>
  <c r="S99" i="15"/>
  <c r="AA87" i="15"/>
  <c r="Q88" i="15"/>
  <c r="Q89" i="15"/>
  <c r="AI92" i="15"/>
  <c r="AA98" i="15"/>
  <c r="V89" i="15"/>
  <c r="Q75" i="15"/>
  <c r="Q97" i="15"/>
  <c r="S94" i="15"/>
  <c r="S88" i="15"/>
  <c r="Q76" i="15"/>
  <c r="P96" i="15"/>
  <c r="U89" i="15"/>
  <c r="AC84" i="15"/>
  <c r="AH90" i="15"/>
  <c r="AC86" i="15"/>
  <c r="AE98" i="15"/>
  <c r="V93" i="15"/>
  <c r="AH86" i="15"/>
  <c r="Z97" i="15"/>
  <c r="Y96" i="15"/>
  <c r="AI96" i="15"/>
  <c r="AD97" i="15"/>
  <c r="AA88" i="15"/>
  <c r="V91" i="15"/>
  <c r="AI90" i="15"/>
  <c r="AB95" i="15"/>
  <c r="AB98" i="15"/>
  <c r="AC95" i="15"/>
  <c r="AC91" i="15"/>
  <c r="AH87" i="15"/>
  <c r="AH96" i="15"/>
  <c r="AG92" i="15"/>
  <c r="AG89" i="15"/>
  <c r="AA94" i="15"/>
  <c r="AE93" i="15"/>
  <c r="AD85" i="15"/>
  <c r="S83" i="15"/>
  <c r="AD98" i="15"/>
  <c r="AB84" i="15"/>
  <c r="AI93" i="15"/>
  <c r="Y99" i="15"/>
  <c r="Z83" i="15"/>
  <c r="Q96" i="15"/>
  <c r="AA95" i="15"/>
  <c r="V96" i="15"/>
  <c r="X91" i="15"/>
  <c r="AG83" i="15"/>
  <c r="Z92" i="15"/>
  <c r="AG88" i="15"/>
  <c r="Z100" i="15"/>
  <c r="AI88" i="15"/>
  <c r="S85" i="15"/>
  <c r="AH91" i="15"/>
  <c r="R91" i="15"/>
  <c r="S87" i="15"/>
  <c r="S89" i="15"/>
  <c r="Q78" i="15"/>
  <c r="P97" i="15"/>
  <c r="Z94" i="15"/>
  <c r="AD90" i="15"/>
  <c r="AE89" i="15"/>
  <c r="AF83" i="15"/>
  <c r="AG86" i="15"/>
  <c r="AI95" i="15"/>
  <c r="AI99" i="15"/>
  <c r="AF88" i="15"/>
  <c r="Z90" i="15"/>
  <c r="Q84" i="15"/>
  <c r="Q82" i="15"/>
  <c r="Q93" i="15"/>
  <c r="AH98" i="15"/>
  <c r="AG97" i="15"/>
  <c r="W105" i="15"/>
  <c r="W104" i="15"/>
  <c r="W103" i="15"/>
  <c r="W106" i="15"/>
  <c r="W107" i="15"/>
  <c r="X87" i="15"/>
  <c r="R96" i="15"/>
  <c r="X97" i="15"/>
  <c r="U94" i="15"/>
  <c r="AE90" i="15"/>
  <c r="AE53" i="15"/>
  <c r="AE54" i="15" s="1"/>
  <c r="AE107" i="15"/>
  <c r="AE106" i="15"/>
  <c r="AE104" i="15"/>
  <c r="AE103" i="15"/>
  <c r="AE105" i="15"/>
  <c r="AC87" i="15"/>
  <c r="AC93" i="15"/>
  <c r="R87" i="15"/>
  <c r="Y53" i="15"/>
  <c r="Y54" i="15" s="1"/>
  <c r="Y55" i="15" s="1"/>
  <c r="Y59" i="15" s="1"/>
  <c r="Y80" i="15"/>
  <c r="Y79" i="15"/>
  <c r="Y78" i="15"/>
  <c r="Y77" i="15"/>
  <c r="Y76" i="15"/>
  <c r="Y75" i="15"/>
  <c r="Y82" i="15"/>
  <c r="Y81" i="15"/>
  <c r="Y74" i="15"/>
  <c r="R84" i="15"/>
  <c r="AB53" i="15"/>
  <c r="AB54" i="15" s="1"/>
  <c r="AB55" i="15" s="1"/>
  <c r="AB59" i="15" s="1"/>
  <c r="AB82" i="15"/>
  <c r="AB80" i="15"/>
  <c r="AB79" i="15"/>
  <c r="AB78" i="15"/>
  <c r="AB77" i="15"/>
  <c r="AB76" i="15"/>
  <c r="AB74" i="15"/>
  <c r="AB75" i="15"/>
  <c r="AB81" i="15"/>
  <c r="Z91" i="15"/>
  <c r="W88" i="15"/>
  <c r="AC99" i="15"/>
  <c r="Y84" i="15"/>
  <c r="Y90" i="15"/>
  <c r="R88" i="15"/>
  <c r="AA53" i="15"/>
  <c r="AA54" i="15" s="1"/>
  <c r="AA55" i="15" s="1"/>
  <c r="AA59" i="15" s="1"/>
  <c r="AA81" i="15"/>
  <c r="AA80" i="15"/>
  <c r="AA79" i="15"/>
  <c r="AA78" i="15"/>
  <c r="AA77" i="15"/>
  <c r="AA76" i="15"/>
  <c r="AA74" i="15"/>
  <c r="AA82" i="15"/>
  <c r="AA75" i="15"/>
  <c r="X90" i="15"/>
  <c r="Y107" i="15"/>
  <c r="Y106" i="15"/>
  <c r="Y105" i="15"/>
  <c r="Y104" i="15"/>
  <c r="Y103" i="15"/>
  <c r="Y108" i="15"/>
  <c r="AF85" i="15"/>
  <c r="X86" i="15"/>
  <c r="U97" i="15"/>
  <c r="U98" i="15"/>
  <c r="U85" i="15"/>
  <c r="X80" i="15"/>
  <c r="X78" i="15"/>
  <c r="X77" i="15"/>
  <c r="X76" i="15"/>
  <c r="X75" i="15"/>
  <c r="X74" i="15"/>
  <c r="X79" i="15"/>
  <c r="X82" i="15"/>
  <c r="X81" i="15"/>
  <c r="AD103" i="15"/>
  <c r="AD107" i="15"/>
  <c r="AD106" i="15"/>
  <c r="AD104" i="15"/>
  <c r="AD105" i="15"/>
  <c r="AB87" i="15"/>
  <c r="U91" i="15"/>
  <c r="AA85" i="15"/>
  <c r="AA86" i="15"/>
  <c r="T84" i="15"/>
  <c r="T96" i="15"/>
  <c r="P75" i="15"/>
  <c r="P76" i="15"/>
  <c r="P77" i="15"/>
  <c r="P78" i="15"/>
  <c r="P79" i="15"/>
  <c r="P80" i="15"/>
  <c r="P81" i="15"/>
  <c r="P74" i="15"/>
  <c r="P82" i="15"/>
  <c r="AB107" i="15"/>
  <c r="AB106" i="15"/>
  <c r="AB105" i="15"/>
  <c r="AB104" i="15"/>
  <c r="AB103" i="15"/>
  <c r="AB89" i="15"/>
  <c r="R85" i="15"/>
  <c r="AH85" i="15"/>
  <c r="W83" i="15"/>
  <c r="Y85" i="15"/>
  <c r="R83" i="15"/>
  <c r="AI94" i="15"/>
  <c r="R99" i="15"/>
  <c r="P99" i="15"/>
  <c r="R95" i="15"/>
  <c r="Z93" i="15"/>
  <c r="Z96" i="15"/>
  <c r="W79" i="15"/>
  <c r="W78" i="15"/>
  <c r="W77" i="15"/>
  <c r="W76" i="15"/>
  <c r="W75" i="15"/>
  <c r="W74" i="15"/>
  <c r="W81" i="15"/>
  <c r="W80" i="15"/>
  <c r="W82" i="15"/>
  <c r="AA106" i="15"/>
  <c r="AA105" i="15"/>
  <c r="AA104" i="15"/>
  <c r="AA103" i="15"/>
  <c r="AA107" i="15"/>
  <c r="W87" i="15"/>
  <c r="X89" i="15"/>
  <c r="AH83" i="15"/>
  <c r="AF84" i="15"/>
  <c r="U90" i="15"/>
  <c r="Q90" i="15"/>
  <c r="W84" i="15"/>
  <c r="AH94" i="15"/>
  <c r="P93" i="15"/>
  <c r="T98" i="15"/>
  <c r="AH99" i="15"/>
  <c r="Y92" i="15"/>
  <c r="X94" i="15"/>
  <c r="AD53" i="15"/>
  <c r="AD81" i="15"/>
  <c r="AD80" i="15"/>
  <c r="AD79" i="15"/>
  <c r="AD78" i="15"/>
  <c r="AD77" i="15"/>
  <c r="AD74" i="15"/>
  <c r="AD82" i="15"/>
  <c r="AD75" i="15"/>
  <c r="AD76" i="15"/>
  <c r="W94" i="15"/>
  <c r="Z107" i="15"/>
  <c r="Z106" i="15"/>
  <c r="Z105" i="15"/>
  <c r="Z103" i="15"/>
  <c r="Z104" i="15"/>
  <c r="AF92" i="15"/>
  <c r="AE88" i="15"/>
  <c r="AC96" i="15"/>
  <c r="T88" i="15"/>
  <c r="X106" i="15"/>
  <c r="X105" i="15"/>
  <c r="X104" i="15"/>
  <c r="X103" i="15"/>
  <c r="X108" i="15"/>
  <c r="X107" i="15"/>
  <c r="AC103" i="15"/>
  <c r="AC107" i="15"/>
  <c r="AC106" i="15"/>
  <c r="AC105" i="15"/>
  <c r="AC104" i="15"/>
  <c r="W97" i="15"/>
  <c r="R53" i="15"/>
  <c r="R54" i="15" s="1"/>
  <c r="R105" i="15"/>
  <c r="R104" i="15"/>
  <c r="R108" i="15"/>
  <c r="R103" i="15"/>
  <c r="R107" i="15"/>
  <c r="R102" i="15"/>
  <c r="R106" i="15"/>
  <c r="Z53" i="15"/>
  <c r="Z54" i="15" s="1"/>
  <c r="Z55" i="15" s="1"/>
  <c r="Z59" i="15" s="1"/>
  <c r="Z81" i="15"/>
  <c r="Z78" i="15"/>
  <c r="Z79" i="15"/>
  <c r="Z76" i="15"/>
  <c r="Z77" i="15"/>
  <c r="Z75" i="15"/>
  <c r="Z74" i="15"/>
  <c r="Z82" i="15"/>
  <c r="Z80" i="15"/>
  <c r="X98" i="15"/>
  <c r="AC90" i="15"/>
  <c r="AB88" i="15"/>
  <c r="AF96" i="15"/>
  <c r="U88" i="15"/>
  <c r="AG84" i="15"/>
  <c r="R94" i="15"/>
  <c r="AF89" i="15"/>
  <c r="R98" i="15"/>
  <c r="X85" i="15"/>
  <c r="Z87" i="15"/>
  <c r="AC82" i="15"/>
  <c r="AC81" i="15"/>
  <c r="AC80" i="15"/>
  <c r="AC79" i="15"/>
  <c r="AC78" i="15"/>
  <c r="AC77" i="15"/>
  <c r="AC74" i="15"/>
  <c r="AC75" i="15"/>
  <c r="AC76" i="15"/>
  <c r="U95" i="15"/>
  <c r="V53" i="15"/>
  <c r="V79" i="15"/>
  <c r="V77" i="15"/>
  <c r="V76" i="15"/>
  <c r="V75" i="15"/>
  <c r="V74" i="15"/>
  <c r="V81" i="15"/>
  <c r="V78" i="15"/>
  <c r="V80" i="15"/>
  <c r="V82" i="15"/>
  <c r="AE87" i="15"/>
  <c r="V85" i="15"/>
  <c r="T97" i="15"/>
  <c r="T99" i="15"/>
  <c r="AH95" i="15"/>
  <c r="T94" i="15"/>
  <c r="AC89" i="15"/>
  <c r="AB83" i="15"/>
  <c r="V106" i="15"/>
  <c r="V105" i="15"/>
  <c r="V104" i="15"/>
  <c r="V108" i="15"/>
  <c r="V107" i="15"/>
  <c r="V102" i="15"/>
  <c r="V103" i="15"/>
  <c r="S77" i="15"/>
  <c r="S76" i="15"/>
  <c r="S75" i="15"/>
  <c r="S74" i="15"/>
  <c r="S82" i="15"/>
  <c r="S81" i="15"/>
  <c r="S80" i="15"/>
  <c r="S78" i="15"/>
  <c r="S79" i="15"/>
  <c r="Y89" i="15"/>
  <c r="U86" i="15"/>
  <c r="V86" i="15"/>
  <c r="AD83" i="15"/>
  <c r="AG87" i="15"/>
  <c r="U83" i="15"/>
  <c r="AG94" i="15"/>
  <c r="Y98" i="15"/>
  <c r="AG95" i="15"/>
  <c r="P98" i="15"/>
  <c r="AG98" i="15"/>
  <c r="Y94" i="15"/>
  <c r="W93" i="15"/>
  <c r="X99" i="15"/>
  <c r="AI104" i="15"/>
  <c r="AI105" i="15"/>
  <c r="AI106" i="15"/>
  <c r="AI107" i="15"/>
  <c r="AI103" i="15"/>
  <c r="T78" i="15"/>
  <c r="T75" i="15"/>
  <c r="T76" i="15"/>
  <c r="T74" i="15"/>
  <c r="T82" i="15"/>
  <c r="T80" i="15"/>
  <c r="T81" i="15"/>
  <c r="T77" i="15"/>
  <c r="T79" i="15"/>
  <c r="S86" i="15"/>
  <c r="T86" i="15"/>
  <c r="AE91" i="15"/>
  <c r="Y91" i="15"/>
  <c r="AE85" i="15"/>
  <c r="AE86" i="15"/>
  <c r="AH89" i="15"/>
  <c r="AI91" i="15"/>
  <c r="AD92" i="15"/>
  <c r="AH92" i="15"/>
  <c r="AF97" i="15"/>
  <c r="X93" i="15"/>
  <c r="AB100" i="15"/>
  <c r="W98" i="15"/>
  <c r="Q53" i="15"/>
  <c r="Q105" i="15"/>
  <c r="Q104" i="15"/>
  <c r="Q103" i="15"/>
  <c r="Q107" i="15"/>
  <c r="Q106" i="15"/>
  <c r="AI74" i="15"/>
  <c r="AI75" i="15"/>
  <c r="AI77" i="15"/>
  <c r="AI78" i="15"/>
  <c r="AI79" i="15"/>
  <c r="AI76" i="15"/>
  <c r="AI80" i="15"/>
  <c r="AI81" i="15"/>
  <c r="AI82" i="15"/>
  <c r="AB91" i="15"/>
  <c r="AI83" i="15"/>
  <c r="AE83" i="15"/>
  <c r="W90" i="15"/>
  <c r="AA83" i="15"/>
  <c r="AC85" i="15"/>
  <c r="AG90" i="15"/>
  <c r="Q77" i="15"/>
  <c r="AI98" i="15"/>
  <c r="AE96" i="15"/>
  <c r="AD96" i="15"/>
  <c r="W92" i="15"/>
  <c r="AA99" i="15"/>
  <c r="V97" i="15"/>
  <c r="S104" i="15"/>
  <c r="S103" i="15"/>
  <c r="S108" i="15"/>
  <c r="S106" i="15"/>
  <c r="S105" i="15"/>
  <c r="S107" i="15"/>
  <c r="AH75" i="15"/>
  <c r="AH79" i="15"/>
  <c r="AH82" i="15"/>
  <c r="AH81" i="15"/>
  <c r="AH80" i="15"/>
  <c r="AH76" i="15"/>
  <c r="AH78" i="15"/>
  <c r="AH74" i="15"/>
  <c r="AH77" i="15"/>
  <c r="Z88" i="15"/>
  <c r="AG91" i="15"/>
  <c r="AD91" i="15"/>
  <c r="Q85" i="15"/>
  <c r="AA84" i="15"/>
  <c r="AD87" i="15"/>
  <c r="Q81" i="15"/>
  <c r="Z99" i="15"/>
  <c r="S98" i="15"/>
  <c r="AH97" i="15"/>
  <c r="AD95" i="15"/>
  <c r="AB94" i="15"/>
  <c r="Z98" i="15"/>
  <c r="AF53" i="15"/>
  <c r="AF54" i="15" s="1"/>
  <c r="AF55" i="15" s="1"/>
  <c r="AF59" i="15" s="1"/>
  <c r="AF103" i="15"/>
  <c r="AF107" i="15"/>
  <c r="AF106" i="15"/>
  <c r="AF104" i="15"/>
  <c r="AF105" i="15"/>
  <c r="Z84" i="15"/>
  <c r="AD89" i="15"/>
  <c r="X92" i="15"/>
  <c r="T105" i="15"/>
  <c r="T104" i="15"/>
  <c r="T103" i="15"/>
  <c r="T106" i="15"/>
  <c r="T107" i="15"/>
  <c r="R77" i="15"/>
  <c r="R75" i="15"/>
  <c r="R81" i="15"/>
  <c r="R74" i="15"/>
  <c r="R82" i="15"/>
  <c r="R76" i="15"/>
  <c r="R80" i="15"/>
  <c r="R78" i="15"/>
  <c r="R79" i="15"/>
  <c r="R86" i="15"/>
  <c r="W86" i="15"/>
  <c r="AA90" i="15"/>
  <c r="Y83" i="15"/>
  <c r="AB86" i="15"/>
  <c r="AC88" i="15"/>
  <c r="AG96" i="15"/>
  <c r="AC94" i="15"/>
  <c r="Y97" i="15"/>
  <c r="T95" i="15"/>
  <c r="X96" i="15"/>
  <c r="W91" i="15"/>
  <c r="X95" i="15"/>
  <c r="U53" i="15"/>
  <c r="U106" i="15"/>
  <c r="U105" i="15"/>
  <c r="U104" i="15"/>
  <c r="U103" i="15"/>
  <c r="U108" i="15"/>
  <c r="U107" i="15"/>
  <c r="AF91" i="15"/>
  <c r="Z85" i="15"/>
  <c r="AF95" i="15"/>
  <c r="P106" i="15"/>
  <c r="P107" i="15"/>
  <c r="P103" i="15"/>
  <c r="P104" i="15"/>
  <c r="P105" i="15"/>
  <c r="AF74" i="15"/>
  <c r="AF81" i="15"/>
  <c r="AF82" i="15"/>
  <c r="AF79" i="15"/>
  <c r="AF80" i="15"/>
  <c r="AF77" i="15"/>
  <c r="AF75" i="15"/>
  <c r="AF78" i="15"/>
  <c r="AF76" i="15"/>
  <c r="Y88" i="15"/>
  <c r="W89" i="15"/>
  <c r="R89" i="15"/>
  <c r="T91" i="15"/>
  <c r="X84" i="15"/>
  <c r="Y86" i="15"/>
  <c r="AE94" i="15"/>
  <c r="AE99" i="15"/>
  <c r="W95" i="15"/>
  <c r="R93" i="15"/>
  <c r="AE82" i="15"/>
  <c r="AE81" i="15"/>
  <c r="AE80" i="15"/>
  <c r="AE79" i="15"/>
  <c r="AE78" i="15"/>
  <c r="AE77" i="15"/>
  <c r="AE75" i="15"/>
  <c r="AE74" i="15"/>
  <c r="AE76" i="15"/>
  <c r="U99" i="15"/>
  <c r="AG74" i="15"/>
  <c r="AG82" i="15"/>
  <c r="AG81" i="15"/>
  <c r="AG80" i="15"/>
  <c r="AG79" i="15"/>
  <c r="AG78" i="15"/>
  <c r="AG75" i="15"/>
  <c r="AG77" i="15"/>
  <c r="AG76" i="15"/>
  <c r="AD88" i="15"/>
  <c r="AE84" i="15"/>
  <c r="R90" i="15"/>
  <c r="W85" i="15"/>
  <c r="AG93" i="15"/>
  <c r="AF94" i="15"/>
  <c r="AC100" i="15"/>
  <c r="X88" i="15"/>
  <c r="AF99" i="15"/>
  <c r="Y87" i="15"/>
  <c r="AG53" i="15"/>
  <c r="AG54" i="15" s="1"/>
  <c r="AG55" i="15" s="1"/>
  <c r="AG59" i="15" s="1"/>
  <c r="AG105" i="15"/>
  <c r="AG106" i="15"/>
  <c r="AG107" i="15"/>
  <c r="AG104" i="15"/>
  <c r="AG103" i="15"/>
  <c r="AH106" i="15"/>
  <c r="AH107" i="15"/>
  <c r="AH104" i="15"/>
  <c r="AH105" i="15"/>
  <c r="AH103" i="15"/>
  <c r="T87" i="15"/>
  <c r="AA89" i="15"/>
  <c r="T83" i="15"/>
  <c r="Z89" i="15"/>
  <c r="AC83" i="15"/>
  <c r="AF86" i="15"/>
  <c r="AH88" i="15"/>
  <c r="U84" i="15"/>
  <c r="AF93" i="15"/>
  <c r="W99" i="15"/>
  <c r="W96" i="15"/>
  <c r="AC92" i="15"/>
  <c r="AE97" i="15"/>
  <c r="AC97" i="15"/>
  <c r="U93" i="15"/>
  <c r="U78" i="15"/>
  <c r="U77" i="15"/>
  <c r="U76" i="15"/>
  <c r="U75" i="15"/>
  <c r="U74" i="15"/>
  <c r="U81" i="15"/>
  <c r="U80" i="15"/>
  <c r="U79" i="15"/>
  <c r="U82" i="15"/>
  <c r="AI53" i="15"/>
  <c r="AI54" i="15" s="1"/>
  <c r="AI55" i="15" s="1"/>
  <c r="AI59" i="15" s="1"/>
  <c r="AH53" i="15"/>
  <c r="AH54" i="15" s="1"/>
  <c r="AH55" i="15" s="1"/>
  <c r="AH59" i="15" s="1"/>
  <c r="AC53" i="15"/>
  <c r="AC54" i="15" s="1"/>
  <c r="AC55" i="15" s="1"/>
  <c r="AC59" i="15" s="1"/>
  <c r="X53" i="15"/>
  <c r="X54" i="15" s="1"/>
  <c r="S53" i="15"/>
  <c r="S54" i="15" s="1"/>
  <c r="S55" i="15" s="1"/>
  <c r="S59" i="15" s="1"/>
  <c r="T53" i="15"/>
  <c r="T54" i="15" s="1"/>
  <c r="T55" i="15" s="1"/>
  <c r="T59" i="15" s="1"/>
  <c r="AD54" i="15"/>
  <c r="U54" i="15"/>
  <c r="U55" i="15" s="1"/>
  <c r="U59" i="15" s="1"/>
  <c r="P53" i="15"/>
  <c r="W53" i="15"/>
  <c r="X104" i="14"/>
  <c r="X57" i="14"/>
  <c r="J104" i="14"/>
  <c r="J57" i="14"/>
  <c r="W104" i="14"/>
  <c r="W57" i="14"/>
  <c r="V104" i="14"/>
  <c r="V57" i="14"/>
  <c r="S104" i="14"/>
  <c r="S57" i="14"/>
  <c r="P104" i="14"/>
  <c r="P57" i="14"/>
  <c r="Y104" i="14"/>
  <c r="Y57" i="14"/>
  <c r="R104" i="14"/>
  <c r="R57" i="14"/>
  <c r="AB83" i="14"/>
  <c r="AB129" i="14"/>
  <c r="Z104" i="14"/>
  <c r="Z57" i="14"/>
  <c r="I104" i="14"/>
  <c r="I57" i="14"/>
  <c r="J9" i="14"/>
  <c r="H80" i="14"/>
  <c r="AB9" i="14"/>
  <c r="Y9" i="14"/>
  <c r="M9" i="14"/>
  <c r="R9" i="14"/>
  <c r="X9" i="14"/>
  <c r="V9" i="14"/>
  <c r="N104" i="14"/>
  <c r="N57" i="14"/>
  <c r="G13" i="14"/>
  <c r="V59" i="14"/>
  <c r="I59" i="14"/>
  <c r="O59" i="14"/>
  <c r="S59" i="14"/>
  <c r="W59" i="14"/>
  <c r="Y59" i="14"/>
  <c r="Z59" i="14"/>
  <c r="X59" i="14"/>
  <c r="U59" i="14"/>
  <c r="J59" i="14"/>
  <c r="K59" i="14"/>
  <c r="AA59" i="14"/>
  <c r="L59" i="14"/>
  <c r="N59" i="14"/>
  <c r="P59" i="14"/>
  <c r="AB59" i="14"/>
  <c r="M59" i="14"/>
  <c r="Q59" i="14"/>
  <c r="T59" i="14"/>
  <c r="R59" i="14"/>
  <c r="M104" i="14"/>
  <c r="M57" i="14"/>
  <c r="K132" i="14"/>
  <c r="AA132" i="14"/>
  <c r="T86" i="14"/>
  <c r="H132" i="14"/>
  <c r="V86" i="14"/>
  <c r="L132" i="14"/>
  <c r="AB132" i="14"/>
  <c r="U86" i="14"/>
  <c r="H86" i="14"/>
  <c r="M132" i="14"/>
  <c r="K86" i="14"/>
  <c r="N86" i="14"/>
  <c r="W86" i="14"/>
  <c r="X86" i="14"/>
  <c r="AA86" i="14"/>
  <c r="N132" i="14"/>
  <c r="O132" i="14"/>
  <c r="I132" i="14"/>
  <c r="P132" i="14"/>
  <c r="Y86" i="14"/>
  <c r="Q132" i="14"/>
  <c r="J86" i="14"/>
  <c r="Z86" i="14"/>
  <c r="R132" i="14"/>
  <c r="S132" i="14"/>
  <c r="L86" i="14"/>
  <c r="AB86" i="14"/>
  <c r="M86" i="14"/>
  <c r="X132" i="14"/>
  <c r="T132" i="14"/>
  <c r="U132" i="14"/>
  <c r="P86" i="14"/>
  <c r="Q86" i="14"/>
  <c r="R86" i="14"/>
  <c r="V132" i="14"/>
  <c r="O86" i="14"/>
  <c r="W132" i="14"/>
  <c r="Y132" i="14"/>
  <c r="J132" i="14"/>
  <c r="Z132" i="14"/>
  <c r="S86" i="14"/>
  <c r="O104" i="14"/>
  <c r="O57" i="14"/>
  <c r="V106" i="14"/>
  <c r="W106" i="14"/>
  <c r="X106" i="14"/>
  <c r="Y106" i="14"/>
  <c r="T106" i="14"/>
  <c r="R106" i="14"/>
  <c r="J106" i="14"/>
  <c r="Z106" i="14"/>
  <c r="S106" i="14"/>
  <c r="K106" i="14"/>
  <c r="AA106" i="14"/>
  <c r="L106" i="14"/>
  <c r="AB106" i="14"/>
  <c r="M106" i="14"/>
  <c r="I106" i="14"/>
  <c r="N106" i="14"/>
  <c r="O106" i="14"/>
  <c r="P106" i="14"/>
  <c r="Q106" i="14"/>
  <c r="U106" i="14"/>
  <c r="AB127" i="14"/>
  <c r="H127" i="14"/>
  <c r="AB104" i="14"/>
  <c r="AB57" i="14"/>
  <c r="L104" i="14"/>
  <c r="L57" i="14"/>
  <c r="F24" i="14"/>
  <c r="H22" i="14" s="1"/>
  <c r="U104" i="14"/>
  <c r="U57" i="14"/>
  <c r="T104" i="14"/>
  <c r="T57" i="14"/>
  <c r="Q104" i="14"/>
  <c r="Q57" i="14"/>
  <c r="G12" i="14"/>
  <c r="Q9" i="14" s="1"/>
  <c r="AA104" i="14"/>
  <c r="AA57" i="14"/>
  <c r="K104" i="14"/>
  <c r="K57" i="14"/>
  <c r="T252" i="4"/>
  <c r="M158" i="4"/>
  <c r="N158" i="4" s="1"/>
  <c r="N159" i="4" s="1"/>
  <c r="L159" i="4"/>
  <c r="M159" i="4" s="1"/>
  <c r="N155" i="4"/>
  <c r="H207" i="4"/>
  <c r="H195" i="4"/>
  <c r="H194" i="4"/>
  <c r="H193" i="4"/>
  <c r="H173" i="4"/>
  <c r="H181" i="4"/>
  <c r="H189" i="4"/>
  <c r="H185" i="4"/>
  <c r="H187" i="4"/>
  <c r="H188" i="4" s="1"/>
  <c r="H178" i="4"/>
  <c r="H174" i="4"/>
  <c r="H179" i="4" s="1"/>
  <c r="H182" i="4" s="1"/>
  <c r="H197" i="4" s="1"/>
  <c r="H172" i="4"/>
  <c r="E14" i="12"/>
  <c r="J160" i="4"/>
  <c r="E15" i="12" s="1"/>
  <c r="J155" i="4"/>
  <c r="H205" i="4" s="1"/>
  <c r="H208" i="4" s="1"/>
  <c r="K24" i="1"/>
  <c r="C34" i="10"/>
  <c r="E34" i="10"/>
  <c r="G34" i="10"/>
  <c r="H36" i="10"/>
  <c r="L22" i="9"/>
  <c r="I112" i="4"/>
  <c r="J109" i="4"/>
  <c r="J107" i="4"/>
  <c r="J108" i="4" s="1"/>
  <c r="J110" i="4" s="1"/>
  <c r="H37" i="10"/>
  <c r="G37" i="10"/>
  <c r="J100" i="4"/>
  <c r="G36" i="10"/>
  <c r="J98" i="4"/>
  <c r="J99" i="4" s="1"/>
  <c r="J101" i="4" s="1"/>
  <c r="H35" i="10"/>
  <c r="G35" i="10"/>
  <c r="H34" i="10"/>
  <c r="H33" i="10"/>
  <c r="G33" i="10"/>
  <c r="I103" i="4"/>
  <c r="E37" i="10"/>
  <c r="E36" i="10"/>
  <c r="E35" i="10"/>
  <c r="E33" i="10"/>
  <c r="C37" i="10"/>
  <c r="D36" i="10"/>
  <c r="C36" i="10"/>
  <c r="C35" i="10"/>
  <c r="J92" i="4"/>
  <c r="AJ126" i="15" l="1"/>
  <c r="AJ127" i="15"/>
  <c r="AJ122" i="15"/>
  <c r="AJ120" i="15"/>
  <c r="AJ123" i="15"/>
  <c r="AJ125" i="15"/>
  <c r="AJ119" i="15"/>
  <c r="AJ121" i="15"/>
  <c r="AJ124" i="15"/>
  <c r="AA102" i="15"/>
  <c r="AD102" i="15"/>
  <c r="AE102" i="15"/>
  <c r="AI102" i="15"/>
  <c r="X100" i="15"/>
  <c r="AB102" i="15"/>
  <c r="L117" i="15"/>
  <c r="N108" i="15"/>
  <c r="AI108" i="15"/>
  <c r="V92" i="15"/>
  <c r="T92" i="15"/>
  <c r="P102" i="15"/>
  <c r="T102" i="15"/>
  <c r="R100" i="15"/>
  <c r="AC102" i="15"/>
  <c r="AE108" i="15"/>
  <c r="L121" i="15"/>
  <c r="N112" i="15"/>
  <c r="S102" i="15"/>
  <c r="N115" i="15"/>
  <c r="L124" i="15"/>
  <c r="L109" i="15"/>
  <c r="N100" i="15"/>
  <c r="AG102" i="15"/>
  <c r="AG108" i="15"/>
  <c r="AC108" i="15"/>
  <c r="U100" i="15"/>
  <c r="AD100" i="15"/>
  <c r="Q108" i="15"/>
  <c r="AI100" i="15"/>
  <c r="AH102" i="15"/>
  <c r="U102" i="15"/>
  <c r="Z108" i="15"/>
  <c r="W108" i="15"/>
  <c r="Y102" i="15"/>
  <c r="AF108" i="15"/>
  <c r="L101" i="15"/>
  <c r="N92" i="15"/>
  <c r="P92" i="15"/>
  <c r="T108" i="15"/>
  <c r="AH100" i="15"/>
  <c r="Q100" i="15"/>
  <c r="L111" i="15"/>
  <c r="N102" i="15"/>
  <c r="AA108" i="15"/>
  <c r="AD108" i="15"/>
  <c r="W102" i="15"/>
  <c r="L122" i="15"/>
  <c r="N113" i="15"/>
  <c r="P108" i="15"/>
  <c r="Y100" i="15"/>
  <c r="AF102" i="15"/>
  <c r="AA100" i="15"/>
  <c r="Q102" i="15"/>
  <c r="AB108" i="15"/>
  <c r="AF100" i="15"/>
  <c r="Z102" i="15"/>
  <c r="U92" i="15"/>
  <c r="Q92" i="15"/>
  <c r="AG100" i="15"/>
  <c r="L125" i="15"/>
  <c r="N116" i="15"/>
  <c r="X55" i="15"/>
  <c r="X59" i="15" s="1"/>
  <c r="X112" i="15" s="1"/>
  <c r="AD55" i="15"/>
  <c r="AD59" i="15" s="1"/>
  <c r="AJ94" i="15"/>
  <c r="AJ99" i="15"/>
  <c r="AJ97" i="15"/>
  <c r="AJ95" i="15"/>
  <c r="Q54" i="15"/>
  <c r="Q55" i="15" s="1"/>
  <c r="Q59" i="15" s="1"/>
  <c r="AJ96" i="15"/>
  <c r="AJ93" i="15"/>
  <c r="AJ98" i="15"/>
  <c r="Z68" i="15"/>
  <c r="Z70" i="15" s="1"/>
  <c r="Z115" i="15"/>
  <c r="Z111" i="15"/>
  <c r="Z113" i="15"/>
  <c r="Z114" i="15"/>
  <c r="Z116" i="15"/>
  <c r="Z112" i="15"/>
  <c r="AB68" i="15"/>
  <c r="AB70" i="15" s="1"/>
  <c r="AB111" i="15"/>
  <c r="AB112" i="15"/>
  <c r="AB113" i="15"/>
  <c r="AB114" i="15"/>
  <c r="AB115" i="15"/>
  <c r="AB116" i="15"/>
  <c r="AB117" i="15"/>
  <c r="AA68" i="15"/>
  <c r="AA70" i="15" s="1"/>
  <c r="AA111" i="15"/>
  <c r="AA112" i="15"/>
  <c r="AA113" i="15"/>
  <c r="AA114" i="15"/>
  <c r="AA115" i="15"/>
  <c r="AA116" i="15"/>
  <c r="AG68" i="15"/>
  <c r="AG70" i="15" s="1"/>
  <c r="AG114" i="15"/>
  <c r="AG111" i="15"/>
  <c r="AG112" i="15"/>
  <c r="AG113" i="15"/>
  <c r="AG115" i="15"/>
  <c r="AG116" i="15"/>
  <c r="Y68" i="15"/>
  <c r="Y70" i="15" s="1"/>
  <c r="Y115" i="15"/>
  <c r="Y113" i="15"/>
  <c r="Y114" i="15"/>
  <c r="Y111" i="15"/>
  <c r="Y116" i="15"/>
  <c r="Y112" i="15"/>
  <c r="AC68" i="15"/>
  <c r="AC70" i="15" s="1"/>
  <c r="AC115" i="15"/>
  <c r="AC114" i="15"/>
  <c r="AC113" i="15"/>
  <c r="AC111" i="15"/>
  <c r="AC116" i="15"/>
  <c r="AC117" i="15"/>
  <c r="AC112" i="15"/>
  <c r="AH68" i="15"/>
  <c r="AH70" i="15" s="1"/>
  <c r="AH111" i="15"/>
  <c r="AH112" i="15"/>
  <c r="AH113" i="15"/>
  <c r="AH114" i="15"/>
  <c r="AH115" i="15"/>
  <c r="AH116" i="15"/>
  <c r="AJ104" i="15"/>
  <c r="AJ80" i="15"/>
  <c r="AJ82" i="15"/>
  <c r="U68" i="15"/>
  <c r="U70" i="15" s="1"/>
  <c r="U113" i="15"/>
  <c r="U112" i="15"/>
  <c r="U111" i="15"/>
  <c r="U116" i="15"/>
  <c r="U117" i="15"/>
  <c r="U114" i="15"/>
  <c r="U115" i="15"/>
  <c r="AJ103" i="15"/>
  <c r="AJ79" i="15"/>
  <c r="AJ78" i="15"/>
  <c r="V54" i="15"/>
  <c r="V55" i="15" s="1"/>
  <c r="V59" i="15" s="1"/>
  <c r="AJ77" i="15"/>
  <c r="AJ76" i="15"/>
  <c r="AJ74" i="15"/>
  <c r="AJ105" i="15"/>
  <c r="AJ81" i="15"/>
  <c r="AD68" i="15"/>
  <c r="AD70" i="15" s="1"/>
  <c r="AD111" i="15"/>
  <c r="AD112" i="15"/>
  <c r="AD113" i="15"/>
  <c r="AD114" i="15"/>
  <c r="AD115" i="15"/>
  <c r="AD116" i="15"/>
  <c r="AD117" i="15"/>
  <c r="AJ107" i="15"/>
  <c r="AJ75" i="15"/>
  <c r="AJ106" i="15"/>
  <c r="T68" i="15"/>
  <c r="T70" i="15" s="1"/>
  <c r="T115" i="15"/>
  <c r="T111" i="15"/>
  <c r="T116" i="15"/>
  <c r="T112" i="15"/>
  <c r="T114" i="15"/>
  <c r="T113" i="15"/>
  <c r="AF68" i="15"/>
  <c r="AF70" i="15" s="1"/>
  <c r="AF112" i="15"/>
  <c r="AF114" i="15"/>
  <c r="AF116" i="15"/>
  <c r="AF111" i="15"/>
  <c r="AF113" i="15"/>
  <c r="AF115" i="15"/>
  <c r="R55" i="15"/>
  <c r="R59" i="15" s="1"/>
  <c r="AI68" i="15"/>
  <c r="AI70" i="15" s="1"/>
  <c r="AI111" i="15"/>
  <c r="AI112" i="15"/>
  <c r="AI113" i="15"/>
  <c r="AI114" i="15"/>
  <c r="AI115" i="15"/>
  <c r="AI116" i="15"/>
  <c r="AI117" i="15"/>
  <c r="S68" i="15"/>
  <c r="S70" i="15" s="1"/>
  <c r="S111" i="15"/>
  <c r="S112" i="15"/>
  <c r="S113" i="15"/>
  <c r="S114" i="15"/>
  <c r="S115" i="15"/>
  <c r="S116" i="15"/>
  <c r="X68" i="15"/>
  <c r="X70" i="15" s="1"/>
  <c r="X113" i="15"/>
  <c r="X111" i="15"/>
  <c r="X116" i="15"/>
  <c r="X114" i="15"/>
  <c r="X115" i="15"/>
  <c r="X117" i="15"/>
  <c r="AE55" i="15"/>
  <c r="AE59" i="15" s="1"/>
  <c r="W54" i="15"/>
  <c r="W55" i="15" s="1"/>
  <c r="W59" i="15" s="1"/>
  <c r="P54" i="15"/>
  <c r="P55" i="15"/>
  <c r="P59" i="15" s="1"/>
  <c r="U9" i="14"/>
  <c r="W9" i="14"/>
  <c r="F27" i="14"/>
  <c r="N29" i="14" s="1"/>
  <c r="O9" i="14"/>
  <c r="L9" i="14"/>
  <c r="S9" i="14"/>
  <c r="P9" i="14"/>
  <c r="P61" i="14" s="1"/>
  <c r="I9" i="14"/>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A9" i="14"/>
  <c r="Z9" i="14"/>
  <c r="N9" i="14"/>
  <c r="K9" i="14"/>
  <c r="K61" i="14" s="1"/>
  <c r="Q61" i="14"/>
  <c r="Q77" i="14"/>
  <c r="Y61" i="14"/>
  <c r="Y77" i="14"/>
  <c r="I21" i="14"/>
  <c r="H128" i="14"/>
  <c r="H82" i="14"/>
  <c r="AA61" i="14"/>
  <c r="AA77" i="14"/>
  <c r="W61" i="14"/>
  <c r="W77" i="14"/>
  <c r="U61" i="14"/>
  <c r="U77" i="14"/>
  <c r="H85" i="14"/>
  <c r="H146" i="14" s="1"/>
  <c r="H148" i="14" s="1"/>
  <c r="AB61" i="14"/>
  <c r="AB77" i="14"/>
  <c r="Z61" i="14"/>
  <c r="Z77" i="14"/>
  <c r="R61" i="14"/>
  <c r="R77" i="14"/>
  <c r="J61" i="14"/>
  <c r="J77" i="14"/>
  <c r="V61" i="14"/>
  <c r="V77" i="14"/>
  <c r="O61" i="14"/>
  <c r="O77" i="14"/>
  <c r="L77" i="14"/>
  <c r="L61" i="14"/>
  <c r="K77" i="14"/>
  <c r="H131" i="14"/>
  <c r="H147" i="14" s="1"/>
  <c r="S61" i="14"/>
  <c r="S77" i="14"/>
  <c r="M61" i="14"/>
  <c r="M77" i="14"/>
  <c r="T9" i="14"/>
  <c r="X61" i="14"/>
  <c r="X77" i="14"/>
  <c r="N77" i="14"/>
  <c r="N61" i="14"/>
  <c r="I22" i="14"/>
  <c r="N160" i="4"/>
  <c r="H198" i="4"/>
  <c r="E13" i="12"/>
  <c r="H175" i="4"/>
  <c r="H199" i="4" s="1"/>
  <c r="M164" i="4" s="1"/>
  <c r="J102" i="4"/>
  <c r="J111" i="4"/>
  <c r="J112" i="4"/>
  <c r="J103" i="4"/>
  <c r="AJ100" i="15" l="1"/>
  <c r="AJ108" i="15"/>
  <c r="AJ92" i="15"/>
  <c r="AJ102" i="15"/>
  <c r="N117" i="15"/>
  <c r="L126" i="15"/>
  <c r="T117" i="15"/>
  <c r="Y117" i="15"/>
  <c r="L120" i="15"/>
  <c r="N111" i="15"/>
  <c r="AG117" i="15"/>
  <c r="Z117" i="15"/>
  <c r="L118" i="15"/>
  <c r="AE118" i="15" s="1"/>
  <c r="N109" i="15"/>
  <c r="AB109" i="15"/>
  <c r="Q109" i="15"/>
  <c r="P109" i="15"/>
  <c r="R109" i="15"/>
  <c r="Z109" i="15"/>
  <c r="AC109" i="15"/>
  <c r="AF109" i="15"/>
  <c r="X109" i="15"/>
  <c r="AE109" i="15"/>
  <c r="AA109" i="15"/>
  <c r="AI109" i="15"/>
  <c r="W109" i="15"/>
  <c r="AG109" i="15"/>
  <c r="V109" i="15"/>
  <c r="AD109" i="15"/>
  <c r="T109" i="15"/>
  <c r="AH109" i="15"/>
  <c r="Y109" i="15"/>
  <c r="S109" i="15"/>
  <c r="U109" i="15"/>
  <c r="L110" i="15"/>
  <c r="N101" i="15"/>
  <c r="R101" i="15"/>
  <c r="S101" i="15"/>
  <c r="T101" i="15"/>
  <c r="AA101" i="15"/>
  <c r="Y101" i="15"/>
  <c r="AI101" i="15"/>
  <c r="V101" i="15"/>
  <c r="Q101" i="15"/>
  <c r="AC101" i="15"/>
  <c r="AD101" i="15"/>
  <c r="Z101" i="15"/>
  <c r="P101" i="15"/>
  <c r="AH101" i="15"/>
  <c r="AE101" i="15"/>
  <c r="AF101" i="15"/>
  <c r="AB101" i="15"/>
  <c r="AG101" i="15"/>
  <c r="W101" i="15"/>
  <c r="U101" i="15"/>
  <c r="X101" i="15"/>
  <c r="S117" i="15"/>
  <c r="AF117" i="15"/>
  <c r="AH117" i="15"/>
  <c r="AA117" i="15"/>
  <c r="Q114" i="15"/>
  <c r="Q111" i="15"/>
  <c r="Q112" i="15"/>
  <c r="Q113" i="15"/>
  <c r="Q68" i="15"/>
  <c r="Q70" i="15" s="1"/>
  <c r="Q117" i="15"/>
  <c r="Q116" i="15"/>
  <c r="Q115" i="15"/>
  <c r="R68" i="15"/>
  <c r="R70" i="15" s="1"/>
  <c r="R111" i="15"/>
  <c r="R112" i="15"/>
  <c r="R113" i="15"/>
  <c r="R114" i="15"/>
  <c r="R115" i="15"/>
  <c r="R116" i="15"/>
  <c r="R117" i="15"/>
  <c r="R118" i="15"/>
  <c r="R110" i="15"/>
  <c r="W68" i="15"/>
  <c r="W70" i="15" s="1"/>
  <c r="W110" i="15"/>
  <c r="W112" i="15"/>
  <c r="W113" i="15"/>
  <c r="W114" i="15"/>
  <c r="W111" i="15"/>
  <c r="W116" i="15"/>
  <c r="W117" i="15"/>
  <c r="W115" i="15"/>
  <c r="P68" i="15"/>
  <c r="P70" i="15" s="1"/>
  <c r="P111" i="15"/>
  <c r="P113" i="15"/>
  <c r="P115" i="15"/>
  <c r="P117" i="15"/>
  <c r="P110" i="15"/>
  <c r="P112" i="15"/>
  <c r="P114" i="15"/>
  <c r="P116" i="15"/>
  <c r="P118" i="15"/>
  <c r="AE68" i="15"/>
  <c r="AE70" i="15" s="1"/>
  <c r="AE111" i="15"/>
  <c r="AE112" i="15"/>
  <c r="AE113" i="15"/>
  <c r="AE114" i="15"/>
  <c r="AE115" i="15"/>
  <c r="AE116" i="15"/>
  <c r="AE117" i="15"/>
  <c r="V68" i="15"/>
  <c r="V70" i="15" s="1"/>
  <c r="V112" i="15"/>
  <c r="V113" i="15"/>
  <c r="V118" i="15"/>
  <c r="V114" i="15"/>
  <c r="V111" i="15"/>
  <c r="V116" i="15"/>
  <c r="V110" i="15"/>
  <c r="V117" i="15"/>
  <c r="V115" i="15"/>
  <c r="P77" i="14"/>
  <c r="I61" i="14"/>
  <c r="I77" i="14"/>
  <c r="H87" i="14"/>
  <c r="I109" i="14"/>
  <c r="I117" i="14" s="1"/>
  <c r="I125" i="14"/>
  <c r="I62" i="14"/>
  <c r="I70" i="14" s="1"/>
  <c r="I78" i="14"/>
  <c r="H133" i="14"/>
  <c r="T61" i="14"/>
  <c r="T77" i="14"/>
  <c r="J21" i="14"/>
  <c r="J22" i="14"/>
  <c r="E16" i="12"/>
  <c r="H206" i="4"/>
  <c r="AJ101" i="15" l="1"/>
  <c r="N110" i="15"/>
  <c r="L119" i="15"/>
  <c r="Y110" i="15"/>
  <c r="AC110" i="15"/>
  <c r="AF110" i="15"/>
  <c r="T110" i="15"/>
  <c r="Z110" i="15"/>
  <c r="AD110" i="15"/>
  <c r="AA110" i="15"/>
  <c r="AH110" i="15"/>
  <c r="S110" i="15"/>
  <c r="X110" i="15"/>
  <c r="AB110" i="15"/>
  <c r="AI110" i="15"/>
  <c r="U110" i="15"/>
  <c r="AG110" i="15"/>
  <c r="AE110" i="15"/>
  <c r="AJ110" i="15" s="1"/>
  <c r="AJ109" i="15"/>
  <c r="N118" i="15"/>
  <c r="L127" i="15"/>
  <c r="AH118" i="15"/>
  <c r="S118" i="15"/>
  <c r="X118" i="15"/>
  <c r="Z118" i="15"/>
  <c r="AA118" i="15"/>
  <c r="AC118" i="15"/>
  <c r="AG118" i="15"/>
  <c r="U118" i="15"/>
  <c r="T118" i="15"/>
  <c r="AD118" i="15"/>
  <c r="Y118" i="15"/>
  <c r="AF118" i="15"/>
  <c r="AB118" i="15"/>
  <c r="AI118" i="15"/>
  <c r="Q110" i="15"/>
  <c r="W118" i="15"/>
  <c r="Q118" i="15"/>
  <c r="AJ118" i="15" s="1"/>
  <c r="AJ111" i="15"/>
  <c r="AJ117" i="15"/>
  <c r="AJ115" i="15"/>
  <c r="AJ113" i="15"/>
  <c r="P83" i="15"/>
  <c r="AJ83" i="15" s="1"/>
  <c r="P84" i="15"/>
  <c r="AJ84" i="15" s="1"/>
  <c r="P86" i="15"/>
  <c r="AJ86" i="15" s="1"/>
  <c r="P87" i="15"/>
  <c r="AJ87" i="15" s="1"/>
  <c r="P91" i="15"/>
  <c r="AJ91" i="15" s="1"/>
  <c r="P88" i="15"/>
  <c r="AJ88" i="15" s="1"/>
  <c r="P89" i="15"/>
  <c r="AJ89" i="15" s="1"/>
  <c r="P90" i="15"/>
  <c r="AJ90" i="15" s="1"/>
  <c r="P85" i="15"/>
  <c r="AJ85" i="15" s="1"/>
  <c r="O71" i="15"/>
  <c r="AJ116" i="15"/>
  <c r="AJ114" i="15"/>
  <c r="AJ112" i="15"/>
  <c r="I71" i="14"/>
  <c r="I72" i="14" s="1"/>
  <c r="I76" i="14" s="1"/>
  <c r="I85" i="14" s="1"/>
  <c r="I146" i="14" s="1"/>
  <c r="I118" i="14"/>
  <c r="I119" i="14"/>
  <c r="I124" i="14" s="1"/>
  <c r="I131" i="14" s="1"/>
  <c r="I147" i="14" s="1"/>
  <c r="J109" i="14"/>
  <c r="J117" i="14" s="1"/>
  <c r="J125" i="14"/>
  <c r="J78" i="14"/>
  <c r="J62" i="14"/>
  <c r="J70" i="14" s="1"/>
  <c r="K21" i="14"/>
  <c r="J86" i="4"/>
  <c r="J87" i="4" s="1"/>
  <c r="H6" i="10"/>
  <c r="G6" i="10"/>
  <c r="C6" i="10"/>
  <c r="E18" i="10"/>
  <c r="H15" i="10"/>
  <c r="J71" i="4"/>
  <c r="J66" i="4"/>
  <c r="J72" i="4" s="1"/>
  <c r="J45" i="4"/>
  <c r="J49" i="4"/>
  <c r="M52" i="4" s="1"/>
  <c r="M56" i="4" s="1"/>
  <c r="N52" i="4" s="1"/>
  <c r="I148" i="14" l="1"/>
  <c r="I87" i="14"/>
  <c r="I133" i="14"/>
  <c r="J71" i="14"/>
  <c r="J72" i="14" s="1"/>
  <c r="J85" i="14" s="1"/>
  <c r="J146" i="14" s="1"/>
  <c r="J118" i="14"/>
  <c r="J119" i="14" s="1"/>
  <c r="J124" i="14" s="1"/>
  <c r="J131" i="14" s="1"/>
  <c r="K109" i="14"/>
  <c r="K117" i="14" s="1"/>
  <c r="K125" i="14"/>
  <c r="K78" i="14"/>
  <c r="K62" i="14"/>
  <c r="K70" i="14" s="1"/>
  <c r="K22" i="14"/>
  <c r="J73" i="4"/>
  <c r="J67" i="4"/>
  <c r="J68" i="4" s="1"/>
  <c r="J133" i="14" l="1"/>
  <c r="J147" i="14"/>
  <c r="J148" i="14" s="1"/>
  <c r="J87" i="14"/>
  <c r="K71" i="14"/>
  <c r="K72" i="14" s="1"/>
  <c r="K76" i="14" s="1"/>
  <c r="K85" i="14" s="1"/>
  <c r="K146" i="14" s="1"/>
  <c r="K118" i="14"/>
  <c r="K119" i="14" s="1"/>
  <c r="K124" i="14" s="1"/>
  <c r="K131" i="14" s="1"/>
  <c r="L21" i="14"/>
  <c r="L22" i="14" s="1"/>
  <c r="K133" i="14" l="1"/>
  <c r="K147" i="14"/>
  <c r="K148" i="14" s="1"/>
  <c r="K87" i="14"/>
  <c r="L109" i="14"/>
  <c r="L117" i="14" s="1"/>
  <c r="L125" i="14"/>
  <c r="L78" i="14"/>
  <c r="L62" i="14"/>
  <c r="L70" i="14" s="1"/>
  <c r="M21" i="14"/>
  <c r="M109" i="14" l="1"/>
  <c r="M117" i="14" s="1"/>
  <c r="M125" i="14"/>
  <c r="M78" i="14"/>
  <c r="M62" i="14"/>
  <c r="M70" i="14" s="1"/>
  <c r="L118" i="14"/>
  <c r="L119" i="14"/>
  <c r="L124" i="14" s="1"/>
  <c r="L131" i="14" s="1"/>
  <c r="L147" i="14" s="1"/>
  <c r="L71" i="14"/>
  <c r="L72" i="14" s="1"/>
  <c r="L76" i="14" s="1"/>
  <c r="L85" i="14" s="1"/>
  <c r="L146" i="14" s="1"/>
  <c r="M22" i="14"/>
  <c r="J53" i="4"/>
  <c r="L153" i="4" s="1"/>
  <c r="M153" i="4" s="1"/>
  <c r="J43" i="4"/>
  <c r="J38" i="4"/>
  <c r="U34" i="10"/>
  <c r="V34" i="10"/>
  <c r="U35" i="10"/>
  <c r="V35" i="10"/>
  <c r="U36" i="10"/>
  <c r="V36" i="10"/>
  <c r="U37" i="10"/>
  <c r="V37" i="10"/>
  <c r="U38" i="10"/>
  <c r="V38" i="10"/>
  <c r="U39" i="10"/>
  <c r="V39" i="10"/>
  <c r="U40" i="10"/>
  <c r="V40" i="10"/>
  <c r="U41" i="10"/>
  <c r="V41" i="10"/>
  <c r="U42" i="10"/>
  <c r="V42" i="10"/>
  <c r="U43" i="10"/>
  <c r="V43" i="10"/>
  <c r="U44" i="10"/>
  <c r="V44" i="10"/>
  <c r="G16" i="10"/>
  <c r="H16" i="10"/>
  <c r="G17" i="10"/>
  <c r="H17" i="10"/>
  <c r="G21" i="10"/>
  <c r="H21" i="10"/>
  <c r="G22" i="10"/>
  <c r="H22" i="10"/>
  <c r="G24" i="10"/>
  <c r="H24" i="10"/>
  <c r="G25" i="10"/>
  <c r="H25" i="10"/>
  <c r="M38" i="9"/>
  <c r="L38" i="9"/>
  <c r="M37" i="9"/>
  <c r="L37" i="9"/>
  <c r="M36" i="9"/>
  <c r="L36" i="9"/>
  <c r="M35" i="9"/>
  <c r="L35" i="9"/>
  <c r="M34" i="9"/>
  <c r="L34" i="9"/>
  <c r="L30" i="9"/>
  <c r="L29" i="9"/>
  <c r="M30" i="9"/>
  <c r="M29" i="9"/>
  <c r="D16" i="10"/>
  <c r="D17" i="10"/>
  <c r="E23" i="10"/>
  <c r="E24" i="10"/>
  <c r="E25" i="10"/>
  <c r="E22" i="10"/>
  <c r="E21" i="10"/>
  <c r="F17" i="8" a="1"/>
  <c r="F17" i="8" s="1"/>
  <c r="H55" i="9"/>
  <c r="H54" i="9"/>
  <c r="K15" i="1"/>
  <c r="H30" i="9"/>
  <c r="H63" i="9"/>
  <c r="Q10" i="1"/>
  <c r="K12" i="1"/>
  <c r="K7" i="1"/>
  <c r="H15" i="1"/>
  <c r="H14" i="1"/>
  <c r="H13" i="1"/>
  <c r="H10" i="1"/>
  <c r="H9" i="1"/>
  <c r="K8" i="1"/>
  <c r="H8" i="1"/>
  <c r="Q16" i="1"/>
  <c r="O14" i="8"/>
  <c r="Q37" i="1"/>
  <c r="Q33" i="1"/>
  <c r="Q31" i="1"/>
  <c r="Q29" i="1"/>
  <c r="Q25" i="1"/>
  <c r="F16" i="10"/>
  <c r="E16" i="10"/>
  <c r="F15" i="10"/>
  <c r="F14" i="8"/>
  <c r="H10" i="10"/>
  <c r="G10" i="10"/>
  <c r="E10" i="10"/>
  <c r="C10" i="10"/>
  <c r="E18" i="1"/>
  <c r="H7" i="10"/>
  <c r="G7" i="10"/>
  <c r="C7" i="10"/>
  <c r="E7" i="10"/>
  <c r="Q15" i="1"/>
  <c r="Q9" i="1"/>
  <c r="M4" i="1"/>
  <c r="O9" i="8"/>
  <c r="B33" i="8"/>
  <c r="B32" i="8"/>
  <c r="B40" i="8"/>
  <c r="B39" i="8"/>
  <c r="B38" i="8"/>
  <c r="B37" i="8"/>
  <c r="B34" i="8"/>
  <c r="H35" i="9"/>
  <c r="K27" i="1"/>
  <c r="R32" i="1" s="1"/>
  <c r="D23" i="10" s="1"/>
  <c r="L148" i="14" l="1"/>
  <c r="L87" i="14"/>
  <c r="M71" i="14"/>
  <c r="M72" i="14"/>
  <c r="M76" i="14" s="1"/>
  <c r="M85" i="14" s="1"/>
  <c r="L133" i="14"/>
  <c r="M118" i="14"/>
  <c r="M119" i="14"/>
  <c r="M124" i="14" s="1"/>
  <c r="M131" i="14" s="1"/>
  <c r="N21" i="14"/>
  <c r="N22" i="14" s="1"/>
  <c r="K39" i="4"/>
  <c r="P39" i="4" s="1"/>
  <c r="Q39" i="4" s="1"/>
  <c r="K154" i="4"/>
  <c r="K156" i="4"/>
  <c r="K153" i="4"/>
  <c r="K157" i="4"/>
  <c r="K158" i="4"/>
  <c r="K155" i="4"/>
  <c r="M37" i="4"/>
  <c r="J79" i="4"/>
  <c r="N53" i="4"/>
  <c r="J81" i="4"/>
  <c r="J82" i="4" s="1"/>
  <c r="J55" i="4"/>
  <c r="J56" i="4" s="1"/>
  <c r="J57" i="4" s="1"/>
  <c r="J58" i="4" s="1"/>
  <c r="K38" i="4"/>
  <c r="K42" i="4"/>
  <c r="K41" i="4"/>
  <c r="P41" i="4" s="1"/>
  <c r="Q41" i="4" s="1"/>
  <c r="K40" i="4"/>
  <c r="P40" i="4" s="1"/>
  <c r="Q40" i="4" s="1"/>
  <c r="K37" i="4"/>
  <c r="P37" i="4" s="1"/>
  <c r="Q37" i="4" s="1"/>
  <c r="K36" i="4"/>
  <c r="M87" i="14" l="1"/>
  <c r="M146" i="14"/>
  <c r="M133" i="14"/>
  <c r="M147" i="14"/>
  <c r="N109" i="14"/>
  <c r="N117" i="14" s="1"/>
  <c r="N125" i="14"/>
  <c r="N62" i="14"/>
  <c r="N70" i="14" s="1"/>
  <c r="N78" i="14"/>
  <c r="O21" i="14"/>
  <c r="J116" i="4"/>
  <c r="M163" i="4" s="1"/>
  <c r="J89" i="4"/>
  <c r="R55" i="4"/>
  <c r="S55" i="4"/>
  <c r="O55" i="4"/>
  <c r="T55" i="4"/>
  <c r="U55" i="4"/>
  <c r="AE55" i="4"/>
  <c r="V55" i="4"/>
  <c r="W55" i="4"/>
  <c r="X55" i="4"/>
  <c r="Y55" i="4"/>
  <c r="Z55" i="4"/>
  <c r="AA55" i="4"/>
  <c r="AB55" i="4"/>
  <c r="AD55" i="4"/>
  <c r="P55" i="4"/>
  <c r="AF55" i="4"/>
  <c r="AG55" i="4"/>
  <c r="AC55" i="4"/>
  <c r="Q55" i="4"/>
  <c r="N55" i="4"/>
  <c r="O29" i="8"/>
  <c r="O27" i="8"/>
  <c r="M148" i="14" l="1"/>
  <c r="N71" i="14"/>
  <c r="N72" i="14" s="1"/>
  <c r="N76" i="14" s="1"/>
  <c r="N85" i="14" s="1"/>
  <c r="O109" i="14"/>
  <c r="O117" i="14" s="1"/>
  <c r="O125" i="14"/>
  <c r="O62" i="14"/>
  <c r="O70" i="14" s="1"/>
  <c r="O78" i="14"/>
  <c r="N118" i="14"/>
  <c r="N119" i="14" s="1"/>
  <c r="N124" i="14" s="1"/>
  <c r="N131" i="14" s="1"/>
  <c r="O22" i="14"/>
  <c r="E17" i="12"/>
  <c r="E18" i="12" s="1"/>
  <c r="H204" i="4"/>
  <c r="H209" i="4" s="1"/>
  <c r="N54" i="4"/>
  <c r="N56" i="4"/>
  <c r="O52" i="4" s="1"/>
  <c r="O53" i="4" s="1"/>
  <c r="O54" i="4" s="1"/>
  <c r="E41" i="8"/>
  <c r="E32" i="8"/>
  <c r="O23" i="8"/>
  <c r="N133" i="14" l="1"/>
  <c r="N147" i="14"/>
  <c r="N87" i="14"/>
  <c r="N146" i="14"/>
  <c r="N148" i="14" s="1"/>
  <c r="O118" i="14"/>
  <c r="O119" i="14" s="1"/>
  <c r="O124" i="14" s="1"/>
  <c r="O131" i="14" s="1"/>
  <c r="O71" i="14"/>
  <c r="O72" i="14" s="1"/>
  <c r="O76" i="14" s="1"/>
  <c r="O85" i="14" s="1"/>
  <c r="P21" i="14"/>
  <c r="P22" i="14"/>
  <c r="O56" i="4"/>
  <c r="P52" i="4" s="1"/>
  <c r="P53" i="4" s="1"/>
  <c r="B42" i="8"/>
  <c r="O133" i="14" l="1"/>
  <c r="O147" i="14"/>
  <c r="O87" i="14"/>
  <c r="O146" i="14"/>
  <c r="O148" i="14" s="1"/>
  <c r="P109" i="14"/>
  <c r="P117" i="14" s="1"/>
  <c r="P125" i="14"/>
  <c r="P78" i="14"/>
  <c r="P62" i="14"/>
  <c r="P70" i="14" s="1"/>
  <c r="Q21" i="14"/>
  <c r="P56" i="4"/>
  <c r="Q52" i="4" s="1"/>
  <c r="Q53" i="4" s="1"/>
  <c r="P54" i="4"/>
  <c r="O15" i="8"/>
  <c r="O11" i="8"/>
  <c r="E31" i="8" s="1"/>
  <c r="E34" i="8" s="1"/>
  <c r="F36" i="10" s="1"/>
  <c r="H32" i="8"/>
  <c r="F23" i="10" s="1"/>
  <c r="P71" i="14" l="1"/>
  <c r="P72" i="14" s="1"/>
  <c r="P76" i="14" s="1"/>
  <c r="P85" i="14" s="1"/>
  <c r="Q109" i="14"/>
  <c r="Q117" i="14" s="1"/>
  <c r="Q125" i="14"/>
  <c r="Q78" i="14"/>
  <c r="Q62" i="14"/>
  <c r="Q70" i="14" s="1"/>
  <c r="P118" i="14"/>
  <c r="P119" i="14" s="1"/>
  <c r="P124" i="14" s="1"/>
  <c r="P131" i="14" s="1"/>
  <c r="Q22" i="14"/>
  <c r="R21" i="14"/>
  <c r="R22" i="14"/>
  <c r="Q56" i="4"/>
  <c r="R52" i="4" s="1"/>
  <c r="R53" i="4" s="1"/>
  <c r="Q54" i="4"/>
  <c r="B18" i="1"/>
  <c r="P133" i="14" l="1"/>
  <c r="P147" i="14"/>
  <c r="P87" i="14"/>
  <c r="P146" i="14"/>
  <c r="P148" i="14" s="1"/>
  <c r="R125" i="14"/>
  <c r="R109" i="14"/>
  <c r="R117" i="14" s="1"/>
  <c r="R62" i="14"/>
  <c r="R70" i="14" s="1"/>
  <c r="R78" i="14"/>
  <c r="Q71" i="14"/>
  <c r="Q72" i="14" s="1"/>
  <c r="Q76" i="14" s="1"/>
  <c r="Q85" i="14" s="1"/>
  <c r="Q118" i="14"/>
  <c r="Q119" i="14" s="1"/>
  <c r="Q124" i="14" s="1"/>
  <c r="Q131" i="14" s="1"/>
  <c r="H40" i="8"/>
  <c r="H42" i="8" s="1"/>
  <c r="E47" i="8" s="1"/>
  <c r="F24" i="10"/>
  <c r="S21" i="14"/>
  <c r="R56" i="4"/>
  <c r="S52" i="4" s="1"/>
  <c r="S53" i="4" s="1"/>
  <c r="R54" i="4"/>
  <c r="Q133" i="14" l="1"/>
  <c r="Q147" i="14"/>
  <c r="Q87" i="14"/>
  <c r="Q146" i="14"/>
  <c r="Q148" i="14" s="1"/>
  <c r="S125" i="14"/>
  <c r="S109" i="14"/>
  <c r="S117" i="14" s="1"/>
  <c r="S78" i="14"/>
  <c r="S62" i="14"/>
  <c r="S70" i="14" s="1"/>
  <c r="R71" i="14"/>
  <c r="R72" i="14" s="1"/>
  <c r="R76" i="14" s="1"/>
  <c r="R85" i="14" s="1"/>
  <c r="R118" i="14"/>
  <c r="R119" i="14" s="1"/>
  <c r="R124" i="14" s="1"/>
  <c r="R131" i="14" s="1"/>
  <c r="E49" i="8"/>
  <c r="F37" i="10"/>
  <c r="O8" i="8"/>
  <c r="O17" i="8" s="1"/>
  <c r="O33" i="8" s="1"/>
  <c r="O36" i="8" s="1"/>
  <c r="F34" i="10" s="1"/>
  <c r="F33" i="10"/>
  <c r="F25" i="10"/>
  <c r="F22" i="10"/>
  <c r="F18" i="8" a="1"/>
  <c r="F18" i="8" s="1"/>
  <c r="S22" i="14"/>
  <c r="S56" i="4"/>
  <c r="T52" i="4" s="1"/>
  <c r="T53" i="4" s="1"/>
  <c r="S54" i="4"/>
  <c r="R133" i="14" l="1"/>
  <c r="R147" i="14"/>
  <c r="R87" i="14"/>
  <c r="R146" i="14"/>
  <c r="R148" i="14" s="1"/>
  <c r="S118" i="14"/>
  <c r="S119" i="14" s="1"/>
  <c r="S124" i="14" s="1"/>
  <c r="S131" i="14" s="1"/>
  <c r="S71" i="14"/>
  <c r="S72" i="14" s="1"/>
  <c r="S76" i="14" s="1"/>
  <c r="S85" i="14" s="1"/>
  <c r="B31" i="8"/>
  <c r="F6" i="10" s="1"/>
  <c r="T21" i="14"/>
  <c r="T56" i="4"/>
  <c r="U52" i="4" s="1"/>
  <c r="U53" i="4" s="1"/>
  <c r="T54" i="4"/>
  <c r="B44" i="8"/>
  <c r="F7" i="10"/>
  <c r="G12" i="2"/>
  <c r="S87" i="14" l="1"/>
  <c r="S146" i="14"/>
  <c r="S133" i="14"/>
  <c r="S147" i="14"/>
  <c r="T125" i="14"/>
  <c r="T109" i="14"/>
  <c r="T117" i="14" s="1"/>
  <c r="T62" i="14"/>
  <c r="T70" i="14" s="1"/>
  <c r="T78" i="14"/>
  <c r="F10" i="10"/>
  <c r="F35" i="10"/>
  <c r="F21" i="10"/>
  <c r="F18" i="10"/>
  <c r="E51" i="8"/>
  <c r="T22" i="14"/>
  <c r="U56" i="4"/>
  <c r="V52" i="4" s="1"/>
  <c r="V53" i="4" s="1"/>
  <c r="U54" i="4"/>
  <c r="S148" i="14" l="1"/>
  <c r="T71" i="14"/>
  <c r="T72" i="14"/>
  <c r="T76" i="14" s="1"/>
  <c r="T85" i="14" s="1"/>
  <c r="T118" i="14"/>
  <c r="T119" i="14" s="1"/>
  <c r="T124" i="14" s="1"/>
  <c r="T131" i="14" s="1"/>
  <c r="U21" i="14"/>
  <c r="V56" i="4"/>
  <c r="W52" i="4" s="1"/>
  <c r="W53" i="4" s="1"/>
  <c r="V54" i="4"/>
  <c r="T133" i="14" l="1"/>
  <c r="T147" i="14"/>
  <c r="T87" i="14"/>
  <c r="T146" i="14"/>
  <c r="T148" i="14" s="1"/>
  <c r="U125" i="14"/>
  <c r="U109" i="14"/>
  <c r="U117" i="14" s="1"/>
  <c r="U62" i="14"/>
  <c r="U70" i="14" s="1"/>
  <c r="U78" i="14"/>
  <c r="U22" i="14"/>
  <c r="W56" i="4"/>
  <c r="X52" i="4" s="1"/>
  <c r="X53" i="4" s="1"/>
  <c r="W54" i="4"/>
  <c r="U118" i="14" l="1"/>
  <c r="U119" i="14" s="1"/>
  <c r="U124" i="14" s="1"/>
  <c r="U131" i="14" s="1"/>
  <c r="U71" i="14"/>
  <c r="U72" i="14"/>
  <c r="U76" i="14" s="1"/>
  <c r="U85" i="14" s="1"/>
  <c r="V21" i="14"/>
  <c r="X56" i="4"/>
  <c r="Y52" i="4" s="1"/>
  <c r="Y53" i="4" s="1"/>
  <c r="X54" i="4"/>
  <c r="U87" i="14" l="1"/>
  <c r="U146" i="14"/>
  <c r="U133" i="14"/>
  <c r="U147" i="14"/>
  <c r="V109" i="14"/>
  <c r="V117" i="14" s="1"/>
  <c r="V118" i="14" s="1"/>
  <c r="V119" i="14" s="1"/>
  <c r="V124" i="14" s="1"/>
  <c r="V125" i="14"/>
  <c r="V62" i="14"/>
  <c r="V70" i="14" s="1"/>
  <c r="V78" i="14"/>
  <c r="V22" i="14"/>
  <c r="Y56" i="4"/>
  <c r="Z52" i="4" s="1"/>
  <c r="Z53" i="4" s="1"/>
  <c r="Y54" i="4"/>
  <c r="U148" i="14" l="1"/>
  <c r="V71" i="14"/>
  <c r="V72" i="14" s="1"/>
  <c r="V76" i="14" s="1"/>
  <c r="V85" i="14" s="1"/>
  <c r="V131" i="14"/>
  <c r="W21" i="14"/>
  <c r="W22" i="14"/>
  <c r="Z56" i="4"/>
  <c r="AA52" i="4" s="1"/>
  <c r="AA53" i="4" s="1"/>
  <c r="Z54" i="4"/>
  <c r="V87" i="14" l="1"/>
  <c r="V146" i="14"/>
  <c r="V148" i="14" s="1"/>
  <c r="V133" i="14"/>
  <c r="V147" i="14"/>
  <c r="W125" i="14"/>
  <c r="W109" i="14"/>
  <c r="W117" i="14" s="1"/>
  <c r="W118" i="14" s="1"/>
  <c r="W119" i="14" s="1"/>
  <c r="W124" i="14" s="1"/>
  <c r="W131" i="14" s="1"/>
  <c r="W62" i="14"/>
  <c r="W70" i="14" s="1"/>
  <c r="W78" i="14"/>
  <c r="X21" i="14"/>
  <c r="X22" i="14"/>
  <c r="AA56" i="4"/>
  <c r="AB52" i="4" s="1"/>
  <c r="AB53" i="4" s="1"/>
  <c r="AA54" i="4"/>
  <c r="W133" i="14" l="1"/>
  <c r="W147" i="14"/>
  <c r="W71" i="14"/>
  <c r="W72" i="14" s="1"/>
  <c r="W76" i="14" s="1"/>
  <c r="W85" i="14" s="1"/>
  <c r="X109" i="14"/>
  <c r="X117" i="14" s="1"/>
  <c r="X118" i="14" s="1"/>
  <c r="X119" i="14" s="1"/>
  <c r="X124" i="14" s="1"/>
  <c r="X131" i="14" s="1"/>
  <c r="X125" i="14"/>
  <c r="X78" i="14"/>
  <c r="X62" i="14"/>
  <c r="X70" i="14" s="1"/>
  <c r="Y21" i="14"/>
  <c r="AB56" i="4"/>
  <c r="AC52" i="4" s="1"/>
  <c r="AC53" i="4" s="1"/>
  <c r="AB54" i="4"/>
  <c r="X133" i="14" l="1"/>
  <c r="X147" i="14"/>
  <c r="W87" i="14"/>
  <c r="W146" i="14"/>
  <c r="W148" i="14" s="1"/>
  <c r="Y125" i="14"/>
  <c r="Y109" i="14"/>
  <c r="Y117" i="14" s="1"/>
  <c r="Y118" i="14" s="1"/>
  <c r="Y119" i="14" s="1"/>
  <c r="Y124" i="14" s="1"/>
  <c r="Y62" i="14"/>
  <c r="Y70" i="14" s="1"/>
  <c r="Y78" i="14"/>
  <c r="X71" i="14"/>
  <c r="X72" i="14" s="1"/>
  <c r="X76" i="14" s="1"/>
  <c r="X85" i="14" s="1"/>
  <c r="Y22" i="14"/>
  <c r="Z21" i="14" s="1"/>
  <c r="AC56" i="4"/>
  <c r="AD52" i="4" s="1"/>
  <c r="AD53" i="4" s="1"/>
  <c r="AC54" i="4"/>
  <c r="X87" i="14" l="1"/>
  <c r="X146" i="14"/>
  <c r="X148" i="14" s="1"/>
  <c r="Z109" i="14"/>
  <c r="Z117" i="14" s="1"/>
  <c r="Z125" i="14"/>
  <c r="Z78" i="14"/>
  <c r="Z62" i="14"/>
  <c r="Z70" i="14" s="1"/>
  <c r="Z22" i="14"/>
  <c r="AA21" i="14" s="1"/>
  <c r="Y71" i="14"/>
  <c r="Y72" i="14" s="1"/>
  <c r="Y76" i="14" s="1"/>
  <c r="Y85" i="14" s="1"/>
  <c r="Y131" i="14"/>
  <c r="AD56" i="4"/>
  <c r="AE52" i="4" s="1"/>
  <c r="AE53" i="4" s="1"/>
  <c r="AD54" i="4"/>
  <c r="Y87" i="14" l="1"/>
  <c r="Y146" i="14"/>
  <c r="Y148" i="14" s="1"/>
  <c r="Y133" i="14"/>
  <c r="Y147" i="14"/>
  <c r="AA109" i="14"/>
  <c r="AA117" i="14" s="1"/>
  <c r="AA125" i="14"/>
  <c r="AA78" i="14"/>
  <c r="AA62" i="14"/>
  <c r="AA70" i="14" s="1"/>
  <c r="Z71" i="14"/>
  <c r="Z72" i="14" s="1"/>
  <c r="Z76" i="14" s="1"/>
  <c r="Z85" i="14" s="1"/>
  <c r="Z118" i="14"/>
  <c r="Z119" i="14" s="1"/>
  <c r="Z124" i="14" s="1"/>
  <c r="Z131" i="14" s="1"/>
  <c r="AA22" i="14"/>
  <c r="AE54" i="4"/>
  <c r="AE56" i="4"/>
  <c r="AF52" i="4" s="1"/>
  <c r="AF53" i="4" s="1"/>
  <c r="Z87" i="14" l="1"/>
  <c r="Z146" i="14"/>
  <c r="Z148" i="14" s="1"/>
  <c r="Z133" i="14"/>
  <c r="Z147" i="14"/>
  <c r="AA71" i="14"/>
  <c r="AA72" i="14" s="1"/>
  <c r="AA76" i="14" s="1"/>
  <c r="AA85" i="14" s="1"/>
  <c r="AA118" i="14"/>
  <c r="AA119" i="14" s="1"/>
  <c r="AA124" i="14" s="1"/>
  <c r="AA131" i="14" s="1"/>
  <c r="AB21" i="14"/>
  <c r="AB22" i="14" s="1"/>
  <c r="AF54" i="4"/>
  <c r="AF56" i="4"/>
  <c r="AG52" i="4" s="1"/>
  <c r="AG53" i="4" s="1"/>
  <c r="AA133" i="14" l="1"/>
  <c r="AA147" i="14"/>
  <c r="AA87" i="14"/>
  <c r="AA146" i="14"/>
  <c r="AA148" i="14" s="1"/>
  <c r="N28" i="14"/>
  <c r="N30" i="14" s="1"/>
  <c r="AB84" i="14"/>
  <c r="AB130" i="14"/>
  <c r="AB109" i="14"/>
  <c r="AB117" i="14" s="1"/>
  <c r="AB125" i="14"/>
  <c r="AB78" i="14"/>
  <c r="AB62" i="14"/>
  <c r="AB70" i="14" s="1"/>
  <c r="AG56" i="4"/>
  <c r="AG54" i="4"/>
  <c r="J59" i="4"/>
  <c r="M58" i="4"/>
  <c r="AB118" i="14" l="1"/>
  <c r="AB119" i="14"/>
  <c r="AB124" i="14" s="1"/>
  <c r="AB131" i="14" s="1"/>
  <c r="AB147" i="14" s="1"/>
  <c r="AB71" i="14"/>
  <c r="AB72" i="14" s="1"/>
  <c r="AB76" i="14" s="1"/>
  <c r="AB85" i="14" s="1"/>
  <c r="AB146" i="14" s="1"/>
  <c r="P36" i="4"/>
  <c r="Q36" i="4" s="1"/>
  <c r="M36" i="4"/>
  <c r="AB148" i="14" l="1"/>
  <c r="AB87" i="14"/>
  <c r="H88" i="14" s="1"/>
  <c r="H90" i="14"/>
  <c r="AD146" i="14" s="1"/>
  <c r="AE146" i="14"/>
  <c r="AB133" i="14"/>
  <c r="H134" i="14" s="1"/>
  <c r="H136" i="14"/>
  <c r="AD147" i="14" s="1"/>
  <c r="H135" i="14"/>
  <c r="AE147" i="14" s="1"/>
  <c r="AD148" i="14" l="1"/>
  <c r="AE148" i="14"/>
  <c r="G11" i="2" l="1"/>
  <c r="G14" i="2" l="1"/>
  <c r="H10" i="2"/>
  <c r="G13" i="2"/>
  <c r="N24" i="2"/>
  <c r="F29" i="2"/>
  <c r="F26" i="2"/>
  <c r="F25" i="2"/>
  <c r="F24" i="2"/>
  <c r="H22" i="2" s="1"/>
  <c r="B14" i="2"/>
  <c r="B11" i="2"/>
  <c r="B7" i="2"/>
  <c r="B10" i="2"/>
  <c r="B9" i="2"/>
  <c r="B8" i="2"/>
  <c r="F27" i="2" l="1"/>
  <c r="N29" i="2" s="1"/>
  <c r="K9" i="2"/>
  <c r="L9" i="2"/>
  <c r="T9" i="2"/>
  <c r="AB9" i="2"/>
  <c r="P9" i="2"/>
  <c r="I10" i="2"/>
  <c r="J10" i="2" s="1"/>
  <c r="K10" i="2" s="1"/>
  <c r="L10" i="2" s="1"/>
  <c r="Z9" i="2"/>
  <c r="M9" i="2"/>
  <c r="U9" i="2"/>
  <c r="I9" i="2"/>
  <c r="X9" i="2"/>
  <c r="Q9" i="2"/>
  <c r="R9" i="2"/>
  <c r="N9" i="2"/>
  <c r="V9" i="2"/>
  <c r="Y9" i="2"/>
  <c r="S9" i="2"/>
  <c r="O9" i="2"/>
  <c r="W9" i="2"/>
  <c r="J9" i="2"/>
  <c r="AA9" i="2"/>
  <c r="I21" i="2"/>
  <c r="I22" i="2"/>
  <c r="M10" i="2" l="1"/>
  <c r="N10" i="2" s="1"/>
  <c r="O10" i="2" s="1"/>
  <c r="P10" i="2" s="1"/>
  <c r="Q10" i="2" s="1"/>
  <c r="R10" i="2" s="1"/>
  <c r="S10" i="2" s="1"/>
  <c r="T10" i="2" s="1"/>
  <c r="U10" i="2" s="1"/>
  <c r="V10" i="2" s="1"/>
  <c r="W10" i="2" s="1"/>
  <c r="X10" i="2" s="1"/>
  <c r="Y10" i="2" s="1"/>
  <c r="Z10" i="2" s="1"/>
  <c r="AA10" i="2" s="1"/>
  <c r="AB10" i="2" s="1"/>
  <c r="J21" i="2"/>
  <c r="J22" i="2" l="1"/>
  <c r="K21" i="2" s="1"/>
  <c r="K22" i="2" s="1"/>
  <c r="L21" i="2" s="1"/>
  <c r="L22" i="2" l="1"/>
  <c r="M21" i="2" l="1"/>
  <c r="M22" i="2" s="1"/>
  <c r="N21" i="2" l="1"/>
  <c r="N22" i="2" s="1"/>
  <c r="O21" i="2" l="1"/>
  <c r="O22" i="2" s="1"/>
  <c r="P21" i="2" l="1"/>
  <c r="P22" i="2" s="1"/>
  <c r="Q21" i="2" l="1"/>
  <c r="Q22" i="2" s="1"/>
  <c r="R21" i="2" l="1"/>
  <c r="R22" i="2" s="1"/>
  <c r="S21" i="2" l="1"/>
  <c r="S22" i="2" s="1"/>
  <c r="T21" i="2" l="1"/>
  <c r="T22" i="2" s="1"/>
  <c r="U21" i="2" l="1"/>
  <c r="U22" i="2" s="1"/>
  <c r="V21" i="2" l="1"/>
  <c r="V22" i="2" s="1"/>
  <c r="W21" i="2" l="1"/>
  <c r="W22" i="2" s="1"/>
  <c r="X21" i="2" l="1"/>
  <c r="X22" i="2" s="1"/>
  <c r="Y21" i="2" l="1"/>
  <c r="Y22" i="2" s="1"/>
  <c r="Z21" i="2" l="1"/>
  <c r="Z22" i="2" s="1"/>
  <c r="AA21" i="2" l="1"/>
  <c r="AA22" i="2" s="1"/>
  <c r="AB21" i="2" l="1"/>
  <c r="AB22" i="2" l="1"/>
  <c r="N28" i="2" s="1"/>
  <c r="N30" i="2" s="1"/>
  <c r="R33" i="1"/>
  <c r="D24" i="10" s="1"/>
  <c r="K37" i="1" l="1"/>
  <c r="K39" i="1" s="1"/>
  <c r="D11" i="10"/>
  <c r="K16" i="1" l="1"/>
  <c r="R34" i="1"/>
  <c r="D25" i="10" s="1"/>
  <c r="Q8" i="1"/>
  <c r="Q35" i="1" s="1"/>
  <c r="Q38" i="1" s="1"/>
  <c r="R31" i="1"/>
  <c r="D22" i="10" s="1"/>
  <c r="D33" i="10"/>
  <c r="D34" i="10" l="1"/>
  <c r="H7" i="1"/>
  <c r="D37" i="10"/>
  <c r="D35" i="10" l="1"/>
  <c r="L18" i="1"/>
  <c r="D10" i="10"/>
  <c r="R27" i="1"/>
  <c r="D18" i="10" s="1"/>
  <c r="R30" i="1"/>
  <c r="D21" i="10" s="1"/>
  <c r="G28" i="15"/>
  <c r="F28" i="15"/>
  <c r="E28" i="15"/>
  <c r="D2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<sst xmlns="http://schemas.openxmlformats.org/spreadsheetml/2006/main" count="915" uniqueCount="514">
  <si>
    <t>MagNet</t>
  </si>
  <si>
    <t>BILAN 2013</t>
  </si>
  <si>
    <t>BILAN 2014</t>
  </si>
  <si>
    <t>ACTIF</t>
  </si>
  <si>
    <t>PASSIF</t>
  </si>
  <si>
    <t>Actif Court Terme</t>
  </si>
  <si>
    <t>Passif Court Terme</t>
  </si>
  <si>
    <t>Encaisse</t>
  </si>
  <si>
    <t>Avance Bancaire</t>
  </si>
  <si>
    <t>Comptes Clients</t>
  </si>
  <si>
    <t>Comptes Fournisseurs</t>
  </si>
  <si>
    <t>Stocks</t>
  </si>
  <si>
    <t>Impôt dû</t>
  </si>
  <si>
    <t>Frais Payés d'avance</t>
  </si>
  <si>
    <t>Passif Long Terme</t>
  </si>
  <si>
    <t>Actifs Long Terme</t>
  </si>
  <si>
    <t>Dette à long terme</t>
  </si>
  <si>
    <t>Immobilisation Nettes</t>
  </si>
  <si>
    <t>Placements</t>
  </si>
  <si>
    <t>CAPITAUX PROPRES</t>
  </si>
  <si>
    <t>Actifs Incorporels</t>
  </si>
  <si>
    <t>Capital Action</t>
  </si>
  <si>
    <t>Bénéfices Non-Répartis</t>
  </si>
  <si>
    <t>ACTIF TOTAL</t>
  </si>
  <si>
    <t>PASSIF + CAPITAUX PROPRES</t>
  </si>
  <si>
    <t>OPÉRATIONS 2014</t>
  </si>
  <si>
    <t>ÉTAT DES RÉSULTATS 2014</t>
  </si>
  <si>
    <t>EXPLOITATION</t>
  </si>
  <si>
    <t>Chiffre d'affaire</t>
  </si>
  <si>
    <t>Produits</t>
  </si>
  <si>
    <t>Cout des marchandises vendues</t>
  </si>
  <si>
    <t>Coût de ventes / Stock</t>
  </si>
  <si>
    <t>Réparation et entretien</t>
  </si>
  <si>
    <t>(Stocks / Coûts des ventes) * 365</t>
  </si>
  <si>
    <t>(uniquement pour fabrication)</t>
  </si>
  <si>
    <t>Bénéfice Brut</t>
  </si>
  <si>
    <t>Produits (revenus) / Actif total</t>
  </si>
  <si>
    <t>Amortissement sur actif immobilisés (fabrication)</t>
  </si>
  <si>
    <t>Amortissement sur équipement de bureau</t>
  </si>
  <si>
    <t xml:space="preserve">Frais de ventes et d'administration </t>
  </si>
  <si>
    <t>Frais de commercialisation</t>
  </si>
  <si>
    <t>Frais financiers</t>
  </si>
  <si>
    <t>Bénéfice net / Total Actif</t>
  </si>
  <si>
    <t>Intérêts courus sur emprunt</t>
  </si>
  <si>
    <t>Benefice net / Capitaux propers</t>
  </si>
  <si>
    <t>(tranche CT de la dette LT)</t>
  </si>
  <si>
    <t>Bénéfice d'exploitation</t>
  </si>
  <si>
    <t>Bénéfice brut / Ventes nettes</t>
  </si>
  <si>
    <t>(C'est un frais financier à payer sur emprunt)</t>
  </si>
  <si>
    <t>Bénéfices d'exploitation / Ventes nettes</t>
  </si>
  <si>
    <t>Publicité</t>
  </si>
  <si>
    <t>Bénéfice avant impot</t>
  </si>
  <si>
    <t>Bénéfice net / Ventes nettes</t>
  </si>
  <si>
    <t>Services (électricité, gaz, …)</t>
  </si>
  <si>
    <t>Impot de l'exercice (40%)</t>
  </si>
  <si>
    <t>Achat de matière première</t>
  </si>
  <si>
    <t>Salaires administratifs</t>
  </si>
  <si>
    <t>Bénéfice Net</t>
  </si>
  <si>
    <t>Fournitures et outillages (fabrication)</t>
  </si>
  <si>
    <t>Main d'œuvre directe</t>
  </si>
  <si>
    <t>Frais d'administration</t>
  </si>
  <si>
    <t>Commission aux vendeurs</t>
  </si>
  <si>
    <t>Exploitation</t>
  </si>
  <si>
    <t>INVESTISSEMENTS</t>
  </si>
  <si>
    <t>Sources</t>
  </si>
  <si>
    <t>Achat d'actifs immobilisés</t>
  </si>
  <si>
    <t>Bénéfices net</t>
  </si>
  <si>
    <t>Placement stratégiques fait au cours de l'exercice</t>
  </si>
  <si>
    <t>Amortissement</t>
  </si>
  <si>
    <t>Augmentation des comptes fournisseurs</t>
  </si>
  <si>
    <t>FINANCEMENT</t>
  </si>
  <si>
    <t>Émission d'actions</t>
  </si>
  <si>
    <t>Utilisations</t>
  </si>
  <si>
    <t>Dividendes payés</t>
  </si>
  <si>
    <t>Augmentation des comptes clients</t>
  </si>
  <si>
    <t>Remboursement de capital de la dette à long terme</t>
  </si>
  <si>
    <t>Augmentation des stocks</t>
  </si>
  <si>
    <t>DIVERS</t>
  </si>
  <si>
    <t>(Frais payés d'avance et avances bancaires sont inchangées)</t>
  </si>
  <si>
    <t>Variation des liquidités provenant de l'exploitation</t>
  </si>
  <si>
    <t>Stocks finaux</t>
  </si>
  <si>
    <t>Taux d'imposition (payé en Avril 2015)</t>
  </si>
  <si>
    <t>Investissement</t>
  </si>
  <si>
    <t>Variation des liquidités provenant de l'investissement</t>
  </si>
  <si>
    <t>Financement</t>
  </si>
  <si>
    <t>Remboursement de l'emprunt hypothécaire</t>
  </si>
  <si>
    <t>Variation des liquidités provenant du financement</t>
  </si>
  <si>
    <t>Variation des liquidités (encaisse)</t>
  </si>
  <si>
    <t>Encaisse initiale</t>
  </si>
  <si>
    <t>Encaisse finale</t>
  </si>
  <si>
    <t>SARLOS TECNOLOGIE INC.</t>
  </si>
  <si>
    <t>État des résultats 2013</t>
  </si>
  <si>
    <t>Operation financières de SARLOS - 2014</t>
  </si>
  <si>
    <t>Ventes (revenus)</t>
  </si>
  <si>
    <t xml:space="preserve">    Au comptant</t>
  </si>
  <si>
    <t>Salaires à payer</t>
  </si>
  <si>
    <t xml:space="preserve">    À crédit (comptes clients)</t>
  </si>
  <si>
    <t xml:space="preserve">    Remboursement de certains clients</t>
  </si>
  <si>
    <t>Total du passif à court terme</t>
  </si>
  <si>
    <t>Frais de ventes et d'administration</t>
  </si>
  <si>
    <t>=('Partie 1 - SARLOS'!H39+</t>
  </si>
  <si>
    <t>Achat de stock</t>
  </si>
  <si>
    <t>Immobilisations</t>
  </si>
  <si>
    <t>Terrains</t>
  </si>
  <si>
    <t>Billets à payer</t>
  </si>
  <si>
    <t xml:space="preserve">    À crédit (comptes fournisseurs)</t>
  </si>
  <si>
    <t>Batiments</t>
  </si>
  <si>
    <t>Obligations</t>
  </si>
  <si>
    <t xml:space="preserve">    Stock final (au bilan 2014)</t>
  </si>
  <si>
    <t>Équipements</t>
  </si>
  <si>
    <t>Hypothèque</t>
  </si>
  <si>
    <t>Ammortissement cumulé</t>
  </si>
  <si>
    <t>Total du passif à long terme</t>
  </si>
  <si>
    <t>Total des immobilisations</t>
  </si>
  <si>
    <t>Total de l'actif</t>
  </si>
  <si>
    <t>Paiement de commissions aux vendeurs</t>
  </si>
  <si>
    <t>Salaire administratifs à payer (deja inclus dans salaire administratif)</t>
  </si>
  <si>
    <t>Total des Capitaux propres</t>
  </si>
  <si>
    <t>Autres frais payés au comptant (téléphone, électricité, publicité)</t>
  </si>
  <si>
    <t>Augmentation au net des frais payés d'avance</t>
  </si>
  <si>
    <t>État des résultats 2014</t>
  </si>
  <si>
    <t>Emprunt hypothécaire</t>
  </si>
  <si>
    <t>Remboursement du capital</t>
  </si>
  <si>
    <t>Paiement des interets</t>
  </si>
  <si>
    <t>Obligation</t>
  </si>
  <si>
    <t>Émission d'obligations</t>
  </si>
  <si>
    <t>Paiement de dividendes</t>
  </si>
  <si>
    <t>Taux d'imposition</t>
  </si>
  <si>
    <t>État des flux de trésoreries 2014</t>
  </si>
  <si>
    <t>Augmentation des charges à payer</t>
  </si>
  <si>
    <t>Augmentation des Frais payés d'avance</t>
  </si>
  <si>
    <t>Nouveaux emprunts (au net)</t>
  </si>
  <si>
    <t>Dividendes versés</t>
  </si>
  <si>
    <t>SkyTransit</t>
  </si>
  <si>
    <t>Assurances payées d'avances</t>
  </si>
  <si>
    <t>Total de l'actif à court terme</t>
  </si>
  <si>
    <t>Passif à long terme</t>
  </si>
  <si>
    <t>Billet à payer</t>
  </si>
  <si>
    <t>Terrain</t>
  </si>
  <si>
    <t>Passif d'impot futurs</t>
  </si>
  <si>
    <t>Equipements</t>
  </si>
  <si>
    <t>Amortissement cumulé</t>
  </si>
  <si>
    <t>Capitaux Propres</t>
  </si>
  <si>
    <t>Capital-actions</t>
  </si>
  <si>
    <t>BNR</t>
  </si>
  <si>
    <t>Total des Capitaux Propres</t>
  </si>
  <si>
    <t>Passif Total</t>
  </si>
  <si>
    <t>Total du Passif et des capitaux propres</t>
  </si>
  <si>
    <t>Operation financières - 2014</t>
  </si>
  <si>
    <t>Autres produits et charges</t>
  </si>
  <si>
    <t>Gain sur cession d'actif</t>
  </si>
  <si>
    <t>Pertes sur cession d'actif</t>
  </si>
  <si>
    <t>Impot de l'exercice</t>
  </si>
  <si>
    <t>Benefice net</t>
  </si>
  <si>
    <t xml:space="preserve">    Bénéfices net</t>
  </si>
  <si>
    <t xml:space="preserve">    Amortissement</t>
  </si>
  <si>
    <t xml:space="preserve">    Impot futurs</t>
  </si>
  <si>
    <t xml:space="preserve">    Pertes</t>
  </si>
  <si>
    <t xml:space="preserve">    Augmentation des charges à payer</t>
  </si>
  <si>
    <t>Paiement des dividendes</t>
  </si>
  <si>
    <t xml:space="preserve">    Augmentation des comptes clients</t>
  </si>
  <si>
    <t xml:space="preserve">    Augmentation des stocks</t>
  </si>
  <si>
    <t xml:space="preserve">    Augmentation des Frais payés d'avance</t>
  </si>
  <si>
    <t xml:space="preserve">    Diminution des comptes fournisseurs</t>
  </si>
  <si>
    <t xml:space="preserve">    Gain</t>
  </si>
  <si>
    <t xml:space="preserve">    Produit sur cession d'actif</t>
  </si>
  <si>
    <t xml:space="preserve">    Produits sur cession de batiment</t>
  </si>
  <si>
    <t xml:space="preserve">    Achat d'équipement</t>
  </si>
  <si>
    <t xml:space="preserve">Nouveaux emprunts </t>
  </si>
  <si>
    <t>Nouvelle émission d'actions</t>
  </si>
  <si>
    <t>Synthèse des Ratios des entreprises</t>
  </si>
  <si>
    <t>Ratio</t>
  </si>
  <si>
    <t>SARLOS</t>
  </si>
  <si>
    <t>Formule</t>
  </si>
  <si>
    <t>Analyse de la liquidité</t>
  </si>
  <si>
    <t>Ratio de Fonds de roulement</t>
  </si>
  <si>
    <t>Actif CT / Passif CT</t>
  </si>
  <si>
    <t>Ratio de l'indice de liquidité relative</t>
  </si>
  <si>
    <t>(Actif CT - Stocks - Frais payés d'avance) / Passif CT</t>
  </si>
  <si>
    <t>Analyse de la gestion de la dette</t>
  </si>
  <si>
    <t>Ratio d'endettement</t>
  </si>
  <si>
    <t>Passif total / Actif total</t>
  </si>
  <si>
    <t>Ratio de couverture des Interets</t>
  </si>
  <si>
    <t>(Benefice imposable + Interet) / Interet</t>
  </si>
  <si>
    <t>Analyse de la gestion de l'actif</t>
  </si>
  <si>
    <t>Ratio de rotation des comptes clients</t>
  </si>
  <si>
    <t>Ventes (revenus) / Compte-clients</t>
  </si>
  <si>
    <t>Nombre de jours de perception</t>
  </si>
  <si>
    <t>(Comptes clients / ventes) * 365</t>
  </si>
  <si>
    <t>Ratio de rotation des stocks</t>
  </si>
  <si>
    <t>Nombre de jours d'inventaire</t>
  </si>
  <si>
    <t>Analyse de la rentabilité et du rendement</t>
  </si>
  <si>
    <t>Ratio de rendement du capital investi</t>
  </si>
  <si>
    <t>Ratio du rendement des capitaux propres</t>
  </si>
  <si>
    <t>Ratio de la marge bénéficiaire brute</t>
  </si>
  <si>
    <t>Ratio de la marge bénéficiaire d'exploitation</t>
  </si>
  <si>
    <t>Ratio de la marge bénéficiaire nette</t>
  </si>
  <si>
    <t>Etat financiers</t>
  </si>
  <si>
    <t>Actif total</t>
  </si>
  <si>
    <t>Passif total</t>
  </si>
  <si>
    <r>
      <rPr>
        <b/>
        <u/>
        <sz val="11"/>
        <color theme="1"/>
        <rFont val="Aptos Narrow"/>
        <family val="2"/>
        <scheme val="minor"/>
      </rPr>
      <t>Une fois votre bailleur de fonds (partenaire) sélectionné</t>
    </r>
    <r>
      <rPr>
        <sz val="11"/>
        <color theme="1"/>
        <rFont val="Aptos Narrow"/>
        <family val="2"/>
        <scheme val="minor"/>
      </rPr>
      <t xml:space="preserve">, ce dernier vous demande de lui prouver la rentabilité de l’exploitation du nouveau produit. En effet, comme votre nouveau produit comporte un risque technologique et commercial, votre nouvel associé (partenaire) suggère qu’un </t>
    </r>
    <r>
      <rPr>
        <b/>
        <sz val="11"/>
        <color theme="1"/>
        <rFont val="Aptos Narrow"/>
        <family val="2"/>
        <scheme val="minor"/>
      </rPr>
      <t>TRAM de 14.50% capitalisable mensuellement</t>
    </r>
    <r>
      <rPr>
        <sz val="11"/>
        <color theme="1"/>
        <rFont val="Aptos Narrow"/>
        <family val="2"/>
        <scheme val="minor"/>
      </rPr>
      <t xml:space="preserve"> sur le projet est justifiable compte tenu du risque intrinsèque relié au projet. </t>
    </r>
    <r>
      <rPr>
        <b/>
        <sz val="11"/>
        <color theme="1"/>
        <rFont val="Aptos Narrow"/>
        <family val="2"/>
        <scheme val="minor"/>
      </rPr>
      <t>Spécifiquement, votre bailleur de fonds vous demande de lui prouver la rentabilité de votre projet selon les critères du TRI et de la VAN</t>
    </r>
  </si>
  <si>
    <t>1) Équipement de fabrication : le prix d’achat est de 350 000$, les frais de déplacement et d’installation sont de 5 000$, le prix de revente à la fin de la 20ième année est de 35 000$ et la méthode d’amortissement est linéaire. L’équipement nécessitera des entretiens et réparations de 10 000$ annuellement, et ce, à partir de la première année (payable en fin d’année).</t>
  </si>
  <si>
    <t>Information sur l’équipement de fabrication</t>
  </si>
  <si>
    <t xml:space="preserve">Charges d'Amortissements annuels </t>
  </si>
  <si>
    <t>Coût initial d'acquisition (CA)</t>
  </si>
  <si>
    <t>Asmortissement linéaire</t>
  </si>
  <si>
    <t>Frais d'installation &amp; déplacement</t>
  </si>
  <si>
    <t>Année</t>
  </si>
  <si>
    <t>Valeur de récupération (S)</t>
  </si>
  <si>
    <t>Coûts annuels d'E&amp;R</t>
  </si>
  <si>
    <t>Restant</t>
  </si>
  <si>
    <t>Durée de l’amortissement linéaire de l’équipement (années)</t>
  </si>
  <si>
    <t>P=</t>
  </si>
  <si>
    <t>2) Bâtiment d’entrepôt : voici les informations sur le bâtiment d’entreposage des produits.</t>
  </si>
  <si>
    <t>S=</t>
  </si>
  <si>
    <t>Informations comptables</t>
  </si>
  <si>
    <t>Bâtiment pour l’entrepôt des produits</t>
  </si>
  <si>
    <t>Coûts annuels=</t>
  </si>
  <si>
    <t>Coût initial</t>
  </si>
  <si>
    <t>Taux d'imposition =</t>
  </si>
  <si>
    <t>Durée amortissable (années)</t>
  </si>
  <si>
    <t>Valeur de récupération (VR)</t>
  </si>
  <si>
    <t>32% du cout initial</t>
  </si>
  <si>
    <t>Méthode d’amortissement comptable</t>
  </si>
  <si>
    <t>Dégressif</t>
  </si>
  <si>
    <t>Catégorie DPA (catégorie 1)</t>
  </si>
  <si>
    <t>d=4%</t>
  </si>
  <si>
    <t>Coûts d’entretiens et réparation annuels</t>
  </si>
  <si>
    <t>1250 $ (1 à 20 ans)</t>
  </si>
  <si>
    <t>Amortissement dégressif  à taux DPA d=4%</t>
  </si>
  <si>
    <t>3) Le département de marketing prévoit un volume d’activité (Q) de 250 unités mensuelles à partir de la première année jusqu'à la fin de 5e année. Ensuite, le niveau d’activité augmentera à 500 unités jusqu’à la fin de la 20ième année. D’ailleurs, après une étude de marché, les gens du marketing escomptent vendre le nouveau produit au prix de 125$ unitaire (Px).</t>
  </si>
  <si>
    <t>Dn</t>
  </si>
  <si>
    <t>Bn</t>
  </si>
  <si>
    <t>4) Le département d’ingénierie a calculé que le coût unitaire de fabrication se compose de deux parties soit une partie variable et une partie fixe. La partie « frais variables (Cx) » est de 8$ par unité. La partie « frais fixes (Cf) » est de 1 000$ mensuellement à partir de la deuxième année.</t>
  </si>
  <si>
    <t>5) Le projet, c’est-à-dire la nouvelle entreprise, nécessite des frais de secrétariat de 35 000$ annuel et des frais d’administration de 65 000$ annuel. D’ailleurs, le représentant, c’est-à-dire le vendeur, est totalement payé par commission. Sa rémunération variable (Rx) est de 10$ par unité vendue.</t>
  </si>
  <si>
    <t>d=</t>
  </si>
  <si>
    <t>&lt;- catégorie 1</t>
  </si>
  <si>
    <t>Dn=</t>
  </si>
  <si>
    <t>Amortissement annuel</t>
  </si>
  <si>
    <t>VR=</t>
  </si>
  <si>
    <t>Bn=</t>
  </si>
  <si>
    <t>Valeur comptable ou Valeur au Livre de l'immobilisation</t>
  </si>
  <si>
    <t>6) Le taux d’impôts sera de 35% et comme le calcul de la charge fiscale se fait en fin d’année, tous les revenus encourus dans l’année (entrées d’argents) et les dépenses encourues (sorties d’argents) sont considérés en fin d’année dans les flux monétaires.</t>
  </si>
  <si>
    <t>N=</t>
  </si>
  <si>
    <t>20  durée de vie utile de l'immobilisation</t>
  </si>
  <si>
    <t>B20=</t>
  </si>
  <si>
    <t>Valeur comptable de l'immobilisation à la 20e année (valeur de disposition)</t>
  </si>
  <si>
    <t>Valeur de récupération a la fin de la duree de vie de l'immobilisation (N=20)</t>
  </si>
  <si>
    <t>Déterminer le Flux monétaire net du projet (0 à 20 ans) et discuter de sa rentabilité.</t>
  </si>
  <si>
    <t>G=</t>
  </si>
  <si>
    <t xml:space="preserve">L'effet fiscal de la disposition </t>
  </si>
  <si>
    <t xml:space="preserve">A la suite de votre démonstration sur la rentabilité du projet, vos partenaires sont d’accord qu’au démarrage du projet, il est important d’acheter un bâtiment afin d’entreposer les produits qui seront fabriqués. En revanche, vos partenaires s’interrogent sur la pertinence d’acheter l’équipement de fabrication.
</t>
  </si>
  <si>
    <t xml:space="preserve">En effet, ils se sont informés et ils savent que le coût de location d’un tel équipement, comprenant un contrat d’entretien et de réparation, est de 12 500$ mensuellement. Comme la production débute à la première année du projet, vous jugez pertinent qu’une entente. </t>
  </si>
  <si>
    <r>
      <t xml:space="preserve">Enfin, dans le cadre de la location, vos partenaires pensent qu’investissement dans le fonds de roulement (75 000$) et nécessaire au début du projet et entièrement récupérable à la 20e année. Dans une telle éventualité, justifiez la pertinence ou la non-pertinence de louer l’équipement de fabrication. </t>
    </r>
    <r>
      <rPr>
        <b/>
        <i/>
        <sz val="11"/>
        <color theme="1"/>
        <rFont val="Aptos Narrow"/>
        <family val="2"/>
        <scheme val="minor"/>
      </rPr>
      <t>(Considérez toujours la somme des frais de location en fin d’année)</t>
    </r>
    <r>
      <rPr>
        <sz val="11"/>
        <color theme="1"/>
        <rFont val="Aptos Narrow"/>
        <family val="2"/>
        <scheme val="minor"/>
      </rPr>
      <t>.</t>
    </r>
  </si>
  <si>
    <t>Valeur comptable ou Valeur au 
Livre de l'immobilisation</t>
  </si>
  <si>
    <t>Taux d'imposition (%)</t>
  </si>
  <si>
    <t>Production et ventes</t>
  </si>
  <si>
    <t>ventes/mois année 1 à 5</t>
  </si>
  <si>
    <t>ventes/mois année 5 à 20</t>
  </si>
  <si>
    <t>Prix unitaire (Px)</t>
  </si>
  <si>
    <t>&lt;&lt;&lt;&lt;&lt;&lt;===============&gt;&gt;&gt;&gt;&gt;Ceci est la valeur effective annuelle du taux TRAM</t>
  </si>
  <si>
    <t>Frais variables $ par unités (Cx)</t>
  </si>
  <si>
    <t>ACHAT</t>
  </si>
  <si>
    <t>Frais fixes pour les années 2et plus (Cf) (Mensuel)</t>
  </si>
  <si>
    <t>Gestion</t>
  </si>
  <si>
    <t xml:space="preserve">Année </t>
  </si>
  <si>
    <t>Vendeur ($/unités)</t>
  </si>
  <si>
    <t>Location</t>
  </si>
  <si>
    <t>Entretient</t>
  </si>
  <si>
    <t>FDR</t>
  </si>
  <si>
    <t>Flux Monétaire Net</t>
  </si>
  <si>
    <t>Facteur d'actualisation du Flux 
(utilisation de la table d'intérêt)</t>
  </si>
  <si>
    <t>Flux Monétaire Net Actualisé</t>
  </si>
  <si>
    <t>Valeur Présente du Flux monétaire PE (15%)</t>
  </si>
  <si>
    <t>TRI</t>
  </si>
  <si>
    <t>VAN</t>
  </si>
  <si>
    <t>LOCATION</t>
  </si>
  <si>
    <t>RISQUES</t>
  </si>
  <si>
    <t>Variable</t>
  </si>
  <si>
    <t>Symbole (Xx)</t>
  </si>
  <si>
    <t>Prix ($)</t>
  </si>
  <si>
    <t>Réccurence</t>
  </si>
  <si>
    <t>Cumulation ($)</t>
  </si>
  <si>
    <t>Prix Unitaire</t>
  </si>
  <si>
    <t>Px</t>
  </si>
  <si>
    <t>Unitaire</t>
  </si>
  <si>
    <t>Coûts Fixes</t>
  </si>
  <si>
    <t>Cf</t>
  </si>
  <si>
    <t>Mensuel</t>
  </si>
  <si>
    <t>Coûts Var.</t>
  </si>
  <si>
    <t>Cx</t>
  </si>
  <si>
    <t>Commision.</t>
  </si>
  <si>
    <t>Rx</t>
  </si>
  <si>
    <t>Recuparation</t>
  </si>
  <si>
    <t>Sx</t>
  </si>
  <si>
    <t>Unique</t>
  </si>
  <si>
    <t>Étude</t>
  </si>
  <si>
    <t>ans</t>
  </si>
  <si>
    <t>Unités vendus</t>
  </si>
  <si>
    <t>Impotrs</t>
  </si>
  <si>
    <t>-</t>
  </si>
  <si>
    <t>VARIATIONS (Cumulée)</t>
  </si>
  <si>
    <t>VARIATIONS (Unitaire)</t>
  </si>
  <si>
    <t>Sélection location</t>
  </si>
  <si>
    <t>._.</t>
  </si>
  <si>
    <t>Cout Moyen Pondéré du capital</t>
  </si>
  <si>
    <t>Montant ($)</t>
  </si>
  <si>
    <t>Pondération (%)</t>
  </si>
  <si>
    <t>Column2</t>
  </si>
  <si>
    <t>Coût avant Impôts (%)</t>
  </si>
  <si>
    <t>Column1</t>
  </si>
  <si>
    <t>Coût après Impôts (%)</t>
  </si>
  <si>
    <t>Coût Pondéré ($)</t>
  </si>
  <si>
    <t>Pondéré (%)</t>
  </si>
  <si>
    <t>Prêt à terme</t>
  </si>
  <si>
    <t>Obligation sur 20ans
coupon annuel</t>
  </si>
  <si>
    <t>Total endettement</t>
  </si>
  <si>
    <t>Bénéfices non-répartis</t>
  </si>
  <si>
    <t>Nouvelles actions ordinaire</t>
  </si>
  <si>
    <t>Actions privilégiées</t>
  </si>
  <si>
    <t>voir tableau en basà</t>
  </si>
  <si>
    <t>Total des capitaux propres</t>
  </si>
  <si>
    <t>Total</t>
  </si>
  <si>
    <t>Impot</t>
  </si>
  <si>
    <t>Prêt à terme (proc 6 p.8-10)</t>
  </si>
  <si>
    <t>Montant du prêt</t>
  </si>
  <si>
    <t>Terme (ans)</t>
  </si>
  <si>
    <t>Capitalisation (mensuel)</t>
  </si>
  <si>
    <t>Années</t>
  </si>
  <si>
    <t>Taux nominal</t>
  </si>
  <si>
    <t>Capital</t>
  </si>
  <si>
    <t>Taux effectif (i_per)</t>
  </si>
  <si>
    <t>Intérêt annuel</t>
  </si>
  <si>
    <t>Durée totale du prêt (N)</t>
  </si>
  <si>
    <t>Remboursement Capital</t>
  </si>
  <si>
    <t>Paiement Unique (F/P, i, N)</t>
  </si>
  <si>
    <t>Paiements égaux annuel (A)</t>
  </si>
  <si>
    <t>Annuité (P/A, i, N)</t>
  </si>
  <si>
    <t>Capital à la fin</t>
  </si>
  <si>
    <t>Annuité (A/P, i, N)</t>
  </si>
  <si>
    <t>Annuité (A)</t>
  </si>
  <si>
    <t>Intérêts à payer</t>
  </si>
  <si>
    <t>Émission de coupon (proc 6 p.11)</t>
  </si>
  <si>
    <t>Financement total</t>
  </si>
  <si>
    <t>Valeur d'un coupon</t>
  </si>
  <si>
    <t>Frais émission (%)</t>
  </si>
  <si>
    <t>Frais émission ($)</t>
  </si>
  <si>
    <t>Argent Reçu ($/coupon)</t>
  </si>
  <si>
    <t>Argent Total reçu ($)</t>
  </si>
  <si>
    <t>Intérêts (%)</t>
  </si>
  <si>
    <t>Intérêts Total Payés ($)</t>
  </si>
  <si>
    <t>Frais Émission Totaux ($)</t>
  </si>
  <si>
    <t>Endettement en coupon</t>
  </si>
  <si>
    <t>Coût de l'endettement i_d (proc6 p.34-39)</t>
  </si>
  <si>
    <t>N</t>
  </si>
  <si>
    <t xml:space="preserve"> t (5)</t>
  </si>
  <si>
    <t>S</t>
  </si>
  <si>
    <t>K_s</t>
  </si>
  <si>
    <t>i_s</t>
  </si>
  <si>
    <t>k_b</t>
  </si>
  <si>
    <t>i_b</t>
  </si>
  <si>
    <t>i_d</t>
  </si>
  <si>
    <t>Trouver PE(k_b)</t>
  </si>
  <si>
    <t>Coupon</t>
  </si>
  <si>
    <t>k_b = 10%</t>
  </si>
  <si>
    <t>(F/P, i, N)</t>
  </si>
  <si>
    <t>(P/A,kb,N)</t>
  </si>
  <si>
    <t>(P/F, i, N)</t>
  </si>
  <si>
    <t>Step1</t>
  </si>
  <si>
    <t>Step2</t>
  </si>
  <si>
    <t>k_b = 11%</t>
  </si>
  <si>
    <t>Kb pour 940$ INTERPOLÉ</t>
  </si>
  <si>
    <t>Cout avant impots</t>
  </si>
  <si>
    <t>Cout après</t>
  </si>
  <si>
    <t>Pondéré</t>
  </si>
  <si>
    <t>Total endettement (Cd)</t>
  </si>
  <si>
    <t>Total des capitaux propres (Ce)</t>
  </si>
  <si>
    <t>I_d</t>
  </si>
  <si>
    <t>I_e</t>
  </si>
  <si>
    <t>2C2</t>
  </si>
  <si>
    <t>proc6 p.44 à 47</t>
  </si>
  <si>
    <t>2C2A</t>
  </si>
  <si>
    <t>P0</t>
  </si>
  <si>
    <t>g</t>
  </si>
  <si>
    <t>D1</t>
  </si>
  <si>
    <t>kr =</t>
  </si>
  <si>
    <t>2C2B</t>
  </si>
  <si>
    <t>fc</t>
  </si>
  <si>
    <t xml:space="preserve">ke = </t>
  </si>
  <si>
    <t>2C2C</t>
  </si>
  <si>
    <t>Nom</t>
  </si>
  <si>
    <t>P*</t>
  </si>
  <si>
    <t>D*</t>
  </si>
  <si>
    <t xml:space="preserve">kp = </t>
  </si>
  <si>
    <t>2C2D</t>
  </si>
  <si>
    <t>a</t>
  </si>
  <si>
    <t>b</t>
  </si>
  <si>
    <t>c</t>
  </si>
  <si>
    <t>kr</t>
  </si>
  <si>
    <t>ke</t>
  </si>
  <si>
    <t>kp</t>
  </si>
  <si>
    <t xml:space="preserve">ie = </t>
  </si>
  <si>
    <t>2C3</t>
  </si>
  <si>
    <t>id</t>
  </si>
  <si>
    <t>Cd</t>
  </si>
  <si>
    <t>ie</t>
  </si>
  <si>
    <t>Ce</t>
  </si>
  <si>
    <t>V</t>
  </si>
  <si>
    <t xml:space="preserve">k = </t>
  </si>
  <si>
    <t>titre</t>
  </si>
  <si>
    <t>Qté</t>
  </si>
  <si>
    <t>Durée (Année)</t>
  </si>
  <si>
    <t>intérêts (%)</t>
  </si>
  <si>
    <t>Canada</t>
  </si>
  <si>
    <t>Trésor</t>
  </si>
  <si>
    <t>Nova Rail</t>
  </si>
  <si>
    <t>Catégorie</t>
  </si>
  <si>
    <t>Bon du Trésor 6 mois</t>
  </si>
  <si>
    <t>Obligation de Nova Railways 5 ans</t>
  </si>
  <si>
    <t>Le capital d'emprunt total</t>
  </si>
  <si>
    <t>Capital total</t>
  </si>
  <si>
    <t>Taux d'interet moyen des capitaux propres</t>
  </si>
  <si>
    <t>Taux d'interet moyen, apres impots, du capital d'emprunt</t>
  </si>
  <si>
    <t>Cout moyen pondere du capital (CMPC)</t>
  </si>
  <si>
    <t>k</t>
  </si>
  <si>
    <t>Compte de banque au panama:</t>
  </si>
  <si>
    <t>LOGIN - PBI Panama Banking Industry</t>
  </si>
  <si>
    <t>Prix coupon</t>
  </si>
  <si>
    <t>Montant coupon (A)</t>
  </si>
  <si>
    <t>comp  (sem)</t>
  </si>
  <si>
    <t>Nb semestre (N)</t>
  </si>
  <si>
    <t>A(P/A,kb,N)</t>
  </si>
  <si>
    <t>Vn(P/F,kb,N)</t>
  </si>
  <si>
    <t>Taux Effectif Annuel</t>
  </si>
  <si>
    <t>Taux Effectif Semestriel (Kb)</t>
  </si>
  <si>
    <t>Prix achat</t>
  </si>
  <si>
    <t>Prix achat tot</t>
  </si>
  <si>
    <t>Type</t>
  </si>
  <si>
    <t>Prix achat ($)</t>
  </si>
  <si>
    <t>Montant portfeuille total ($)</t>
  </si>
  <si>
    <t>Achat total coupon ($)</t>
  </si>
  <si>
    <t>Prix revente Canada 16 ans</t>
  </si>
  <si>
    <t>Temp restant (N)</t>
  </si>
  <si>
    <t>Année revente</t>
  </si>
  <si>
    <t>Par années</t>
  </si>
  <si>
    <t>Revenus</t>
  </si>
  <si>
    <t xml:space="preserve">   Prix Unitaire des produits (Px)</t>
  </si>
  <si>
    <t xml:space="preserve">   Volume annuel (Q)</t>
  </si>
  <si>
    <t>Ventes Annuelles</t>
  </si>
  <si>
    <t>Dépenses</t>
  </si>
  <si>
    <t>ÉTAT DES RÉSULTATS</t>
  </si>
  <si>
    <t>Coûts d’entretiens et réparation (équipement)</t>
  </si>
  <si>
    <t>Coûts d’entretiens et réparation (bâtiment)</t>
  </si>
  <si>
    <t>Coût de production</t>
  </si>
  <si>
    <t>Coûts d’entretiens et réparation annuels (1 à 20 ans)</t>
  </si>
  <si>
    <t>Amortissement de l'équipement (linéaire)</t>
  </si>
  <si>
    <t>Amortissement du bâtiment (DPA)</t>
  </si>
  <si>
    <t>Charges et frais</t>
  </si>
  <si>
    <t>Augmentation des impôts</t>
  </si>
  <si>
    <t>Augmentation des intérêts</t>
  </si>
  <si>
    <t>Règle 50%</t>
  </si>
  <si>
    <t>Coûts de fabrication</t>
  </si>
  <si>
    <t xml:space="preserve">  Coûts Fixes (Cf)</t>
  </si>
  <si>
    <t>Ammortissement</t>
  </si>
  <si>
    <t>Intérêts sur emprunt</t>
  </si>
  <si>
    <t xml:space="preserve">  Coûts Variables (Cx)</t>
  </si>
  <si>
    <t>Frais</t>
  </si>
  <si>
    <t xml:space="preserve">  Frais de secrétariat</t>
  </si>
  <si>
    <t>Secrétariat</t>
  </si>
  <si>
    <t>Administration</t>
  </si>
  <si>
    <t xml:space="preserve">  Frais d'administration</t>
  </si>
  <si>
    <t xml:space="preserve">  Frais de Rémunération (Rx)</t>
  </si>
  <si>
    <t>Bénéfice Imposable</t>
  </si>
  <si>
    <t>Impôts (35%)</t>
  </si>
  <si>
    <t>ÉTAT DES FLUX DE TRÉSORERIE</t>
  </si>
  <si>
    <t>Activités d'investissement</t>
  </si>
  <si>
    <t xml:space="preserve">  Équipement Fabrication</t>
  </si>
  <si>
    <t xml:space="preserve">  Bâtiment</t>
  </si>
  <si>
    <t xml:space="preserve">  Récupération bâtiment</t>
  </si>
  <si>
    <t xml:space="preserve">  Récupération Équipement (S)</t>
  </si>
  <si>
    <t xml:space="preserve">  Effet fiscal de disposition du bâtiment</t>
  </si>
  <si>
    <t xml:space="preserve">  Fond de Roulement</t>
  </si>
  <si>
    <t>Coûts de location (équipement)</t>
  </si>
  <si>
    <t>Taux de Rendement Acceptable Minimum (TRAM) effectif annuel</t>
  </si>
  <si>
    <t>ANALYSE DIFFÉRENTIELLE</t>
  </si>
  <si>
    <t>Achat Équipement</t>
  </si>
  <si>
    <t>Location Équipement</t>
  </si>
  <si>
    <t>Différentielle</t>
  </si>
  <si>
    <t>VAN (TRAM)</t>
  </si>
  <si>
    <t>TRI (effectif annuel)</t>
  </si>
  <si>
    <t>Q</t>
  </si>
  <si>
    <t>Cf = -40741x + 991418</t>
  </si>
  <si>
    <t>Rx = -178104x + 991418</t>
  </si>
  <si>
    <t>Sx = 2239.5x + 991418</t>
  </si>
  <si>
    <t>Px = 2226294.87x + 991418</t>
  </si>
  <si>
    <t>Q = 2083812x + 991418</t>
  </si>
  <si>
    <t>Écart des 
variables d'entrée</t>
  </si>
  <si>
    <t>Marché</t>
  </si>
  <si>
    <t>Prix Unitaire (Px)</t>
  </si>
  <si>
    <t>PE = Fonction (Px)</t>
  </si>
  <si>
    <t>Quantité (Q)</t>
  </si>
  <si>
    <t>PE = Fonction  (Q)</t>
  </si>
  <si>
    <t>Coût unitaire (Cx)</t>
  </si>
  <si>
    <t>PE = Fonction  (Cx)</t>
  </si>
  <si>
    <t>Coût Fixe (Cf)</t>
  </si>
  <si>
    <t>PE = Fonction  (Cf)</t>
  </si>
  <si>
    <t>Commission (Rx)</t>
  </si>
  <si>
    <t>PE = Fonction  (Rx)</t>
  </si>
  <si>
    <t>Valeur de récupération (Sx)</t>
  </si>
  <si>
    <t>PE = Fonction  (Sx)</t>
  </si>
  <si>
    <t>Cx =-142483x + 991418</t>
  </si>
  <si>
    <t xml:space="preserve">Equation
PE =aX + b </t>
  </si>
  <si>
    <t>Prix Revente à 16 ans</t>
  </si>
  <si>
    <t>Ratio de rotation de l'actif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</si>
</sst>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quot;$&quot;* #,##0.00_-;_-&quot;$&quot;* &quot;-&quot;??_-;_-@_-"/>
    <numFmt numFmtId="164" formatCode="_ * #,##0.00_)\ &quot;$&quot;_ ;_ * \(#,##0.00\)\ &quot;$&quot;_ ;_ * &quot;-&quot;??_)\ &quot;$&quot;_ ;_ @_ "/>
    <numFmt numFmtId="165" formatCode="_(&quot;$&quot;* #,##0.00_);_(&quot;$&quot;* \(#,##0.00\);_(&quot;$&quot;* &quot;-&quot;??_);_(@_)"/>
    <numFmt numFmtId="166" formatCode="_-* #,##0.00&quot;$&quot;_-;\-* #,##0.00&quot;$&quot;_-;_-* &quot;-&quot;??&quot;$&quot;_-;_-@_-"/>
    <numFmt numFmtId="167" formatCode="&quot;$&quot;#,##0.00"/>
    <numFmt numFmtId="168" formatCode="#,##0.00&quot;$&quot;"/>
    <numFmt numFmtId="169" formatCode="0.0%"/>
    <numFmt numFmtId="170" formatCode="0.000"/>
    <numFmt numFmtId="171" formatCode="0.0000"/>
    <numFmt numFmtId="172" formatCode="&quot;$&quot;#,##0.0"/>
    <numFmt numFmtId="173" formatCode="#,##0.00\ &quot;$&quot;"/>
    <numFmt numFmtId="174" formatCode="0.000%"/>
  </numFmts>
  <fonts count="28" x14ac:knownFonts="1">
    <font>
      <sz val="11"/>
      <color theme="1"/>
      <name val="Aptos Narrow"/>
      <family val="2"/>
      <scheme val="minor"/>
    </font>
    <font>
      <sz val="11"/>
      <color theme="1"/>
      <name val="Aptos Narrow"/>
      <family val="2"/>
      <scheme val="minor"/>
    </font>
    <font>
      <b/>
      <sz val="11"/>
      <color theme="1"/>
      <name val="Aptos Narrow"/>
      <family val="2"/>
      <scheme val="minor"/>
    </font>
    <font>
      <b/>
      <u/>
      <sz val="11"/>
      <color theme="1"/>
      <name val="Aptos Narrow"/>
      <family val="2"/>
      <scheme val="minor"/>
    </font>
    <font>
      <b/>
      <i/>
      <sz val="11"/>
      <color theme="1"/>
      <name val="Aptos Narrow"/>
      <family val="2"/>
      <scheme val="minor"/>
    </font>
    <font>
      <b/>
      <sz val="12"/>
      <color theme="1"/>
      <name val="Aptos Narrow"/>
      <family val="2"/>
      <scheme val="minor"/>
    </font>
    <font>
      <sz val="12"/>
      <color theme="1"/>
      <name val="Aptos Narrow"/>
      <family val="2"/>
      <scheme val="minor"/>
    </font>
    <font>
      <b/>
      <sz val="14"/>
      <color theme="1"/>
      <name val="Aptos Narrow"/>
      <family val="2"/>
      <scheme val="minor"/>
    </font>
    <font>
      <b/>
      <u/>
      <sz val="12"/>
      <color theme="1"/>
      <name val="Aptos Narrow"/>
      <family val="2"/>
      <scheme val="minor"/>
    </font>
    <font>
      <u/>
      <sz val="12"/>
      <color theme="1"/>
      <name val="Aptos Narrow"/>
      <family val="2"/>
      <scheme val="minor"/>
    </font>
    <font>
      <b/>
      <sz val="22"/>
      <color theme="1"/>
      <name val="Aptos Narrow"/>
      <family val="2"/>
      <scheme val="minor"/>
    </font>
    <font>
      <sz val="26"/>
      <color theme="1"/>
      <name val="Aptos Narrow"/>
      <family val="2"/>
      <scheme val="minor"/>
    </font>
    <font>
      <b/>
      <sz val="18"/>
      <color theme="1"/>
      <name val="Aptos Narrow"/>
      <family val="2"/>
      <scheme val="minor"/>
    </font>
    <font>
      <b/>
      <sz val="24"/>
      <color theme="1"/>
      <name val="Aptos Narrow"/>
      <family val="2"/>
      <scheme val="minor"/>
    </font>
    <font>
      <u/>
      <sz val="11"/>
      <color theme="10"/>
      <name val="Aptos Narrow"/>
      <family val="2"/>
      <scheme val="minor"/>
    </font>
    <font>
      <b/>
      <u/>
      <sz val="14"/>
      <color theme="1"/>
      <name val="Aptos Narrow"/>
      <family val="2"/>
      <scheme val="minor"/>
    </font>
    <font>
      <sz val="11"/>
      <color rgb="FF000000"/>
      <name val="Aptos Narrow"/>
      <family val="2"/>
      <scheme val="minor"/>
    </font>
    <font>
      <b/>
      <sz val="11"/>
      <color rgb="FF000000"/>
      <name val="Aptos Narrow"/>
      <family val="2"/>
      <scheme val="minor"/>
    </font>
    <font>
      <u/>
      <sz val="11"/>
      <color theme="1"/>
      <name val="Aptos Narrow"/>
      <family val="2"/>
      <scheme val="minor"/>
    </font>
    <font>
      <i/>
      <sz val="11"/>
      <color theme="1"/>
      <name val="Aptos Narrow"/>
      <family val="2"/>
      <scheme val="minor"/>
    </font>
    <font>
      <sz val="20"/>
      <color theme="1"/>
      <name val="Aptos Narrow"/>
      <family val="2"/>
      <scheme val="minor"/>
    </font>
    <font>
      <sz val="8"/>
      <name val="Aptos Narrow"/>
      <family val="2"/>
      <scheme val="minor"/>
    </font>
    <font>
      <b/>
      <sz val="11"/>
      <color theme="0"/>
      <name val="Aptos Narrow"/>
      <family val="2"/>
      <scheme val="minor"/>
    </font>
    <font>
      <sz val="18"/>
      <color theme="1"/>
      <name val="Aptos Narrow"/>
      <family val="2"/>
      <scheme val="minor"/>
    </font>
    <font>
      <sz val="11"/>
      <name val="Aptos Narrow"/>
      <family val="2"/>
      <scheme val="minor"/>
    </font>
    <font>
      <b/>
      <u val="singleAccounting"/>
      <sz val="11"/>
      <color theme="1"/>
      <name val="Aptos Narrow"/>
      <family val="2"/>
      <scheme val="minor"/>
    </font>
    <font>
      <b/>
      <sz val="14"/>
      <color theme="0"/>
      <name val="Aptos Narrow"/>
      <family val="2"/>
      <scheme val="minor"/>
    </font>
    <font>
      <sz val="11"/>
      <color theme="0"/>
      <name val="Aptos Narrow"/>
      <family val="2"/>
      <scheme val="minor"/>
    </font>
  </fonts>
  <fills count="13">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2" tint="-0.249977111117893"/>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0"/>
        <bgColor indexed="64"/>
      </patternFill>
    </fill>
  </fills>
  <borders count="10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top style="medium">
        <color rgb="FF000000"/>
      </top>
      <bottom/>
      <diagonal/>
    </border>
    <border>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style="medium">
        <color rgb="FF000000"/>
      </top>
      <bottom/>
      <diagonal/>
    </border>
    <border>
      <left/>
      <right style="thin">
        <color rgb="FF000000"/>
      </right>
      <top/>
      <bottom style="thin">
        <color rgb="FF000000"/>
      </bottom>
      <diagonal/>
    </border>
    <border>
      <left/>
      <right style="thin">
        <color rgb="FF000000"/>
      </right>
      <top/>
      <bottom style="medium">
        <color rgb="FF000000"/>
      </bottom>
      <diagonal/>
    </border>
    <border>
      <left style="medium">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rgb="FF000000"/>
      </right>
      <top/>
      <bottom style="thin">
        <color rgb="FF000000"/>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medium">
        <color rgb="FF000000"/>
      </left>
      <right/>
      <top/>
      <bottom style="thin">
        <color rgb="FF000000"/>
      </bottom>
      <diagonal/>
    </border>
    <border>
      <left/>
      <right style="thin">
        <color rgb="FF000000"/>
      </right>
      <top style="medium">
        <color indexed="64"/>
      </top>
      <bottom/>
      <diagonal/>
    </border>
    <border>
      <left style="medium">
        <color indexed="64"/>
      </left>
      <right/>
      <top/>
      <bottom style="thin">
        <color rgb="FF000000"/>
      </bottom>
      <diagonal/>
    </border>
    <border>
      <left/>
      <right style="medium">
        <color indexed="64"/>
      </right>
      <top/>
      <bottom style="thin">
        <color rgb="FF000000"/>
      </bottom>
      <diagonal/>
    </border>
    <border>
      <left/>
      <right/>
      <top style="medium">
        <color indexed="64"/>
      </top>
      <bottom style="thin">
        <color theme="1"/>
      </bottom>
      <diagonal/>
    </border>
    <border>
      <left/>
      <right/>
      <top style="thin">
        <color theme="1"/>
      </top>
      <bottom style="thin">
        <color theme="1"/>
      </bottom>
      <diagonal/>
    </border>
    <border>
      <left/>
      <right style="medium">
        <color indexed="64"/>
      </right>
      <top style="medium">
        <color indexed="64"/>
      </top>
      <bottom style="thin">
        <color theme="1"/>
      </bottom>
      <diagonal/>
    </border>
    <border>
      <left/>
      <right style="medium">
        <color indexed="64"/>
      </right>
      <top style="thin">
        <color theme="1"/>
      </top>
      <bottom style="medium">
        <color indexed="64"/>
      </bottom>
      <diagonal/>
    </border>
    <border>
      <left/>
      <right style="medium">
        <color indexed="64"/>
      </right>
      <top style="thin">
        <color theme="1"/>
      </top>
      <bottom style="thin">
        <color theme="1"/>
      </bottom>
      <diagonal/>
    </border>
    <border>
      <left/>
      <right/>
      <top/>
      <bottom style="thin">
        <color theme="1"/>
      </bottom>
      <diagonal/>
    </border>
    <border>
      <left/>
      <right/>
      <top style="thin">
        <color theme="1"/>
      </top>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thin">
        <color rgb="FF000000"/>
      </bottom>
      <diagonal/>
    </border>
    <border>
      <left style="medium">
        <color indexed="64"/>
      </left>
      <right style="thin">
        <color rgb="FF000000"/>
      </right>
      <top/>
      <bottom/>
      <diagonal/>
    </border>
    <border>
      <left style="medium">
        <color indexed="64"/>
      </left>
      <right style="thin">
        <color rgb="FF000000"/>
      </right>
      <top/>
      <bottom style="medium">
        <color indexed="64"/>
      </bottom>
      <diagonal/>
    </border>
    <border>
      <left/>
      <right style="thin">
        <color rgb="FF000000"/>
      </right>
      <top/>
      <bottom style="medium">
        <color indexed="64"/>
      </bottom>
      <diagonal/>
    </border>
    <border>
      <left style="medium">
        <color indexed="64"/>
      </left>
      <right style="thin">
        <color indexed="64"/>
      </right>
      <top/>
      <bottom style="thin">
        <color indexed="64"/>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4" fillId="0" borderId="0" applyNumberFormat="0" applyFill="0" applyBorder="0" applyAlignment="0" applyProtection="0"/>
  </cellStyleXfs>
  <cellXfs count="535">
    <xf numFmtId="0" fontId="0" fillId="0" borderId="0" xfId="0"/>
    <xf numFmtId="164" fontId="0" fillId="0" borderId="8" xfId="1" applyFont="1" applyBorder="1"/>
    <xf numFmtId="0" fontId="0" fillId="0" borderId="8" xfId="1" applyNumberFormat="1" applyFont="1" applyBorder="1"/>
    <xf numFmtId="0" fontId="2" fillId="0" borderId="9" xfId="0" applyFont="1" applyBorder="1"/>
    <xf numFmtId="0" fontId="2" fillId="0" borderId="13" xfId="0" applyFont="1" applyBorder="1" applyAlignment="1">
      <alignment horizontal="center"/>
    </xf>
    <xf numFmtId="166" fontId="0" fillId="0" borderId="0" xfId="0" applyNumberFormat="1"/>
    <xf numFmtId="0" fontId="2" fillId="0" borderId="0" xfId="0" applyFont="1"/>
    <xf numFmtId="0" fontId="3" fillId="0" borderId="0" xfId="0" applyFont="1"/>
    <xf numFmtId="9" fontId="0" fillId="0" borderId="0" xfId="2" applyFont="1" applyAlignment="1">
      <alignment horizontal="center" vertical="center"/>
    </xf>
    <xf numFmtId="164" fontId="0" fillId="0" borderId="0" xfId="1" applyFont="1"/>
    <xf numFmtId="0" fontId="0" fillId="0" borderId="0" xfId="0" applyAlignment="1">
      <alignment horizontal="right" vertical="center" wrapText="1"/>
    </xf>
    <xf numFmtId="0" fontId="6" fillId="0" borderId="0" xfId="0" applyFont="1" applyAlignment="1">
      <alignment horizontal="right" vertical="center"/>
    </xf>
    <xf numFmtId="0" fontId="6" fillId="0" borderId="0" xfId="0" applyFont="1" applyAlignment="1">
      <alignment vertical="center"/>
    </xf>
    <xf numFmtId="164" fontId="0" fillId="0" borderId="0" xfId="0" applyNumberFormat="1"/>
    <xf numFmtId="0" fontId="6" fillId="0" borderId="0" xfId="0" applyFont="1" applyAlignment="1">
      <alignment horizontal="center"/>
    </xf>
    <xf numFmtId="0" fontId="6" fillId="0" borderId="11" xfId="0" applyFont="1" applyBorder="1" applyAlignment="1">
      <alignment horizontal="center"/>
    </xf>
    <xf numFmtId="0" fontId="6" fillId="0" borderId="22" xfId="0" applyFont="1" applyBorder="1" applyAlignment="1">
      <alignment horizontal="center"/>
    </xf>
    <xf numFmtId="0" fontId="6" fillId="0" borderId="23" xfId="0" applyFont="1" applyBorder="1"/>
    <xf numFmtId="0" fontId="6" fillId="0" borderId="24" xfId="0" applyFont="1" applyBorder="1"/>
    <xf numFmtId="0" fontId="6" fillId="0" borderId="25" xfId="0" applyFont="1" applyBorder="1"/>
    <xf numFmtId="0" fontId="6" fillId="0" borderId="10" xfId="0" applyFont="1" applyBorder="1"/>
    <xf numFmtId="0" fontId="6" fillId="0" borderId="26" xfId="0" applyFont="1" applyBorder="1" applyAlignment="1">
      <alignment horizontal="center"/>
    </xf>
    <xf numFmtId="0" fontId="6" fillId="0" borderId="3" xfId="0" applyFont="1" applyBorder="1"/>
    <xf numFmtId="0" fontId="6" fillId="0" borderId="0" xfId="0" applyFont="1"/>
    <xf numFmtId="164" fontId="6" fillId="0" borderId="28" xfId="1" applyFont="1" applyFill="1" applyBorder="1" applyAlignment="1">
      <alignment horizontal="center"/>
    </xf>
    <xf numFmtId="164" fontId="6" fillId="0" borderId="27" xfId="0" applyNumberFormat="1" applyFont="1" applyBorder="1"/>
    <xf numFmtId="164" fontId="6" fillId="0" borderId="8" xfId="0" applyNumberFormat="1" applyFont="1" applyBorder="1"/>
    <xf numFmtId="164" fontId="6" fillId="0" borderId="29" xfId="0" applyNumberFormat="1" applyFont="1" applyBorder="1"/>
    <xf numFmtId="164" fontId="6" fillId="0" borderId="30" xfId="0" applyNumberFormat="1" applyFont="1" applyBorder="1"/>
    <xf numFmtId="0" fontId="0" fillId="0" borderId="0" xfId="0" applyAlignment="1">
      <alignment horizontal="right" vertical="center"/>
    </xf>
    <xf numFmtId="164" fontId="0" fillId="0" borderId="0" xfId="0" applyNumberFormat="1" applyAlignment="1">
      <alignment vertical="center"/>
    </xf>
    <xf numFmtId="0" fontId="6" fillId="0" borderId="0" xfId="0" applyFont="1" applyAlignment="1">
      <alignment horizontal="center" vertical="center"/>
    </xf>
    <xf numFmtId="0" fontId="0" fillId="2" borderId="2" xfId="0" applyFill="1" applyBorder="1"/>
    <xf numFmtId="0" fontId="0" fillId="2" borderId="4" xfId="0" applyFill="1" applyBorder="1"/>
    <xf numFmtId="0" fontId="0" fillId="0" borderId="3" xfId="0" applyBorder="1"/>
    <xf numFmtId="0" fontId="0" fillId="0" borderId="5" xfId="0" applyBorder="1"/>
    <xf numFmtId="0" fontId="0" fillId="0" borderId="7" xfId="0" applyBorder="1"/>
    <xf numFmtId="0" fontId="0" fillId="0" borderId="8" xfId="0" applyBorder="1" applyAlignment="1">
      <alignment horizontal="right"/>
    </xf>
    <xf numFmtId="0" fontId="0" fillId="0" borderId="7" xfId="0" applyBorder="1" applyAlignment="1">
      <alignment horizontal="right"/>
    </xf>
    <xf numFmtId="0" fontId="0" fillId="2" borderId="5" xfId="0" applyFill="1" applyBorder="1"/>
    <xf numFmtId="0" fontId="0" fillId="2" borderId="12" xfId="0" applyFill="1" applyBorder="1"/>
    <xf numFmtId="0" fontId="0" fillId="2" borderId="6" xfId="0" applyFill="1" applyBorder="1"/>
    <xf numFmtId="0" fontId="0" fillId="0" borderId="0" xfId="0" applyAlignment="1">
      <alignment vertical="center"/>
    </xf>
    <xf numFmtId="44" fontId="6" fillId="0" borderId="0" xfId="3" applyFont="1" applyAlignment="1">
      <alignment horizontal="center"/>
    </xf>
    <xf numFmtId="9" fontId="6" fillId="0" borderId="0" xfId="2" applyFont="1" applyAlignment="1">
      <alignment horizontal="center"/>
    </xf>
    <xf numFmtId="0" fontId="6" fillId="0" borderId="11" xfId="3" applyNumberFormat="1" applyFont="1" applyBorder="1" applyAlignment="1">
      <alignment horizontal="center"/>
    </xf>
    <xf numFmtId="44" fontId="6" fillId="0" borderId="0" xfId="3" applyFont="1" applyBorder="1" applyAlignment="1">
      <alignment horizontal="center"/>
    </xf>
    <xf numFmtId="0" fontId="6" fillId="0" borderId="1" xfId="0" applyFont="1" applyBorder="1"/>
    <xf numFmtId="0" fontId="6" fillId="0" borderId="31" xfId="3" applyNumberFormat="1" applyFont="1" applyBorder="1" applyAlignment="1">
      <alignment horizontal="center"/>
    </xf>
    <xf numFmtId="0" fontId="0" fillId="0" borderId="0" xfId="0" applyAlignment="1">
      <alignment horizontal="center"/>
    </xf>
    <xf numFmtId="164" fontId="0" fillId="0" borderId="4" xfId="1" applyFont="1" applyBorder="1"/>
    <xf numFmtId="164" fontId="0" fillId="0" borderId="0" xfId="1" applyFont="1" applyBorder="1"/>
    <xf numFmtId="0" fontId="6" fillId="0" borderId="5" xfId="0" applyFont="1" applyBorder="1"/>
    <xf numFmtId="164" fontId="0" fillId="0" borderId="6" xfId="1" applyFont="1" applyBorder="1"/>
    <xf numFmtId="0" fontId="0" fillId="0" borderId="17" xfId="0" applyBorder="1"/>
    <xf numFmtId="164" fontId="0" fillId="0" borderId="17" xfId="1" applyFont="1" applyBorder="1"/>
    <xf numFmtId="0" fontId="2" fillId="0" borderId="33" xfId="0" applyFont="1" applyBorder="1"/>
    <xf numFmtId="0" fontId="2" fillId="0" borderId="34" xfId="0" applyFont="1" applyBorder="1"/>
    <xf numFmtId="0" fontId="2" fillId="0" borderId="19" xfId="0" applyFont="1" applyBorder="1"/>
    <xf numFmtId="0" fontId="0" fillId="0" borderId="1" xfId="0" applyBorder="1"/>
    <xf numFmtId="0" fontId="5" fillId="0" borderId="0" xfId="0" applyFont="1"/>
    <xf numFmtId="44" fontId="9" fillId="0" borderId="0" xfId="3" applyFont="1" applyBorder="1" applyAlignment="1">
      <alignment horizontal="center"/>
    </xf>
    <xf numFmtId="0" fontId="2" fillId="0" borderId="15" xfId="0" applyFont="1" applyBorder="1"/>
    <xf numFmtId="0" fontId="0" fillId="0" borderId="31" xfId="0" applyBorder="1"/>
    <xf numFmtId="10" fontId="7" fillId="0" borderId="0" xfId="2" applyNumberFormat="1" applyFont="1" applyBorder="1" applyAlignment="1">
      <alignment horizontal="center"/>
    </xf>
    <xf numFmtId="0" fontId="6" fillId="0" borderId="0" xfId="0" applyFont="1" applyAlignment="1">
      <alignment vertical="center" wrapText="1"/>
    </xf>
    <xf numFmtId="0" fontId="0" fillId="0" borderId="35" xfId="0" applyBorder="1"/>
    <xf numFmtId="167" fontId="0" fillId="0" borderId="35" xfId="0" applyNumberFormat="1" applyBorder="1"/>
    <xf numFmtId="0" fontId="0" fillId="0" borderId="37" xfId="0" applyBorder="1"/>
    <xf numFmtId="167" fontId="0" fillId="0" borderId="39" xfId="0" applyNumberFormat="1" applyBorder="1"/>
    <xf numFmtId="167" fontId="0" fillId="0" borderId="36" xfId="0" applyNumberFormat="1" applyBorder="1"/>
    <xf numFmtId="167" fontId="0" fillId="0" borderId="37" xfId="0" applyNumberFormat="1" applyBorder="1"/>
    <xf numFmtId="167" fontId="0" fillId="0" borderId="38" xfId="0" applyNumberFormat="1" applyBorder="1"/>
    <xf numFmtId="167" fontId="0" fillId="0" borderId="34" xfId="0" applyNumberFormat="1" applyBorder="1"/>
    <xf numFmtId="167" fontId="0" fillId="0" borderId="45" xfId="0" applyNumberFormat="1" applyBorder="1"/>
    <xf numFmtId="0" fontId="0" fillId="2" borderId="48" xfId="0" applyFill="1" applyBorder="1"/>
    <xf numFmtId="167" fontId="0" fillId="0" borderId="44" xfId="0" applyNumberFormat="1" applyBorder="1"/>
    <xf numFmtId="167" fontId="0" fillId="0" borderId="40" xfId="0" applyNumberFormat="1" applyBorder="1"/>
    <xf numFmtId="167" fontId="0" fillId="0" borderId="0" xfId="0" applyNumberFormat="1"/>
    <xf numFmtId="0" fontId="11" fillId="0" borderId="0" xfId="0" applyFont="1"/>
    <xf numFmtId="10" fontId="0" fillId="0" borderId="0" xfId="0" applyNumberFormat="1"/>
    <xf numFmtId="0" fontId="15" fillId="0" borderId="0" xfId="0" applyFont="1"/>
    <xf numFmtId="0" fontId="3" fillId="0" borderId="49" xfId="0" applyFont="1" applyBorder="1"/>
    <xf numFmtId="166" fontId="0" fillId="0" borderId="50" xfId="0" applyNumberFormat="1" applyBorder="1"/>
    <xf numFmtId="0" fontId="2" fillId="0" borderId="49" xfId="0" applyFont="1" applyBorder="1"/>
    <xf numFmtId="166" fontId="2" fillId="0" borderId="0" xfId="0" applyNumberFormat="1" applyFont="1"/>
    <xf numFmtId="166" fontId="2" fillId="0" borderId="50" xfId="0" applyNumberFormat="1" applyFont="1" applyBorder="1"/>
    <xf numFmtId="0" fontId="0" fillId="0" borderId="49" xfId="0" applyBorder="1"/>
    <xf numFmtId="0" fontId="3" fillId="0" borderId="51" xfId="0" applyFont="1" applyBorder="1"/>
    <xf numFmtId="166" fontId="2" fillId="0" borderId="17" xfId="0" applyNumberFormat="1" applyFont="1" applyBorder="1"/>
    <xf numFmtId="0" fontId="3" fillId="0" borderId="17" xfId="0" applyFont="1" applyBorder="1"/>
    <xf numFmtId="166" fontId="2" fillId="0" borderId="44" xfId="0" applyNumberFormat="1" applyFont="1" applyBorder="1"/>
    <xf numFmtId="9" fontId="0" fillId="0" borderId="50" xfId="0" applyNumberFormat="1" applyBorder="1"/>
    <xf numFmtId="166" fontId="0" fillId="0" borderId="44" xfId="0" applyNumberFormat="1" applyBorder="1"/>
    <xf numFmtId="0" fontId="0" fillId="0" borderId="33" xfId="0" applyBorder="1"/>
    <xf numFmtId="166" fontId="0" fillId="0" borderId="34" xfId="0" applyNumberFormat="1" applyBorder="1"/>
    <xf numFmtId="0" fontId="0" fillId="0" borderId="34" xfId="0" applyBorder="1"/>
    <xf numFmtId="0" fontId="3" fillId="0" borderId="55" xfId="0" applyFont="1" applyBorder="1"/>
    <xf numFmtId="166" fontId="0" fillId="0" borderId="56" xfId="0" applyNumberFormat="1" applyBorder="1"/>
    <xf numFmtId="0" fontId="2" fillId="0" borderId="55" xfId="0" applyFont="1" applyBorder="1"/>
    <xf numFmtId="166" fontId="2" fillId="0" borderId="56" xfId="0" applyNumberFormat="1" applyFont="1" applyBorder="1"/>
    <xf numFmtId="0" fontId="0" fillId="0" borderId="55" xfId="0" applyBorder="1"/>
    <xf numFmtId="167" fontId="2" fillId="0" borderId="0" xfId="0" applyNumberFormat="1" applyFont="1"/>
    <xf numFmtId="0" fontId="16" fillId="0" borderId="55" xfId="0" applyFont="1" applyBorder="1"/>
    <xf numFmtId="167" fontId="0" fillId="0" borderId="56" xfId="0" applyNumberFormat="1" applyBorder="1"/>
    <xf numFmtId="0" fontId="0" fillId="0" borderId="56" xfId="0" applyBorder="1"/>
    <xf numFmtId="0" fontId="3" fillId="0" borderId="57" xfId="0" applyFont="1" applyBorder="1"/>
    <xf numFmtId="167" fontId="0" fillId="0" borderId="58" xfId="0" applyNumberFormat="1" applyBorder="1"/>
    <xf numFmtId="0" fontId="0" fillId="0" borderId="58" xfId="0" applyBorder="1"/>
    <xf numFmtId="0" fontId="0" fillId="0" borderId="49" xfId="0" applyBorder="1" applyAlignment="1">
      <alignment horizontal="left"/>
    </xf>
    <xf numFmtId="0" fontId="13" fillId="0" borderId="0" xfId="0" applyFont="1" applyAlignment="1">
      <alignment horizontal="center"/>
    </xf>
    <xf numFmtId="166" fontId="12" fillId="0" borderId="0" xfId="0" applyNumberFormat="1" applyFont="1"/>
    <xf numFmtId="0" fontId="0" fillId="0" borderId="57" xfId="0" applyBorder="1"/>
    <xf numFmtId="167" fontId="0" fillId="0" borderId="59" xfId="0" applyNumberFormat="1" applyBorder="1"/>
    <xf numFmtId="0" fontId="0" fillId="0" borderId="0" xfId="0" applyAlignment="1">
      <alignment horizontal="left"/>
    </xf>
    <xf numFmtId="0" fontId="0" fillId="0" borderId="0" xfId="0" applyAlignment="1">
      <alignment horizontal="right"/>
    </xf>
    <xf numFmtId="166" fontId="13" fillId="0" borderId="0" xfId="0" applyNumberFormat="1" applyFont="1" applyAlignment="1">
      <alignment horizontal="center" vertical="center"/>
    </xf>
    <xf numFmtId="166" fontId="12" fillId="0" borderId="0" xfId="0" applyNumberFormat="1" applyFont="1" applyAlignment="1">
      <alignment horizontal="center"/>
    </xf>
    <xf numFmtId="9" fontId="0" fillId="0" borderId="0" xfId="0" applyNumberFormat="1"/>
    <xf numFmtId="0" fontId="0" fillId="0" borderId="21" xfId="1" applyNumberFormat="1" applyFont="1" applyBorder="1"/>
    <xf numFmtId="0" fontId="0" fillId="0" borderId="0" xfId="1" applyNumberFormat="1" applyFont="1"/>
    <xf numFmtId="0" fontId="2" fillId="0" borderId="56" xfId="0" applyFont="1" applyBorder="1"/>
    <xf numFmtId="0" fontId="0" fillId="0" borderId="55" xfId="0" applyBorder="1" applyAlignment="1">
      <alignment wrapText="1"/>
    </xf>
    <xf numFmtId="166" fontId="0" fillId="0" borderId="59" xfId="0" applyNumberFormat="1" applyBorder="1"/>
    <xf numFmtId="0" fontId="17" fillId="0" borderId="55" xfId="0" applyFont="1" applyBorder="1"/>
    <xf numFmtId="167" fontId="2" fillId="0" borderId="56" xfId="0" applyNumberFormat="1" applyFont="1" applyBorder="1"/>
    <xf numFmtId="10" fontId="0" fillId="0" borderId="59" xfId="0" applyNumberFormat="1" applyBorder="1"/>
    <xf numFmtId="166" fontId="0" fillId="0" borderId="58" xfId="0" applyNumberFormat="1" applyBorder="1"/>
    <xf numFmtId="0" fontId="2" fillId="0" borderId="58" xfId="0" applyFont="1" applyBorder="1"/>
    <xf numFmtId="167" fontId="0" fillId="0" borderId="14" xfId="0" applyNumberFormat="1" applyBorder="1"/>
    <xf numFmtId="167" fontId="0" fillId="0" borderId="2" xfId="0" applyNumberFormat="1" applyBorder="1"/>
    <xf numFmtId="167" fontId="0" fillId="0" borderId="4" xfId="0" applyNumberFormat="1" applyBorder="1"/>
    <xf numFmtId="0" fontId="19" fillId="0" borderId="55" xfId="0" applyFont="1" applyBorder="1"/>
    <xf numFmtId="0" fontId="0" fillId="0" borderId="12" xfId="0" applyBorder="1"/>
    <xf numFmtId="0" fontId="0" fillId="0" borderId="62" xfId="0" applyBorder="1" applyAlignment="1">
      <alignment horizontal="center"/>
    </xf>
    <xf numFmtId="0" fontId="6" fillId="0" borderId="14" xfId="0" applyFont="1" applyBorder="1" applyAlignment="1">
      <alignment horizontal="center"/>
    </xf>
    <xf numFmtId="0" fontId="6" fillId="0" borderId="14" xfId="3" applyNumberFormat="1" applyFont="1" applyBorder="1" applyAlignment="1">
      <alignment horizontal="center"/>
    </xf>
    <xf numFmtId="0" fontId="6" fillId="0" borderId="2" xfId="3" applyNumberFormat="1" applyFont="1" applyBorder="1" applyAlignment="1">
      <alignment horizontal="center"/>
    </xf>
    <xf numFmtId="0" fontId="0" fillId="0" borderId="69" xfId="0" applyBorder="1"/>
    <xf numFmtId="0" fontId="0" fillId="0" borderId="70" xfId="0" applyBorder="1"/>
    <xf numFmtId="0" fontId="0" fillId="0" borderId="72" xfId="0" applyBorder="1" applyAlignment="1">
      <alignment horizontal="center"/>
    </xf>
    <xf numFmtId="0" fontId="0" fillId="3" borderId="16" xfId="0" applyFill="1" applyBorder="1"/>
    <xf numFmtId="0" fontId="0" fillId="3" borderId="18" xfId="0" applyFill="1" applyBorder="1"/>
    <xf numFmtId="0" fontId="0" fillId="3" borderId="74" xfId="0" applyFill="1" applyBorder="1"/>
    <xf numFmtId="0" fontId="0" fillId="0" borderId="23" xfId="0" applyBorder="1"/>
    <xf numFmtId="0" fontId="0" fillId="0" borderId="24" xfId="0" applyBorder="1"/>
    <xf numFmtId="0" fontId="0" fillId="0" borderId="13" xfId="0" applyBorder="1"/>
    <xf numFmtId="0" fontId="0" fillId="0" borderId="78" xfId="0" applyBorder="1"/>
    <xf numFmtId="0" fontId="0" fillId="0" borderId="36" xfId="0" applyBorder="1"/>
    <xf numFmtId="0" fontId="0" fillId="0" borderId="79" xfId="0" applyBorder="1"/>
    <xf numFmtId="0" fontId="0" fillId="0" borderId="38" xfId="0" applyBorder="1"/>
    <xf numFmtId="0" fontId="0" fillId="2" borderId="22" xfId="0" applyFill="1" applyBorder="1"/>
    <xf numFmtId="10" fontId="2" fillId="5" borderId="75" xfId="0" applyNumberFormat="1" applyFont="1" applyFill="1" applyBorder="1" applyAlignment="1">
      <alignment horizontal="center" vertical="center"/>
    </xf>
    <xf numFmtId="10" fontId="2" fillId="5" borderId="76" xfId="0" applyNumberFormat="1" applyFont="1" applyFill="1" applyBorder="1" applyAlignment="1">
      <alignment horizontal="center" vertical="center"/>
    </xf>
    <xf numFmtId="10" fontId="2" fillId="5" borderId="77" xfId="0" applyNumberFormat="1" applyFont="1" applyFill="1" applyBorder="1" applyAlignment="1">
      <alignment horizontal="center" vertical="center"/>
    </xf>
    <xf numFmtId="168" fontId="0" fillId="0" borderId="0" xfId="0" applyNumberFormat="1"/>
    <xf numFmtId="9" fontId="3" fillId="0" borderId="55" xfId="0" applyNumberFormat="1" applyFont="1" applyBorder="1"/>
    <xf numFmtId="0" fontId="0" fillId="0" borderId="14" xfId="0" applyBorder="1"/>
    <xf numFmtId="167" fontId="0" fillId="0" borderId="12" xfId="0" applyNumberFormat="1" applyBorder="1"/>
    <xf numFmtId="167" fontId="0" fillId="0" borderId="6" xfId="0" applyNumberFormat="1" applyBorder="1"/>
    <xf numFmtId="167" fontId="0" fillId="0" borderId="50" xfId="0" applyNumberFormat="1" applyBorder="1"/>
    <xf numFmtId="0" fontId="2" fillId="0" borderId="49" xfId="0" applyFont="1" applyBorder="1" applyAlignment="1">
      <alignment horizontal="left"/>
    </xf>
    <xf numFmtId="9" fontId="3" fillId="0" borderId="49" xfId="0" applyNumberFormat="1" applyFont="1" applyBorder="1" applyAlignment="1">
      <alignment horizontal="left"/>
    </xf>
    <xf numFmtId="10" fontId="0" fillId="0" borderId="14" xfId="0" applyNumberFormat="1" applyBorder="1"/>
    <xf numFmtId="10" fontId="0" fillId="0" borderId="12" xfId="0" applyNumberFormat="1" applyBorder="1"/>
    <xf numFmtId="10" fontId="0" fillId="0" borderId="2" xfId="0" applyNumberFormat="1" applyBorder="1"/>
    <xf numFmtId="10" fontId="0" fillId="0" borderId="4" xfId="0" applyNumberFormat="1" applyBorder="1"/>
    <xf numFmtId="10" fontId="0" fillId="0" borderId="6" xfId="0" applyNumberFormat="1" applyBorder="1"/>
    <xf numFmtId="167" fontId="0" fillId="0" borderId="32" xfId="0" applyNumberFormat="1" applyBorder="1"/>
    <xf numFmtId="167" fontId="0" fillId="0" borderId="26" xfId="0" applyNumberFormat="1" applyBorder="1"/>
    <xf numFmtId="167" fontId="0" fillId="0" borderId="28" xfId="0" applyNumberFormat="1" applyBorder="1"/>
    <xf numFmtId="165" fontId="0" fillId="0" borderId="59" xfId="0" applyNumberFormat="1" applyBorder="1"/>
    <xf numFmtId="167" fontId="0" fillId="0" borderId="66" xfId="0" applyNumberFormat="1" applyBorder="1"/>
    <xf numFmtId="0" fontId="18" fillId="0" borderId="49" xfId="0" applyFont="1" applyBorder="1"/>
    <xf numFmtId="0" fontId="18" fillId="0" borderId="49" xfId="0" applyFont="1" applyBorder="1" applyAlignment="1">
      <alignment horizontal="left"/>
    </xf>
    <xf numFmtId="166" fontId="0" fillId="0" borderId="50" xfId="0" applyNumberFormat="1" applyBorder="1" applyAlignment="1">
      <alignment horizontal="left"/>
    </xf>
    <xf numFmtId="166" fontId="0" fillId="0" borderId="44" xfId="0" applyNumberFormat="1" applyBorder="1" applyAlignment="1">
      <alignment horizontal="left"/>
    </xf>
    <xf numFmtId="0" fontId="0" fillId="7" borderId="0" xfId="0" applyFill="1"/>
    <xf numFmtId="167" fontId="3" fillId="0" borderId="0" xfId="0" applyNumberFormat="1" applyFont="1"/>
    <xf numFmtId="2" fontId="0" fillId="0" borderId="0" xfId="0" applyNumberFormat="1"/>
    <xf numFmtId="0" fontId="0" fillId="0" borderId="61" xfId="0" applyBorder="1"/>
    <xf numFmtId="0" fontId="0" fillId="0" borderId="80" xfId="0" applyBorder="1"/>
    <xf numFmtId="0" fontId="0" fillId="0" borderId="59" xfId="0" applyBorder="1"/>
    <xf numFmtId="0" fontId="0" fillId="0" borderId="2" xfId="0" applyBorder="1"/>
    <xf numFmtId="0" fontId="0" fillId="0" borderId="4" xfId="0" applyBorder="1"/>
    <xf numFmtId="0" fontId="0" fillId="0" borderId="6" xfId="0" applyBorder="1"/>
    <xf numFmtId="169" fontId="0" fillId="0" borderId="0" xfId="0" applyNumberFormat="1"/>
    <xf numFmtId="0" fontId="0" fillId="0" borderId="42" xfId="0" applyBorder="1"/>
    <xf numFmtId="0" fontId="0" fillId="0" borderId="43" xfId="0" applyBorder="1"/>
    <xf numFmtId="0" fontId="0" fillId="0" borderId="81" xfId="0" applyBorder="1"/>
    <xf numFmtId="0" fontId="0" fillId="0" borderId="22" xfId="0" applyBorder="1"/>
    <xf numFmtId="0" fontId="0" fillId="0" borderId="82" xfId="0" applyBorder="1"/>
    <xf numFmtId="0" fontId="0" fillId="0" borderId="46" xfId="0" applyBorder="1"/>
    <xf numFmtId="0" fontId="2" fillId="0" borderId="47" xfId="0" applyFont="1" applyBorder="1"/>
    <xf numFmtId="167" fontId="2" fillId="0" borderId="45" xfId="0" applyNumberFormat="1" applyFont="1" applyBorder="1"/>
    <xf numFmtId="167" fontId="2" fillId="0" borderId="37" xfId="0" applyNumberFormat="1" applyFont="1" applyBorder="1"/>
    <xf numFmtId="167" fontId="2" fillId="0" borderId="38" xfId="0" applyNumberFormat="1" applyFont="1" applyBorder="1"/>
    <xf numFmtId="167" fontId="2" fillId="0" borderId="31" xfId="0" applyNumberFormat="1" applyFont="1" applyBorder="1"/>
    <xf numFmtId="0" fontId="2" fillId="5" borderId="22" xfId="0" applyFont="1" applyFill="1" applyBorder="1"/>
    <xf numFmtId="0" fontId="7" fillId="0" borderId="1" xfId="0" applyFont="1" applyBorder="1"/>
    <xf numFmtId="170" fontId="0" fillId="0" borderId="0" xfId="0" applyNumberFormat="1"/>
    <xf numFmtId="0" fontId="2" fillId="0" borderId="3" xfId="0" applyFont="1" applyBorder="1"/>
    <xf numFmtId="2" fontId="0" fillId="0" borderId="68" xfId="0" applyNumberFormat="1" applyBorder="1" applyAlignment="1">
      <alignment horizontal="center"/>
    </xf>
    <xf numFmtId="2" fontId="0" fillId="7" borderId="68" xfId="0" applyNumberFormat="1" applyFill="1" applyBorder="1" applyAlignment="1">
      <alignment horizontal="center"/>
    </xf>
    <xf numFmtId="10" fontId="0" fillId="9" borderId="68" xfId="0" applyNumberFormat="1" applyFill="1" applyBorder="1" applyAlignment="1">
      <alignment horizontal="center"/>
    </xf>
    <xf numFmtId="2" fontId="0" fillId="9" borderId="68" xfId="0" applyNumberFormat="1" applyFill="1" applyBorder="1" applyAlignment="1">
      <alignment horizontal="center"/>
    </xf>
    <xf numFmtId="2" fontId="16" fillId="7" borderId="68" xfId="0" applyNumberFormat="1" applyFont="1" applyFill="1" applyBorder="1" applyAlignment="1">
      <alignment horizontal="center"/>
    </xf>
    <xf numFmtId="2" fontId="0" fillId="6" borderId="68" xfId="0" applyNumberFormat="1" applyFill="1" applyBorder="1" applyAlignment="1">
      <alignment horizontal="center"/>
    </xf>
    <xf numFmtId="0" fontId="13" fillId="0" borderId="0" xfId="0" applyFont="1"/>
    <xf numFmtId="0" fontId="2" fillId="5" borderId="15" xfId="0" applyFont="1" applyFill="1" applyBorder="1"/>
    <xf numFmtId="174" fontId="2" fillId="5" borderId="31" xfId="0" applyNumberFormat="1" applyFont="1" applyFill="1" applyBorder="1"/>
    <xf numFmtId="0" fontId="0" fillId="0" borderId="86" xfId="0" applyBorder="1" applyAlignment="1">
      <alignment horizontal="center"/>
    </xf>
    <xf numFmtId="0" fontId="0" fillId="0" borderId="87" xfId="0" applyBorder="1" applyAlignment="1">
      <alignment horizontal="center"/>
    </xf>
    <xf numFmtId="166" fontId="0" fillId="4" borderId="3" xfId="0" applyNumberFormat="1" applyFill="1" applyBorder="1"/>
    <xf numFmtId="166" fontId="0" fillId="0" borderId="4" xfId="0" applyNumberFormat="1" applyBorder="1"/>
    <xf numFmtId="166" fontId="0" fillId="0" borderId="3" xfId="0" applyNumberFormat="1" applyBorder="1"/>
    <xf numFmtId="166" fontId="0" fillId="0" borderId="5" xfId="0" applyNumberFormat="1" applyBorder="1"/>
    <xf numFmtId="166" fontId="0" fillId="0" borderId="12" xfId="0" applyNumberFormat="1" applyBorder="1"/>
    <xf numFmtId="166" fontId="0" fillId="0" borderId="6" xfId="0" applyNumberFormat="1" applyBorder="1"/>
    <xf numFmtId="0" fontId="7" fillId="0" borderId="1" xfId="0" applyFont="1" applyBorder="1" applyAlignment="1">
      <alignment horizontal="left" vertical="center"/>
    </xf>
    <xf numFmtId="0" fontId="7" fillId="0" borderId="3" xfId="0" applyFont="1" applyBorder="1" applyAlignment="1">
      <alignment horizontal="left" vertical="center"/>
    </xf>
    <xf numFmtId="174" fontId="0" fillId="0" borderId="0" xfId="0" applyNumberFormat="1"/>
    <xf numFmtId="171" fontId="0" fillId="0" borderId="0" xfId="0" applyNumberFormat="1"/>
    <xf numFmtId="172" fontId="0" fillId="0" borderId="0" xfId="0" applyNumberFormat="1"/>
    <xf numFmtId="167" fontId="0" fillId="11" borderId="88" xfId="0" applyNumberFormat="1" applyFill="1" applyBorder="1" applyAlignment="1">
      <alignment horizontal="center" vertical="center"/>
    </xf>
    <xf numFmtId="9" fontId="0" fillId="11" borderId="88" xfId="1" applyNumberFormat="1" applyFont="1" applyFill="1" applyBorder="1" applyAlignment="1">
      <alignment horizontal="center" vertical="center"/>
    </xf>
    <xf numFmtId="167" fontId="0" fillId="0" borderId="89" xfId="0" applyNumberFormat="1" applyBorder="1" applyAlignment="1">
      <alignment horizontal="center" vertical="center"/>
    </xf>
    <xf numFmtId="9" fontId="0" fillId="0" borderId="89" xfId="1" applyNumberFormat="1" applyFont="1" applyBorder="1" applyAlignment="1">
      <alignment horizontal="center" vertical="center"/>
    </xf>
    <xf numFmtId="0" fontId="0" fillId="2" borderId="0" xfId="0" applyFill="1"/>
    <xf numFmtId="0" fontId="0" fillId="2" borderId="32" xfId="0" applyFill="1" applyBorder="1"/>
    <xf numFmtId="167" fontId="0" fillId="2" borderId="14" xfId="0" applyNumberFormat="1" applyFill="1" applyBorder="1" applyAlignment="1">
      <alignment horizontal="center" vertical="center"/>
    </xf>
    <xf numFmtId="9" fontId="1" fillId="2" borderId="14" xfId="1" applyNumberFormat="1" applyFont="1" applyFill="1" applyBorder="1" applyAlignment="1">
      <alignment horizontal="center" vertical="center"/>
    </xf>
    <xf numFmtId="167" fontId="0" fillId="2" borderId="14" xfId="0" applyNumberFormat="1" applyFill="1" applyBorder="1"/>
    <xf numFmtId="10" fontId="0" fillId="2" borderId="0" xfId="0" applyNumberFormat="1" applyFill="1"/>
    <xf numFmtId="167" fontId="0" fillId="2" borderId="0" xfId="0" applyNumberFormat="1" applyFill="1"/>
    <xf numFmtId="10" fontId="0" fillId="2" borderId="14" xfId="0" applyNumberFormat="1" applyFill="1" applyBorder="1"/>
    <xf numFmtId="0" fontId="0" fillId="2" borderId="26" xfId="0" applyFill="1" applyBorder="1" applyAlignment="1">
      <alignment wrapText="1"/>
    </xf>
    <xf numFmtId="167" fontId="0" fillId="2" borderId="0" xfId="0" applyNumberFormat="1" applyFill="1" applyAlignment="1">
      <alignment horizontal="center" vertical="center"/>
    </xf>
    <xf numFmtId="9" fontId="1" fillId="2" borderId="0" xfId="1" applyNumberFormat="1" applyFont="1" applyFill="1" applyBorder="1" applyAlignment="1">
      <alignment horizontal="center" vertical="center"/>
    </xf>
    <xf numFmtId="0" fontId="2" fillId="2" borderId="28" xfId="0" applyFont="1" applyFill="1" applyBorder="1"/>
    <xf numFmtId="167" fontId="2" fillId="2" borderId="12" xfId="0" applyNumberFormat="1" applyFont="1" applyFill="1" applyBorder="1" applyAlignment="1">
      <alignment horizontal="center" vertical="center"/>
    </xf>
    <xf numFmtId="9" fontId="2" fillId="2" borderId="12" xfId="1" applyNumberFormat="1" applyFont="1" applyFill="1" applyBorder="1" applyAlignment="1">
      <alignment horizontal="center" vertical="center"/>
    </xf>
    <xf numFmtId="167" fontId="2" fillId="2" borderId="12" xfId="0" applyNumberFormat="1" applyFont="1" applyFill="1" applyBorder="1"/>
    <xf numFmtId="10" fontId="2" fillId="2" borderId="12" xfId="0" applyNumberFormat="1" applyFont="1" applyFill="1" applyBorder="1"/>
    <xf numFmtId="0" fontId="0" fillId="2" borderId="26" xfId="0" applyFill="1" applyBorder="1"/>
    <xf numFmtId="0" fontId="2" fillId="2" borderId="28" xfId="1" applyNumberFormat="1" applyFont="1" applyFill="1" applyBorder="1"/>
    <xf numFmtId="167" fontId="2" fillId="2" borderId="12" xfId="1" applyNumberFormat="1" applyFont="1" applyFill="1" applyBorder="1" applyAlignment="1">
      <alignment horizontal="center" vertical="center"/>
    </xf>
    <xf numFmtId="167" fontId="2" fillId="2" borderId="12" xfId="1" applyNumberFormat="1" applyFont="1" applyFill="1" applyBorder="1"/>
    <xf numFmtId="10" fontId="2" fillId="2" borderId="12" xfId="1" applyNumberFormat="1" applyFont="1" applyFill="1" applyBorder="1"/>
    <xf numFmtId="167" fontId="2" fillId="2" borderId="0" xfId="0" applyNumberFormat="1" applyFont="1" applyFill="1" applyAlignment="1">
      <alignment horizontal="center" vertical="center"/>
    </xf>
    <xf numFmtId="9" fontId="2" fillId="2" borderId="0" xfId="0" applyNumberFormat="1" applyFont="1" applyFill="1" applyAlignment="1">
      <alignment horizontal="center" vertical="center"/>
    </xf>
    <xf numFmtId="167" fontId="2" fillId="2" borderId="0" xfId="0" applyNumberFormat="1" applyFont="1" applyFill="1"/>
    <xf numFmtId="10" fontId="2" fillId="2" borderId="0" xfId="0" applyNumberFormat="1" applyFont="1" applyFill="1"/>
    <xf numFmtId="0" fontId="22" fillId="10" borderId="0" xfId="0" applyFont="1" applyFill="1"/>
    <xf numFmtId="174" fontId="0" fillId="0" borderId="12" xfId="0" applyNumberFormat="1" applyBorder="1"/>
    <xf numFmtId="0" fontId="0" fillId="0" borderId="1" xfId="0" applyBorder="1" applyAlignment="1">
      <alignment horizontal="right"/>
    </xf>
    <xf numFmtId="174" fontId="0" fillId="0" borderId="2" xfId="0" applyNumberFormat="1" applyBorder="1"/>
    <xf numFmtId="0" fontId="0" fillId="0" borderId="3" xfId="0" applyBorder="1" applyAlignment="1">
      <alignment horizontal="right"/>
    </xf>
    <xf numFmtId="169" fontId="0" fillId="0" borderId="4" xfId="0" applyNumberFormat="1" applyBorder="1"/>
    <xf numFmtId="173" fontId="0" fillId="0" borderId="4" xfId="0" applyNumberFormat="1" applyBorder="1"/>
    <xf numFmtId="0" fontId="2" fillId="0" borderId="5" xfId="0" applyFont="1" applyBorder="1" applyAlignment="1">
      <alignment horizontal="right"/>
    </xf>
    <xf numFmtId="10" fontId="2" fillId="0" borderId="6" xfId="2" applyNumberFormat="1" applyFont="1" applyBorder="1" applyAlignment="1">
      <alignment horizontal="center"/>
    </xf>
    <xf numFmtId="0" fontId="0" fillId="0" borderId="1" xfId="0" applyBorder="1" applyAlignment="1">
      <alignment horizontal="left"/>
    </xf>
    <xf numFmtId="169" fontId="0" fillId="0" borderId="4" xfId="2" applyNumberFormat="1" applyFont="1" applyBorder="1"/>
    <xf numFmtId="9" fontId="0" fillId="0" borderId="4" xfId="0" applyNumberFormat="1" applyBorder="1"/>
    <xf numFmtId="169" fontId="2" fillId="0" borderId="6" xfId="0" applyNumberFormat="1" applyFont="1" applyBorder="1" applyAlignment="1">
      <alignment horizontal="center"/>
    </xf>
    <xf numFmtId="9" fontId="0" fillId="0" borderId="4" xfId="2" applyFont="1" applyBorder="1"/>
    <xf numFmtId="164" fontId="0" fillId="0" borderId="4" xfId="0" applyNumberFormat="1" applyBorder="1"/>
    <xf numFmtId="164" fontId="0" fillId="0" borderId="4" xfId="1" applyFont="1" applyBorder="1" applyAlignment="1">
      <alignment horizontal="left"/>
    </xf>
    <xf numFmtId="0" fontId="0" fillId="0" borderId="4" xfId="2" applyNumberFormat="1" applyFont="1" applyBorder="1" applyAlignment="1">
      <alignment horizontal="right"/>
    </xf>
    <xf numFmtId="164" fontId="0" fillId="0" borderId="4" xfId="1" applyFont="1" applyBorder="1" applyAlignment="1"/>
    <xf numFmtId="0" fontId="0" fillId="0" borderId="60" xfId="0" applyBorder="1"/>
    <xf numFmtId="0" fontId="0" fillId="0" borderId="71" xfId="0" applyBorder="1"/>
    <xf numFmtId="0" fontId="0" fillId="0" borderId="68" xfId="0" applyBorder="1"/>
    <xf numFmtId="0" fontId="0" fillId="0" borderId="73" xfId="0" applyBorder="1"/>
    <xf numFmtId="167" fontId="0" fillId="0" borderId="61" xfId="0" applyNumberFormat="1" applyBorder="1"/>
    <xf numFmtId="10" fontId="0" fillId="0" borderId="56" xfId="0" applyNumberFormat="1" applyBorder="1"/>
    <xf numFmtId="0" fontId="0" fillId="11" borderId="90" xfId="0" applyFill="1" applyBorder="1"/>
    <xf numFmtId="0" fontId="0" fillId="0" borderId="92" xfId="0" applyBorder="1" applyAlignment="1">
      <alignment wrapText="1"/>
    </xf>
    <xf numFmtId="0" fontId="2" fillId="11" borderId="91" xfId="0" applyFont="1" applyFill="1" applyBorder="1"/>
    <xf numFmtId="0" fontId="22" fillId="10" borderId="93" xfId="0" applyFont="1" applyFill="1" applyBorder="1"/>
    <xf numFmtId="10" fontId="0" fillId="0" borderId="4" xfId="2" applyNumberFormat="1" applyFont="1" applyBorder="1"/>
    <xf numFmtId="9" fontId="2" fillId="11" borderId="94" xfId="1" applyNumberFormat="1" applyFont="1" applyFill="1" applyBorder="1" applyAlignment="1">
      <alignment horizontal="center" vertical="center"/>
    </xf>
    <xf numFmtId="0" fontId="2" fillId="0" borderId="22" xfId="0" applyFont="1" applyBorder="1"/>
    <xf numFmtId="167" fontId="0" fillId="0" borderId="24" xfId="0" applyNumberFormat="1" applyBorder="1"/>
    <xf numFmtId="167" fontId="0" fillId="0" borderId="13" xfId="0" applyNumberFormat="1" applyBorder="1"/>
    <xf numFmtId="0" fontId="22" fillId="2" borderId="14" xfId="0" applyFont="1" applyFill="1" applyBorder="1" applyAlignment="1">
      <alignment vertical="center"/>
    </xf>
    <xf numFmtId="0" fontId="22" fillId="2" borderId="2" xfId="0" applyFont="1" applyFill="1" applyBorder="1" applyAlignment="1">
      <alignment vertical="center"/>
    </xf>
    <xf numFmtId="166" fontId="0" fillId="12" borderId="0" xfId="0" applyNumberFormat="1" applyFill="1"/>
    <xf numFmtId="167" fontId="2" fillId="11" borderId="94" xfId="0" applyNumberFormat="1" applyFont="1" applyFill="1" applyBorder="1" applyAlignment="1">
      <alignment horizontal="center" vertical="center"/>
    </xf>
    <xf numFmtId="167" fontId="2" fillId="0" borderId="12" xfId="0" applyNumberFormat="1" applyFont="1" applyBorder="1" applyAlignment="1">
      <alignment horizontal="center" vertical="center"/>
    </xf>
    <xf numFmtId="9" fontId="2" fillId="0" borderId="12" xfId="0" applyNumberFormat="1" applyFont="1" applyBorder="1" applyAlignment="1">
      <alignment horizontal="center" vertical="center"/>
    </xf>
    <xf numFmtId="0" fontId="0" fillId="0" borderId="88" xfId="0" applyBorder="1"/>
    <xf numFmtId="0" fontId="0" fillId="11" borderId="89" xfId="0" applyFill="1" applyBorder="1"/>
    <xf numFmtId="0" fontId="0" fillId="0" borderId="89" xfId="0" applyBorder="1"/>
    <xf numFmtId="0" fontId="2" fillId="11" borderId="94" xfId="1" applyNumberFormat="1" applyFont="1" applyFill="1" applyBorder="1"/>
    <xf numFmtId="167" fontId="0" fillId="0" borderId="1" xfId="0" applyNumberFormat="1" applyBorder="1" applyAlignment="1">
      <alignment horizontal="center" vertical="center"/>
    </xf>
    <xf numFmtId="167" fontId="0" fillId="11" borderId="3" xfId="0" applyNumberFormat="1" applyFill="1" applyBorder="1" applyAlignment="1">
      <alignment horizontal="center" vertical="center"/>
    </xf>
    <xf numFmtId="167" fontId="0" fillId="0" borderId="3" xfId="0" applyNumberFormat="1" applyBorder="1" applyAlignment="1">
      <alignment horizontal="center" vertical="center"/>
    </xf>
    <xf numFmtId="167" fontId="2" fillId="11" borderId="5" xfId="1" applyNumberFormat="1" applyFont="1" applyFill="1" applyBorder="1" applyAlignment="1">
      <alignment horizontal="center" vertical="center"/>
    </xf>
    <xf numFmtId="9" fontId="2" fillId="11" borderId="12" xfId="1" applyNumberFormat="1" applyFont="1" applyFill="1" applyBorder="1" applyAlignment="1">
      <alignment horizontal="center" vertical="center"/>
    </xf>
    <xf numFmtId="10" fontId="0" fillId="0" borderId="14" xfId="1" applyNumberFormat="1" applyFont="1" applyBorder="1" applyAlignment="1">
      <alignment horizontal="center" vertical="center"/>
    </xf>
    <xf numFmtId="10" fontId="0" fillId="11" borderId="0" xfId="1" applyNumberFormat="1" applyFont="1" applyFill="1" applyBorder="1" applyAlignment="1">
      <alignment horizontal="center" vertical="center"/>
    </xf>
    <xf numFmtId="10" fontId="0" fillId="0" borderId="0" xfId="1" applyNumberFormat="1" applyFont="1" applyBorder="1" applyAlignment="1">
      <alignment horizontal="center" vertical="center"/>
    </xf>
    <xf numFmtId="10" fontId="2" fillId="5" borderId="0" xfId="0" applyNumberFormat="1" applyFont="1" applyFill="1"/>
    <xf numFmtId="10" fontId="2" fillId="5" borderId="6" xfId="0" applyNumberFormat="1" applyFont="1" applyFill="1" applyBorder="1"/>
    <xf numFmtId="10" fontId="0" fillId="5" borderId="0" xfId="0" applyNumberFormat="1" applyFill="1"/>
    <xf numFmtId="10" fontId="0" fillId="5" borderId="12" xfId="0" applyNumberFormat="1" applyFill="1" applyBorder="1"/>
    <xf numFmtId="0" fontId="22" fillId="2" borderId="14" xfId="0" applyFont="1" applyFill="1" applyBorder="1"/>
    <xf numFmtId="0" fontId="22" fillId="2" borderId="2" xfId="0" applyFont="1" applyFill="1" applyBorder="1"/>
    <xf numFmtId="167" fontId="2" fillId="0" borderId="7" xfId="0" applyNumberFormat="1" applyFont="1" applyBorder="1"/>
    <xf numFmtId="167" fontId="0" fillId="0" borderId="96" xfId="0" applyNumberFormat="1" applyBorder="1"/>
    <xf numFmtId="0" fontId="0" fillId="0" borderId="96" xfId="0" applyBorder="1"/>
    <xf numFmtId="167" fontId="0" fillId="0" borderId="97" xfId="0" applyNumberFormat="1" applyBorder="1"/>
    <xf numFmtId="0" fontId="23" fillId="0" borderId="0" xfId="0" applyFont="1"/>
    <xf numFmtId="0" fontId="0" fillId="0" borderId="51" xfId="0" applyBorder="1" applyAlignment="1">
      <alignment horizontal="left"/>
    </xf>
    <xf numFmtId="0" fontId="0" fillId="0" borderId="17" xfId="0" applyBorder="1" applyAlignment="1">
      <alignment horizontal="left"/>
    </xf>
    <xf numFmtId="0" fontId="0" fillId="0" borderId="15" xfId="0" applyBorder="1" applyAlignment="1">
      <alignment horizontal="left"/>
    </xf>
    <xf numFmtId="164" fontId="0" fillId="0" borderId="7" xfId="1" applyFont="1" applyBorder="1" applyAlignment="1">
      <alignment horizontal="right"/>
    </xf>
    <xf numFmtId="0" fontId="0" fillId="0" borderId="51" xfId="0" applyBorder="1"/>
    <xf numFmtId="0" fontId="0" fillId="0" borderId="49" xfId="0" applyBorder="1" applyAlignment="1">
      <alignment wrapText="1"/>
    </xf>
    <xf numFmtId="166" fontId="13" fillId="0" borderId="0" xfId="0" applyNumberFormat="1" applyFont="1"/>
    <xf numFmtId="166" fontId="2" fillId="0" borderId="50" xfId="0" applyNumberFormat="1" applyFont="1" applyBorder="1" applyAlignment="1">
      <alignment horizontal="left"/>
    </xf>
    <xf numFmtId="0" fontId="3" fillId="0" borderId="65" xfId="0" applyFont="1" applyBorder="1"/>
    <xf numFmtId="0" fontId="0" fillId="0" borderId="21" xfId="0" applyBorder="1"/>
    <xf numFmtId="166" fontId="0" fillId="0" borderId="66" xfId="0" applyNumberFormat="1" applyBorder="1" applyAlignment="1">
      <alignment horizontal="left"/>
    </xf>
    <xf numFmtId="0" fontId="0" fillId="0" borderId="0" xfId="0" applyAlignment="1">
      <alignment wrapText="1"/>
    </xf>
    <xf numFmtId="166" fontId="24" fillId="0" borderId="56" xfId="0" applyNumberFormat="1" applyFont="1" applyBorder="1"/>
    <xf numFmtId="10" fontId="0" fillId="0" borderId="0" xfId="2" applyNumberFormat="1" applyFont="1"/>
    <xf numFmtId="0" fontId="8" fillId="0" borderId="1" xfId="0" applyFont="1" applyBorder="1"/>
    <xf numFmtId="0" fontId="3" fillId="0" borderId="3" xfId="0" applyFont="1" applyBorder="1"/>
    <xf numFmtId="0" fontId="18" fillId="0" borderId="3" xfId="0" applyFont="1" applyBorder="1"/>
    <xf numFmtId="164" fontId="0" fillId="0" borderId="12" xfId="0" applyNumberFormat="1" applyBorder="1"/>
    <xf numFmtId="164" fontId="0" fillId="0" borderId="6" xfId="0" applyNumberFormat="1" applyBorder="1"/>
    <xf numFmtId="0" fontId="0" fillId="0" borderId="11" xfId="0" applyBorder="1" applyAlignment="1">
      <alignment horizontal="center"/>
    </xf>
    <xf numFmtId="0" fontId="0" fillId="0" borderId="31" xfId="0" applyBorder="1" applyAlignment="1">
      <alignment horizontal="center"/>
    </xf>
    <xf numFmtId="0" fontId="3" fillId="0" borderId="100" xfId="0" applyFont="1" applyBorder="1"/>
    <xf numFmtId="2" fontId="0" fillId="0" borderId="0" xfId="0" applyNumberFormat="1" applyAlignment="1">
      <alignment horizontal="center"/>
    </xf>
    <xf numFmtId="2" fontId="0" fillId="0" borderId="4" xfId="0" applyNumberFormat="1" applyBorder="1" applyAlignment="1">
      <alignment horizontal="center"/>
    </xf>
    <xf numFmtId="0" fontId="0" fillId="0" borderId="100" xfId="0" applyBorder="1"/>
    <xf numFmtId="2" fontId="16" fillId="6" borderId="0" xfId="0" applyNumberFormat="1" applyFont="1" applyFill="1" applyAlignment="1">
      <alignment horizontal="center"/>
    </xf>
    <xf numFmtId="2" fontId="0" fillId="9" borderId="0" xfId="0" applyNumberFormat="1" applyFill="1" applyAlignment="1">
      <alignment horizontal="center"/>
    </xf>
    <xf numFmtId="2" fontId="0" fillId="9" borderId="4" xfId="0" applyNumberFormat="1" applyFill="1" applyBorder="1" applyAlignment="1">
      <alignment horizontal="center"/>
    </xf>
    <xf numFmtId="2" fontId="0" fillId="7" borderId="0" xfId="0" applyNumberFormat="1" applyFill="1" applyAlignment="1">
      <alignment horizontal="center"/>
    </xf>
    <xf numFmtId="10" fontId="0" fillId="9" borderId="0" xfId="0" applyNumberFormat="1" applyFill="1" applyAlignment="1">
      <alignment horizontal="center"/>
    </xf>
    <xf numFmtId="10" fontId="0" fillId="9" borderId="4" xfId="0" applyNumberFormat="1" applyFill="1" applyBorder="1" applyAlignment="1">
      <alignment horizontal="center"/>
    </xf>
    <xf numFmtId="2" fontId="0" fillId="8" borderId="0" xfId="0" applyNumberFormat="1" applyFill="1" applyAlignment="1">
      <alignment horizontal="center"/>
    </xf>
    <xf numFmtId="2" fontId="0" fillId="6" borderId="4" xfId="0" applyNumberFormat="1" applyFill="1" applyBorder="1" applyAlignment="1">
      <alignment horizontal="center"/>
    </xf>
    <xf numFmtId="2" fontId="0" fillId="7" borderId="4" xfId="0" applyNumberFormat="1" applyFill="1" applyBorder="1" applyAlignment="1">
      <alignment horizontal="center"/>
    </xf>
    <xf numFmtId="2" fontId="0" fillId="6" borderId="0" xfId="0" applyNumberFormat="1" applyFill="1" applyAlignment="1">
      <alignment horizontal="center"/>
    </xf>
    <xf numFmtId="2" fontId="16" fillId="6" borderId="4" xfId="0" applyNumberFormat="1" applyFont="1" applyFill="1" applyBorder="1" applyAlignment="1">
      <alignment horizontal="center"/>
    </xf>
    <xf numFmtId="0" fontId="0" fillId="0" borderId="101" xfId="0" applyBorder="1"/>
    <xf numFmtId="2" fontId="0" fillId="8" borderId="12" xfId="0" applyNumberFormat="1" applyFill="1" applyBorder="1" applyAlignment="1">
      <alignment horizontal="center"/>
    </xf>
    <xf numFmtId="2" fontId="0" fillId="7" borderId="102" xfId="0" applyNumberFormat="1" applyFill="1" applyBorder="1" applyAlignment="1">
      <alignment horizontal="center"/>
    </xf>
    <xf numFmtId="2" fontId="0" fillId="7" borderId="12" xfId="0" applyNumberFormat="1" applyFill="1" applyBorder="1" applyAlignment="1">
      <alignment horizontal="center"/>
    </xf>
    <xf numFmtId="2" fontId="0" fillId="6" borderId="12" xfId="0" applyNumberFormat="1" applyFill="1" applyBorder="1" applyAlignment="1">
      <alignment horizontal="center"/>
    </xf>
    <xf numFmtId="2" fontId="0" fillId="6" borderId="6" xfId="0" applyNumberFormat="1" applyFill="1" applyBorder="1" applyAlignment="1">
      <alignment horizontal="center"/>
    </xf>
    <xf numFmtId="0" fontId="3" fillId="0" borderId="1" xfId="0" applyFont="1" applyBorder="1"/>
    <xf numFmtId="0" fontId="0" fillId="0" borderId="3" xfId="0" applyBorder="1" applyAlignment="1">
      <alignment wrapText="1"/>
    </xf>
    <xf numFmtId="2" fontId="0" fillId="0" borderId="0" xfId="0" applyNumberFormat="1" applyAlignment="1">
      <alignment horizontal="center" vertical="center"/>
    </xf>
    <xf numFmtId="170" fontId="0" fillId="0" borderId="0" xfId="0" applyNumberFormat="1" applyAlignment="1">
      <alignment horizontal="center" vertical="center"/>
    </xf>
    <xf numFmtId="170" fontId="0" fillId="0" borderId="4" xfId="0" applyNumberFormat="1" applyBorder="1" applyAlignment="1">
      <alignment horizontal="center" vertical="center"/>
    </xf>
    <xf numFmtId="0" fontId="3" fillId="0" borderId="5" xfId="0" applyFont="1" applyBorder="1"/>
    <xf numFmtId="164" fontId="2" fillId="0" borderId="2" xfId="0" applyNumberFormat="1" applyFont="1" applyBorder="1"/>
    <xf numFmtId="2" fontId="0" fillId="0" borderId="4" xfId="0" applyNumberFormat="1" applyBorder="1" applyAlignment="1">
      <alignment horizontal="center" vertical="center"/>
    </xf>
    <xf numFmtId="0" fontId="6" fillId="0" borderId="12" xfId="0" applyFont="1" applyBorder="1" applyAlignment="1">
      <alignment horizontal="center"/>
    </xf>
    <xf numFmtId="166" fontId="25" fillId="0" borderId="50" xfId="0" applyNumberFormat="1" applyFont="1" applyBorder="1"/>
    <xf numFmtId="10" fontId="0" fillId="6" borderId="0" xfId="0" applyNumberFormat="1" applyFill="1" applyAlignment="1">
      <alignment horizontal="center"/>
    </xf>
    <xf numFmtId="10" fontId="0" fillId="6" borderId="68" xfId="0" applyNumberFormat="1" applyFill="1" applyBorder="1" applyAlignment="1">
      <alignment horizontal="center"/>
    </xf>
    <xf numFmtId="2" fontId="24" fillId="9" borderId="0" xfId="0" applyNumberFormat="1" applyFont="1" applyFill="1" applyAlignment="1">
      <alignment horizontal="center"/>
    </xf>
    <xf numFmtId="0" fontId="0" fillId="0" borderId="2" xfId="0" applyBorder="1" applyAlignment="1">
      <alignment horizontal="center"/>
    </xf>
    <xf numFmtId="0" fontId="0" fillId="0" borderId="4" xfId="0" applyBorder="1" applyAlignment="1">
      <alignment horizontal="center"/>
    </xf>
    <xf numFmtId="164" fontId="0" fillId="0" borderId="3" xfId="0" applyNumberFormat="1" applyBorder="1"/>
    <xf numFmtId="164" fontId="0" fillId="0" borderId="5" xfId="0" applyNumberFormat="1" applyBorder="1"/>
    <xf numFmtId="164" fontId="0" fillId="0" borderId="14" xfId="0" applyNumberFormat="1" applyBorder="1"/>
    <xf numFmtId="164" fontId="0" fillId="0" borderId="2" xfId="0" applyNumberFormat="1" applyBorder="1"/>
    <xf numFmtId="0" fontId="0" fillId="0" borderId="15" xfId="0" applyBorder="1"/>
    <xf numFmtId="0" fontId="3" fillId="0" borderId="78" xfId="0" applyFont="1" applyBorder="1"/>
    <xf numFmtId="0" fontId="18" fillId="0" borderId="78" xfId="0" applyFont="1" applyBorder="1"/>
    <xf numFmtId="0" fontId="5" fillId="0" borderId="103" xfId="0" applyFont="1" applyBorder="1"/>
    <xf numFmtId="0" fontId="26" fillId="2" borderId="41" xfId="0" applyFont="1" applyFill="1" applyBorder="1"/>
    <xf numFmtId="0" fontId="26" fillId="2" borderId="42" xfId="0" applyFont="1" applyFill="1" applyBorder="1"/>
    <xf numFmtId="0" fontId="26" fillId="2" borderId="43" xfId="0" applyFont="1" applyFill="1" applyBorder="1"/>
    <xf numFmtId="0" fontId="2" fillId="2" borderId="41" xfId="0" applyFont="1" applyFill="1" applyBorder="1"/>
    <xf numFmtId="0" fontId="2" fillId="2" borderId="42" xfId="0" applyFont="1" applyFill="1" applyBorder="1" applyAlignment="1">
      <alignment horizontal="center"/>
    </xf>
    <xf numFmtId="0" fontId="2" fillId="2" borderId="43" xfId="0" applyFont="1" applyFill="1" applyBorder="1" applyAlignment="1">
      <alignment horizontal="center"/>
    </xf>
    <xf numFmtId="0" fontId="2" fillId="2" borderId="48" xfId="0" applyFont="1" applyFill="1" applyBorder="1"/>
    <xf numFmtId="0" fontId="0" fillId="2" borderId="44" xfId="0" applyFill="1" applyBorder="1" applyAlignment="1">
      <alignment horizontal="center"/>
    </xf>
    <xf numFmtId="167" fontId="0" fillId="2" borderId="39" xfId="0" applyNumberFormat="1" applyFill="1" applyBorder="1"/>
    <xf numFmtId="0" fontId="0" fillId="2" borderId="39" xfId="0" applyFill="1" applyBorder="1"/>
    <xf numFmtId="167" fontId="0" fillId="2" borderId="40" xfId="0" applyNumberFormat="1" applyFill="1" applyBorder="1"/>
    <xf numFmtId="0" fontId="2" fillId="2" borderId="46" xfId="0" applyFont="1" applyFill="1" applyBorder="1"/>
    <xf numFmtId="0" fontId="0" fillId="2" borderId="34" xfId="0" applyFill="1" applyBorder="1" applyAlignment="1">
      <alignment horizontal="center"/>
    </xf>
    <xf numFmtId="167" fontId="0" fillId="2" borderId="35" xfId="0" applyNumberFormat="1" applyFill="1" applyBorder="1"/>
    <xf numFmtId="0" fontId="0" fillId="2" borderId="35" xfId="0" applyFill="1" applyBorder="1"/>
    <xf numFmtId="167" fontId="0" fillId="2" borderId="36" xfId="0" applyNumberFormat="1" applyFill="1" applyBorder="1"/>
    <xf numFmtId="0" fontId="2" fillId="2" borderId="47" xfId="0" applyFont="1" applyFill="1" applyBorder="1"/>
    <xf numFmtId="0" fontId="0" fillId="2" borderId="45" xfId="0" applyFill="1" applyBorder="1" applyAlignment="1">
      <alignment horizontal="center"/>
    </xf>
    <xf numFmtId="0" fontId="0" fillId="2" borderId="37" xfId="0" applyFill="1" applyBorder="1"/>
    <xf numFmtId="167" fontId="0" fillId="2" borderId="38" xfId="0" applyNumberFormat="1" applyFill="1" applyBorder="1"/>
    <xf numFmtId="0" fontId="0" fillId="2" borderId="0" xfId="0" applyFill="1" applyAlignment="1">
      <alignment horizontal="center"/>
    </xf>
    <xf numFmtId="10" fontId="2" fillId="2" borderId="41" xfId="0" applyNumberFormat="1" applyFont="1" applyFill="1" applyBorder="1" applyAlignment="1">
      <alignment horizontal="center"/>
    </xf>
    <xf numFmtId="10" fontId="2" fillId="2" borderId="42" xfId="0" applyNumberFormat="1" applyFont="1" applyFill="1" applyBorder="1" applyAlignment="1">
      <alignment horizontal="center"/>
    </xf>
    <xf numFmtId="10" fontId="2" fillId="2" borderId="43" xfId="0" applyNumberFormat="1" applyFont="1" applyFill="1" applyBorder="1" applyAlignment="1">
      <alignment horizontal="center"/>
    </xf>
    <xf numFmtId="167" fontId="0" fillId="2" borderId="44" xfId="0" applyNumberFormat="1" applyFill="1" applyBorder="1"/>
    <xf numFmtId="167" fontId="0" fillId="2" borderId="34" xfId="0" applyNumberFormat="1" applyFill="1" applyBorder="1"/>
    <xf numFmtId="167" fontId="0" fillId="2" borderId="45" xfId="0" applyNumberFormat="1" applyFill="1" applyBorder="1"/>
    <xf numFmtId="167" fontId="0" fillId="2" borderId="37" xfId="0" applyNumberFormat="1" applyFill="1" applyBorder="1"/>
    <xf numFmtId="167" fontId="24" fillId="2" borderId="37" xfId="0" applyNumberFormat="1" applyFont="1" applyFill="1" applyBorder="1"/>
    <xf numFmtId="0" fontId="3" fillId="0" borderId="23" xfId="0" applyFont="1" applyBorder="1"/>
    <xf numFmtId="10" fontId="0" fillId="0" borderId="1" xfId="0" applyNumberFormat="1" applyBorder="1" applyAlignment="1">
      <alignment horizontal="right"/>
    </xf>
    <xf numFmtId="0" fontId="0" fillId="0" borderId="14" xfId="0" applyBorder="1" applyAlignment="1">
      <alignment horizontal="right"/>
    </xf>
    <xf numFmtId="10" fontId="0" fillId="0" borderId="3" xfId="0" applyNumberFormat="1" applyBorder="1" applyAlignment="1">
      <alignment horizontal="right"/>
    </xf>
    <xf numFmtId="10" fontId="0" fillId="0" borderId="5" xfId="0" applyNumberFormat="1" applyBorder="1" applyAlignment="1">
      <alignment horizontal="right"/>
    </xf>
    <xf numFmtId="0" fontId="0" fillId="0" borderId="12" xfId="0" applyBorder="1" applyAlignment="1">
      <alignment horizontal="right"/>
    </xf>
    <xf numFmtId="0" fontId="0" fillId="0" borderId="32" xfId="0" applyBorder="1"/>
    <xf numFmtId="0" fontId="0" fillId="0" borderId="6" xfId="0" applyBorder="1" applyAlignment="1">
      <alignment horizontal="center"/>
    </xf>
    <xf numFmtId="0" fontId="0" fillId="0" borderId="5" xfId="0" applyBorder="1" applyAlignment="1">
      <alignment horizontal="right"/>
    </xf>
    <xf numFmtId="10" fontId="0" fillId="0" borderId="1" xfId="0" applyNumberFormat="1" applyBorder="1"/>
    <xf numFmtId="10" fontId="0" fillId="0" borderId="3" xfId="0" applyNumberFormat="1" applyBorder="1"/>
    <xf numFmtId="10" fontId="0" fillId="0" borderId="5" xfId="0" applyNumberFormat="1" applyBorder="1"/>
    <xf numFmtId="0" fontId="0" fillId="4" borderId="37" xfId="0" applyFill="1" applyBorder="1"/>
    <xf numFmtId="0" fontId="0" fillId="4" borderId="38" xfId="0" applyFill="1" applyBorder="1"/>
    <xf numFmtId="0" fontId="0" fillId="0" borderId="83" xfId="0" applyBorder="1"/>
    <xf numFmtId="0" fontId="0" fillId="4" borderId="45" xfId="0" applyFill="1" applyBorder="1"/>
    <xf numFmtId="167" fontId="0" fillId="0" borderId="83" xfId="0" applyNumberFormat="1" applyBorder="1"/>
    <xf numFmtId="0" fontId="0" fillId="0" borderId="48" xfId="0" applyBorder="1"/>
    <xf numFmtId="0" fontId="0" fillId="4" borderId="47" xfId="0" applyFill="1" applyBorder="1"/>
    <xf numFmtId="0" fontId="0" fillId="0" borderId="47" xfId="0" applyBorder="1"/>
    <xf numFmtId="9" fontId="0" fillId="0" borderId="75" xfId="0" applyNumberFormat="1" applyBorder="1" applyAlignment="1">
      <alignment horizontal="center" vertical="center"/>
    </xf>
    <xf numFmtId="9" fontId="0" fillId="0" borderId="76" xfId="0" applyNumberFormat="1" applyBorder="1" applyAlignment="1">
      <alignment horizontal="center" vertical="center"/>
    </xf>
    <xf numFmtId="0" fontId="0" fillId="0" borderId="77" xfId="0" applyBorder="1" applyAlignment="1">
      <alignment horizontal="center" vertical="center" wrapText="1"/>
    </xf>
    <xf numFmtId="9" fontId="0" fillId="0" borderId="32" xfId="0" applyNumberFormat="1" applyBorder="1" applyAlignment="1">
      <alignment horizontal="center" vertical="center" wrapText="1"/>
    </xf>
    <xf numFmtId="0" fontId="0" fillId="12" borderId="0" xfId="0" applyFill="1"/>
    <xf numFmtId="0" fontId="2" fillId="0" borderId="2" xfId="0" applyFont="1" applyBorder="1"/>
    <xf numFmtId="167" fontId="2" fillId="0" borderId="6" xfId="0" applyNumberFormat="1" applyFont="1" applyBorder="1"/>
    <xf numFmtId="0" fontId="27" fillId="0" borderId="0" xfId="0" applyFont="1"/>
    <xf numFmtId="2" fontId="27" fillId="0" borderId="0" xfId="0" applyNumberFormat="1" applyFont="1"/>
    <xf numFmtId="0" fontId="0" fillId="0" borderId="49" xfId="0" applyBorder="1" applyAlignment="1">
      <alignment horizontal="left"/>
    </xf>
    <xf numFmtId="0" fontId="0" fillId="0" borderId="0" xfId="0" applyAlignment="1">
      <alignment horizontal="left"/>
    </xf>
    <xf numFmtId="0" fontId="0" fillId="0" borderId="49" xfId="0" applyBorder="1" applyAlignment="1">
      <alignment horizontal="right"/>
    </xf>
    <xf numFmtId="0" fontId="0" fillId="0" borderId="0" xfId="0" applyAlignment="1">
      <alignment horizontal="right"/>
    </xf>
    <xf numFmtId="0" fontId="0" fillId="0" borderId="51" xfId="0" applyBorder="1" applyAlignment="1">
      <alignment horizontal="left"/>
    </xf>
    <xf numFmtId="0" fontId="0" fillId="0" borderId="17" xfId="0" applyBorder="1" applyAlignment="1">
      <alignment horizontal="left"/>
    </xf>
    <xf numFmtId="166" fontId="12" fillId="0" borderId="19" xfId="0" applyNumberFormat="1" applyFont="1" applyBorder="1" applyAlignment="1">
      <alignment horizontal="center"/>
    </xf>
    <xf numFmtId="166" fontId="13" fillId="0" borderId="0" xfId="0" applyNumberFormat="1" applyFont="1" applyAlignment="1">
      <alignment horizontal="center" vertical="center"/>
    </xf>
    <xf numFmtId="166" fontId="12" fillId="0" borderId="0" xfId="0" applyNumberFormat="1" applyFont="1" applyAlignment="1">
      <alignment horizontal="center"/>
    </xf>
    <xf numFmtId="0" fontId="12" fillId="0" borderId="33" xfId="0" applyFont="1" applyBorder="1" applyAlignment="1">
      <alignment horizontal="center"/>
    </xf>
    <xf numFmtId="0" fontId="12" fillId="0" borderId="19" xfId="0" applyFont="1" applyBorder="1" applyAlignment="1">
      <alignment horizontal="center"/>
    </xf>
    <xf numFmtId="0" fontId="12" fillId="0" borderId="34" xfId="0" applyFont="1" applyBorder="1" applyAlignment="1">
      <alignment horizontal="center"/>
    </xf>
    <xf numFmtId="0" fontId="0" fillId="0" borderId="65" xfId="0" applyBorder="1" applyAlignment="1">
      <alignment horizontal="left"/>
    </xf>
    <xf numFmtId="0" fontId="0" fillId="0" borderId="21" xfId="0" applyBorder="1" applyAlignment="1">
      <alignment horizontal="left"/>
    </xf>
    <xf numFmtId="166" fontId="12" fillId="0" borderId="60" xfId="0" applyNumberFormat="1" applyFont="1" applyBorder="1" applyAlignment="1">
      <alignment horizontal="center"/>
    </xf>
    <xf numFmtId="166" fontId="12" fillId="0" borderId="61" xfId="0" applyNumberFormat="1" applyFont="1" applyBorder="1" applyAlignment="1">
      <alignment horizontal="center"/>
    </xf>
    <xf numFmtId="0" fontId="12" fillId="0" borderId="63" xfId="0" applyFont="1" applyBorder="1" applyAlignment="1">
      <alignment horizontal="center"/>
    </xf>
    <xf numFmtId="0" fontId="12" fillId="0" borderId="64" xfId="0" applyFont="1" applyBorder="1" applyAlignment="1">
      <alignment horizontal="center"/>
    </xf>
    <xf numFmtId="0" fontId="13" fillId="0" borderId="0" xfId="0" applyFont="1" applyAlignment="1">
      <alignment horizontal="center"/>
    </xf>
    <xf numFmtId="166" fontId="12" fillId="0" borderId="52" xfId="0" applyNumberFormat="1" applyFont="1" applyBorder="1" applyAlignment="1">
      <alignment horizontal="center"/>
    </xf>
    <xf numFmtId="166" fontId="12" fillId="0" borderId="53" xfId="0" applyNumberFormat="1" applyFont="1" applyBorder="1" applyAlignment="1">
      <alignment horizontal="center"/>
    </xf>
    <xf numFmtId="166" fontId="12" fillId="0" borderId="54" xfId="0" applyNumberFormat="1" applyFont="1" applyBorder="1" applyAlignment="1">
      <alignment horizontal="center"/>
    </xf>
    <xf numFmtId="166" fontId="12" fillId="0" borderId="67" xfId="0" applyNumberFormat="1" applyFont="1" applyBorder="1" applyAlignment="1">
      <alignment horizontal="center"/>
    </xf>
    <xf numFmtId="0" fontId="3" fillId="0" borderId="55" xfId="0" applyFont="1" applyBorder="1" applyAlignment="1">
      <alignment horizontal="center"/>
    </xf>
    <xf numFmtId="0" fontId="3" fillId="0" borderId="0" xfId="0" applyFont="1" applyAlignment="1">
      <alignment horizontal="center"/>
    </xf>
    <xf numFmtId="0" fontId="3" fillId="0" borderId="56" xfId="0" applyFont="1" applyBorder="1" applyAlignment="1">
      <alignment horizontal="center"/>
    </xf>
    <xf numFmtId="0" fontId="20" fillId="0" borderId="60" xfId="0" applyFont="1" applyBorder="1" applyAlignment="1">
      <alignment horizontal="center" vertical="center"/>
    </xf>
    <xf numFmtId="0" fontId="20" fillId="0" borderId="84" xfId="0" applyFont="1" applyBorder="1" applyAlignment="1">
      <alignment horizontal="center" vertical="center"/>
    </xf>
    <xf numFmtId="0" fontId="2" fillId="0" borderId="1" xfId="0" applyFont="1" applyBorder="1" applyAlignment="1">
      <alignment horizontal="center"/>
    </xf>
    <xf numFmtId="0" fontId="2" fillId="0" borderId="85" xfId="0" applyFont="1" applyBorder="1" applyAlignment="1">
      <alignment horizontal="center"/>
    </xf>
    <xf numFmtId="0" fontId="2" fillId="0" borderId="14" xfId="0" applyFont="1" applyBorder="1" applyAlignment="1">
      <alignment horizontal="center"/>
    </xf>
    <xf numFmtId="0" fontId="2" fillId="0" borderId="2" xfId="0" applyFont="1" applyBorder="1" applyAlignment="1">
      <alignment horizontal="center"/>
    </xf>
    <xf numFmtId="0" fontId="0" fillId="0" borderId="98" xfId="0" applyBorder="1" applyAlignment="1">
      <alignment horizontal="center"/>
    </xf>
    <xf numFmtId="0" fontId="0" fillId="0" borderId="99" xfId="0" applyBorder="1" applyAlignment="1">
      <alignment horizontal="center"/>
    </xf>
    <xf numFmtId="0" fontId="0" fillId="0" borderId="3"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wrapText="1"/>
    </xf>
    <xf numFmtId="0" fontId="0" fillId="0" borderId="0" xfId="0" applyAlignment="1">
      <alignment horizontal="left" wrapText="1"/>
    </xf>
    <xf numFmtId="0" fontId="2" fillId="0" borderId="16" xfId="0" applyFont="1" applyBorder="1" applyAlignment="1">
      <alignment horizontal="left"/>
    </xf>
    <xf numFmtId="0" fontId="2" fillId="0" borderId="17" xfId="0" applyFont="1" applyBorder="1" applyAlignment="1">
      <alignment horizontal="left"/>
    </xf>
    <xf numFmtId="0" fontId="2" fillId="0" borderId="9" xfId="0" applyFont="1" applyBorder="1" applyAlignment="1">
      <alignment horizontal="center"/>
    </xf>
    <xf numFmtId="0" fontId="2" fillId="0" borderId="10" xfId="0" applyFont="1" applyBorder="1" applyAlignment="1">
      <alignment horizontal="center"/>
    </xf>
    <xf numFmtId="0" fontId="0" fillId="0" borderId="15" xfId="0" applyBorder="1" applyAlignment="1">
      <alignment horizontal="left"/>
    </xf>
    <xf numFmtId="0" fontId="0" fillId="0" borderId="11" xfId="0" applyBorder="1" applyAlignment="1">
      <alignment horizontal="left"/>
    </xf>
    <xf numFmtId="0" fontId="0" fillId="0" borderId="1" xfId="0" applyBorder="1" applyAlignment="1">
      <alignment horizontal="left" wrapText="1"/>
    </xf>
    <xf numFmtId="0" fontId="0" fillId="0" borderId="14"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5" xfId="0" applyBorder="1" applyAlignment="1">
      <alignment horizontal="left" wrapText="1"/>
    </xf>
    <xf numFmtId="0" fontId="0" fillId="0" borderId="12" xfId="0" applyBorder="1" applyAlignment="1">
      <alignment horizontal="left" wrapText="1"/>
    </xf>
    <xf numFmtId="0" fontId="6" fillId="0" borderId="15" xfId="0" applyFont="1" applyBorder="1" applyAlignment="1">
      <alignment horizontal="center"/>
    </xf>
    <xf numFmtId="0" fontId="6" fillId="0" borderId="11" xfId="0" applyFont="1" applyBorder="1" applyAlignment="1">
      <alignment horizontal="center"/>
    </xf>
    <xf numFmtId="0" fontId="6" fillId="0" borderId="31" xfId="0" applyFont="1" applyBorder="1" applyAlignment="1">
      <alignment horizontal="center"/>
    </xf>
    <xf numFmtId="0" fontId="6" fillId="0" borderId="0" xfId="0" applyFont="1" applyAlignment="1">
      <alignment horizontal="left" vertical="center"/>
    </xf>
    <xf numFmtId="0" fontId="6" fillId="0" borderId="0" xfId="0" applyFont="1" applyAlignment="1">
      <alignment horizontal="left"/>
    </xf>
    <xf numFmtId="0" fontId="0" fillId="0" borderId="14"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10" fillId="0" borderId="1" xfId="0" applyFont="1" applyBorder="1" applyAlignment="1">
      <alignment horizontal="left" vertical="center"/>
    </xf>
    <xf numFmtId="0" fontId="10" fillId="0" borderId="2" xfId="0" applyFont="1" applyBorder="1" applyAlignment="1">
      <alignment horizontal="left"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3" xfId="0" applyFont="1" applyBorder="1" applyAlignment="1">
      <alignment horizontal="left" vertical="center"/>
    </xf>
    <xf numFmtId="0" fontId="10" fillId="0" borderId="4" xfId="0" applyFont="1" applyBorder="1" applyAlignment="1">
      <alignment horizontal="left" vertical="center"/>
    </xf>
    <xf numFmtId="44" fontId="0" fillId="0" borderId="0" xfId="3" applyFont="1" applyAlignment="1">
      <alignment horizontal="center"/>
    </xf>
    <xf numFmtId="0" fontId="7" fillId="2" borderId="0" xfId="0" applyFont="1" applyFill="1" applyAlignment="1">
      <alignment horizontal="center"/>
    </xf>
    <xf numFmtId="0" fontId="7" fillId="2" borderId="12" xfId="0" applyFont="1" applyFill="1" applyBorder="1" applyAlignment="1">
      <alignment horizontal="center"/>
    </xf>
    <xf numFmtId="0" fontId="7" fillId="0" borderId="14" xfId="0" applyFont="1" applyBorder="1" applyAlignment="1">
      <alignment horizontal="center"/>
    </xf>
    <xf numFmtId="0" fontId="12" fillId="0" borderId="12" xfId="0" applyFont="1" applyBorder="1" applyAlignment="1">
      <alignment horizontal="center"/>
    </xf>
    <xf numFmtId="0" fontId="0" fillId="0" borderId="13" xfId="0" applyBorder="1" applyAlignment="1">
      <alignment horizontal="center"/>
    </xf>
    <xf numFmtId="0" fontId="0" fillId="0" borderId="36" xfId="0" applyBorder="1" applyAlignment="1">
      <alignment horizontal="center"/>
    </xf>
    <xf numFmtId="0" fontId="0" fillId="0" borderId="40" xfId="0" applyBorder="1" applyAlignment="1">
      <alignment horizontal="center"/>
    </xf>
    <xf numFmtId="0" fontId="0" fillId="0" borderId="38" xfId="0" applyBorder="1" applyAlignment="1">
      <alignment horizontal="center"/>
    </xf>
    <xf numFmtId="0" fontId="0" fillId="0" borderId="79" xfId="0" applyBorder="1" applyAlignment="1">
      <alignment horizontal="left"/>
    </xf>
    <xf numFmtId="0" fontId="0" fillId="0" borderId="37" xfId="0" applyBorder="1" applyAlignment="1">
      <alignment horizontal="left"/>
    </xf>
    <xf numFmtId="0" fontId="22" fillId="2" borderId="1" xfId="0" applyFont="1" applyFill="1" applyBorder="1" applyAlignment="1">
      <alignment vertical="center"/>
    </xf>
    <xf numFmtId="0" fontId="22" fillId="2" borderId="14" xfId="0" applyFont="1" applyFill="1" applyBorder="1" applyAlignment="1">
      <alignment vertical="center"/>
    </xf>
    <xf numFmtId="0" fontId="7" fillId="0" borderId="1" xfId="0" applyFont="1" applyBorder="1" applyAlignment="1">
      <alignment horizontal="center"/>
    </xf>
    <xf numFmtId="0" fontId="0" fillId="0" borderId="23" xfId="0" applyBorder="1" applyAlignment="1">
      <alignment horizontal="left"/>
    </xf>
    <xf numFmtId="0" fontId="0" fillId="0" borderId="24" xfId="0" applyBorder="1" applyAlignment="1">
      <alignment horizontal="left"/>
    </xf>
    <xf numFmtId="0" fontId="0" fillId="0" borderId="78" xfId="0" applyBorder="1" applyAlignment="1">
      <alignment horizontal="left"/>
    </xf>
    <xf numFmtId="0" fontId="0" fillId="0" borderId="35" xfId="0" applyBorder="1" applyAlignment="1">
      <alignment horizontal="left"/>
    </xf>
    <xf numFmtId="0" fontId="0" fillId="0" borderId="95" xfId="0" applyBorder="1" applyAlignment="1">
      <alignment horizontal="left"/>
    </xf>
    <xf numFmtId="0" fontId="0" fillId="0" borderId="96" xfId="0" applyBorder="1" applyAlignment="1">
      <alignment horizontal="left"/>
    </xf>
    <xf numFmtId="0" fontId="2" fillId="0" borderId="29" xfId="0" applyFont="1" applyBorder="1" applyAlignment="1">
      <alignment horizontal="left"/>
    </xf>
    <xf numFmtId="0" fontId="2" fillId="0" borderId="30" xfId="0" applyFont="1" applyBorder="1" applyAlignment="1">
      <alignment horizontal="left"/>
    </xf>
    <xf numFmtId="0" fontId="2" fillId="0" borderId="30" xfId="0" applyFont="1" applyBorder="1" applyAlignment="1">
      <alignment horizontal="center"/>
    </xf>
    <xf numFmtId="0" fontId="22" fillId="2" borderId="1" xfId="0" applyFont="1" applyFill="1" applyBorder="1" applyAlignment="1">
      <alignment horizontal="left"/>
    </xf>
    <xf numFmtId="0" fontId="22" fillId="2" borderId="14" xfId="0" applyFont="1" applyFill="1" applyBorder="1" applyAlignment="1">
      <alignment horizontal="left"/>
    </xf>
    <xf numFmtId="0" fontId="14" fillId="0" borderId="0" xfId="4" applyAlignment="1">
      <alignment horizontal="left"/>
    </xf>
  </cellXfs>
  <cellStyles count="5">
    <cellStyle name="Currency 2" xfId="3" xr:uid="{969E0AF6-C4E9-4BE1-910A-FC69A0D4462C}"/>
    <cellStyle name="Lien hypertexte" xfId="4" builtinId="8"/>
    <cellStyle name="Monétaire" xfId="1" builtinId="4"/>
    <cellStyle name="Normal" xfId="0" builtinId="0"/>
    <cellStyle name="Pourcentage" xfId="2" builtinId="5"/>
  </cellStyles>
  <dxfs count="20">
    <dxf>
      <font>
        <color theme="0" tint="-0.14996795556505021"/>
      </font>
    </dxf>
    <dxf>
      <font>
        <b/>
        <i val="0"/>
        <color theme="6"/>
      </font>
    </dxf>
    <dxf>
      <font>
        <b/>
        <i val="0"/>
        <color rgb="FFC00000"/>
      </font>
    </dxf>
    <dxf>
      <numFmt numFmtId="14" formatCode="0.00%"/>
    </dxf>
    <dxf>
      <numFmt numFmtId="14" formatCode="0.00%"/>
    </dxf>
    <dxf>
      <numFmt numFmtId="14" formatCode="0.00%"/>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14" formatCode="0.00%"/>
      <fill>
        <patternFill patternType="solid">
          <fgColor indexed="64"/>
          <bgColor theme="1"/>
        </patternFill>
      </fill>
    </dxf>
    <dxf>
      <numFmt numFmtId="167" formatCode="&quot;$&quot;#,##0.00"/>
      <fill>
        <patternFill patternType="solid">
          <fgColor indexed="64"/>
          <bgColor theme="1"/>
        </patternFill>
      </fill>
    </dxf>
    <dxf>
      <numFmt numFmtId="14" formatCode="0.00%"/>
      <fill>
        <patternFill patternType="solid">
          <fgColor indexed="64"/>
          <bgColor theme="1"/>
        </patternFill>
      </fill>
    </dxf>
    <dxf>
      <numFmt numFmtId="167" formatCode="&quot;$&quot;#,##0.00"/>
      <fill>
        <patternFill patternType="solid">
          <fgColor indexed="64"/>
          <bgColor theme="1"/>
        </patternFill>
      </fill>
    </dxf>
    <dxf>
      <numFmt numFmtId="167" formatCode="&quot;$&quot;#,##0.00"/>
      <fill>
        <patternFill patternType="solid">
          <fgColor indexed="64"/>
          <bgColor theme="1"/>
        </patternFill>
      </fill>
    </dxf>
    <dxf>
      <numFmt numFmtId="167" formatCode="&quot;$&quot;#,##0.00"/>
      <fill>
        <patternFill patternType="solid">
          <fgColor indexed="64"/>
          <bgColor theme="1"/>
        </patternFill>
      </fill>
    </dxf>
    <dxf>
      <font>
        <b val="0"/>
        <i val="0"/>
        <strike val="0"/>
        <condense val="0"/>
        <extend val="0"/>
        <outline val="0"/>
        <shadow val="0"/>
        <u val="none"/>
        <vertAlign val="baseline"/>
        <sz val="11"/>
        <color theme="1"/>
        <name val="Aptos Narrow"/>
        <family val="2"/>
        <scheme val="minor"/>
      </font>
      <numFmt numFmtId="13" formatCode="0%"/>
      <fill>
        <patternFill patternType="solid">
          <fgColor indexed="64"/>
          <bgColor theme="1"/>
        </patternFill>
      </fill>
      <alignment horizontal="center" vertical="center" textRotation="0" wrapText="0" indent="0" justifyLastLine="0" shrinkToFit="0" readingOrder="0"/>
    </dxf>
    <dxf>
      <numFmt numFmtId="167" formatCode="&quot;$&quot;#,##0.00"/>
      <fill>
        <patternFill patternType="solid">
          <fgColor indexed="64"/>
          <bgColor theme="1"/>
        </patternFill>
      </fill>
      <alignment horizontal="center" vertical="center" textRotation="0" wrapText="0" indent="0" justifyLastLine="0" shrinkToFit="0" readingOrder="0"/>
    </dxf>
    <dxf>
      <fill>
        <patternFill patternType="solid">
          <fgColor indexed="64"/>
          <bgColor theme="1"/>
        </patternFill>
      </fill>
      <border diagonalUp="0" diagonalDown="0" outline="0">
        <left style="medium">
          <color indexed="64"/>
        </left>
        <right/>
      </border>
    </dxf>
    <dxf>
      <border diagonalUp="0" diagonalDown="0">
        <left style="medium">
          <color indexed="64"/>
        </left>
        <right style="medium">
          <color indexed="64"/>
        </right>
        <top style="medium">
          <color indexed="64"/>
        </top>
        <bottom style="medium">
          <color indexed="64"/>
        </bottom>
      </border>
    </dxf>
    <dxf>
      <fill>
        <patternFill patternType="solid">
          <fgColor indexed="64"/>
          <bgColor theme="1"/>
        </patternFill>
      </fill>
    </dxf>
    <dxf>
      <fill>
        <patternFill patternType="solid">
          <fgColor indexed="64"/>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MagNet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Ratios'!$B$34</c:f>
              <c:strCache>
                <c:ptCount val="1"/>
                <c:pt idx="0">
                  <c:v>Encaisse finale</c:v>
                </c:pt>
              </c:strCache>
            </c:strRef>
          </c:tx>
          <c:spPr>
            <a:ln w="28575" cap="rnd">
              <a:solidFill>
                <a:schemeClr val="accent1"/>
              </a:solidFill>
              <a:round/>
            </a:ln>
            <a:effectLst/>
          </c:spPr>
          <c:marker>
            <c:symbol val="none"/>
          </c:marker>
          <c:cat>
            <c:numRef>
              <c:f>'Partie 1 - Ratios'!$C$32:$D$32</c:f>
              <c:numCache>
                <c:formatCode>General</c:formatCode>
                <c:ptCount val="2"/>
                <c:pt idx="0">
                  <c:v>2013</c:v>
                </c:pt>
                <c:pt idx="1">
                  <c:v>2014</c:v>
                </c:pt>
              </c:numCache>
            </c:numRef>
          </c:cat>
          <c:val>
            <c:numRef>
              <c:f>'Partie 1 - Ratios'!$C$34:$D$34</c:f>
              <c:numCache>
                <c:formatCode>_-* #,##0.00"$"_-;\-* #,##0.00"$"_-;_-* "-"??"$"_-;_-@_-</c:formatCode>
                <c:ptCount val="2"/>
                <c:pt idx="0">
                  <c:v>1510000</c:v>
                </c:pt>
                <c:pt idx="1">
                  <c:v>5643050</c:v>
                </c:pt>
              </c:numCache>
            </c:numRef>
          </c:val>
          <c:smooth val="0"/>
          <c:extLst>
            <c:ext xmlns:c16="http://schemas.microsoft.com/office/drawing/2014/chart" uri="{C3380CC4-5D6E-409C-BE32-E72D297353CC}">
              <c16:uniqueId val="{00000000-E2B4-48B8-ADFA-AA4D9E8E02B7}"/>
            </c:ext>
          </c:extLst>
        </c:ser>
        <c:ser>
          <c:idx val="1"/>
          <c:order val="1"/>
          <c:tx>
            <c:strRef>
              <c:f>'Partie 1 - Ratios'!$B$35</c:f>
              <c:strCache>
                <c:ptCount val="1"/>
                <c:pt idx="0">
                  <c:v>Actif total</c:v>
                </c:pt>
              </c:strCache>
            </c:strRef>
          </c:tx>
          <c:spPr>
            <a:ln w="28575" cap="rnd">
              <a:solidFill>
                <a:schemeClr val="accent2"/>
              </a:solidFill>
              <a:round/>
            </a:ln>
            <a:effectLst/>
          </c:spPr>
          <c:marker>
            <c:symbol val="none"/>
          </c:marker>
          <c:cat>
            <c:numRef>
              <c:f>'Partie 1 - Ratios'!$C$32:$D$32</c:f>
              <c:numCache>
                <c:formatCode>General</c:formatCode>
                <c:ptCount val="2"/>
                <c:pt idx="0">
                  <c:v>2013</c:v>
                </c:pt>
                <c:pt idx="1">
                  <c:v>2014</c:v>
                </c:pt>
              </c:numCache>
            </c:numRef>
          </c:cat>
          <c:val>
            <c:numRef>
              <c:f>'Partie 1 - Ratios'!$C$35:$D$35</c:f>
              <c:numCache>
                <c:formatCode>_-* #,##0.00"$"_-;\-* #,##0.00"$"_-;_-* "-"??"$"_-;_-@_-</c:formatCode>
                <c:ptCount val="2"/>
                <c:pt idx="0">
                  <c:v>26423000</c:v>
                </c:pt>
                <c:pt idx="1">
                  <c:v>33791050</c:v>
                </c:pt>
              </c:numCache>
            </c:numRef>
          </c:val>
          <c:smooth val="0"/>
          <c:extLst>
            <c:ext xmlns:c16="http://schemas.microsoft.com/office/drawing/2014/chart" uri="{C3380CC4-5D6E-409C-BE32-E72D297353CC}">
              <c16:uniqueId val="{00000002-E2B4-48B8-ADFA-AA4D9E8E02B7}"/>
            </c:ext>
          </c:extLst>
        </c:ser>
        <c:ser>
          <c:idx val="2"/>
          <c:order val="2"/>
          <c:tx>
            <c:strRef>
              <c:f>'Partie 1 - Ratios'!$B$36</c:f>
              <c:strCache>
                <c:ptCount val="1"/>
                <c:pt idx="0">
                  <c:v>Passif total</c:v>
                </c:pt>
              </c:strCache>
            </c:strRef>
          </c:tx>
          <c:spPr>
            <a:ln w="28575" cap="rnd">
              <a:solidFill>
                <a:schemeClr val="accent3"/>
              </a:solidFill>
              <a:round/>
            </a:ln>
            <a:effectLst/>
          </c:spPr>
          <c:marker>
            <c:symbol val="none"/>
          </c:marker>
          <c:cat>
            <c:numRef>
              <c:f>'Partie 1 - Ratios'!$C$32:$D$32</c:f>
              <c:numCache>
                <c:formatCode>General</c:formatCode>
                <c:ptCount val="2"/>
                <c:pt idx="0">
                  <c:v>2013</c:v>
                </c:pt>
                <c:pt idx="1">
                  <c:v>2014</c:v>
                </c:pt>
              </c:numCache>
            </c:numRef>
          </c:cat>
          <c:val>
            <c:numRef>
              <c:f>'Partie 1 - Ratios'!$C$36:$D$36</c:f>
              <c:numCache>
                <c:formatCode>_-* #,##0.00"$"_-;\-* #,##0.00"$"_-;_-* "-"??"$"_-;_-@_-</c:formatCode>
                <c:ptCount val="2"/>
                <c:pt idx="0">
                  <c:v>14580000</c:v>
                </c:pt>
                <c:pt idx="1">
                  <c:v>23145850</c:v>
                </c:pt>
              </c:numCache>
            </c:numRef>
          </c:val>
          <c:smooth val="0"/>
          <c:extLst>
            <c:ext xmlns:c16="http://schemas.microsoft.com/office/drawing/2014/chart" uri="{C3380CC4-5D6E-409C-BE32-E72D297353CC}">
              <c16:uniqueId val="{00000003-E2B4-48B8-ADFA-AA4D9E8E02B7}"/>
            </c:ext>
          </c:extLst>
        </c:ser>
        <c:ser>
          <c:idx val="3"/>
          <c:order val="3"/>
          <c:tx>
            <c:strRef>
              <c:f>'Partie 1 - Ratios'!$B$37</c:f>
              <c:strCache>
                <c:ptCount val="1"/>
                <c:pt idx="0">
                  <c:v>Capitaux Propres</c:v>
                </c:pt>
              </c:strCache>
            </c:strRef>
          </c:tx>
          <c:spPr>
            <a:ln w="28575" cap="rnd">
              <a:solidFill>
                <a:schemeClr val="accent4"/>
              </a:solidFill>
              <a:round/>
            </a:ln>
            <a:effectLst/>
          </c:spPr>
          <c:marker>
            <c:symbol val="none"/>
          </c:marker>
          <c:cat>
            <c:numRef>
              <c:f>'Partie 1 - Ratios'!$C$32:$D$32</c:f>
              <c:numCache>
                <c:formatCode>General</c:formatCode>
                <c:ptCount val="2"/>
                <c:pt idx="0">
                  <c:v>2013</c:v>
                </c:pt>
                <c:pt idx="1">
                  <c:v>2014</c:v>
                </c:pt>
              </c:numCache>
            </c:numRef>
          </c:cat>
          <c:val>
            <c:numRef>
              <c:f>'Partie 1 - Ratios'!$C$37:$D$37</c:f>
              <c:numCache>
                <c:formatCode>_-* #,##0.00"$"_-;\-* #,##0.00"$"_-;_-* "-"??"$"_-;_-@_-</c:formatCode>
                <c:ptCount val="2"/>
                <c:pt idx="0">
                  <c:v>11843000</c:v>
                </c:pt>
                <c:pt idx="1">
                  <c:v>17823200</c:v>
                </c:pt>
              </c:numCache>
            </c:numRef>
          </c:val>
          <c:smooth val="0"/>
          <c:extLst>
            <c:ext xmlns:c16="http://schemas.microsoft.com/office/drawing/2014/chart" uri="{C3380CC4-5D6E-409C-BE32-E72D297353CC}">
              <c16:uniqueId val="{00000004-E2B4-48B8-ADFA-AA4D9E8E02B7}"/>
            </c:ext>
          </c:extLst>
        </c:ser>
        <c:ser>
          <c:idx val="4"/>
          <c:order val="4"/>
          <c:tx>
            <c:strRef>
              <c:f>'Partie 1 - Ratios'!$B$33</c:f>
              <c:strCache>
                <c:ptCount val="1"/>
                <c:pt idx="0">
                  <c:v>Benefice net</c:v>
                </c:pt>
              </c:strCache>
            </c:strRef>
          </c:tx>
          <c:spPr>
            <a:ln w="28575" cap="rnd">
              <a:solidFill>
                <a:schemeClr val="accent5"/>
              </a:solidFill>
              <a:round/>
            </a:ln>
            <a:effectLst/>
          </c:spPr>
          <c:marker>
            <c:symbol val="none"/>
          </c:marker>
          <c:val>
            <c:numRef>
              <c:f>'Partie 1 - Ratios'!$C$33:$D$33</c:f>
              <c:numCache>
                <c:formatCode>_-* #,##0.00"$"_-;\-* #,##0.00"$"_-;_-* "-"??"$"_-;_-@_-</c:formatCode>
                <c:ptCount val="2"/>
                <c:pt idx="1">
                  <c:v>5950200</c:v>
                </c:pt>
              </c:numCache>
            </c:numRef>
          </c:val>
          <c:smooth val="0"/>
          <c:extLst>
            <c:ext xmlns:c16="http://schemas.microsoft.com/office/drawing/2014/chart" uri="{C3380CC4-5D6E-409C-BE32-E72D297353CC}">
              <c16:uniqueId val="{00000005-E2B4-48B8-ADFA-AA4D9E8E02B7}"/>
            </c:ext>
          </c:extLst>
        </c:ser>
        <c:dLbls>
          <c:showLegendKey val="0"/>
          <c:showVal val="0"/>
          <c:showCatName val="0"/>
          <c:showSerName val="0"/>
          <c:showPercent val="0"/>
          <c:showBubbleSize val="0"/>
        </c:dLbls>
        <c:smooth val="0"/>
        <c:axId val="919322168"/>
        <c:axId val="993179680"/>
      </c:lineChart>
      <c:catAx>
        <c:axId val="919322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79680"/>
        <c:crosses val="autoZero"/>
        <c:auto val="1"/>
        <c:lblAlgn val="ctr"/>
        <c:lblOffset val="100"/>
        <c:noMultiLvlLbl val="0"/>
      </c:catAx>
      <c:valAx>
        <c:axId val="993179680"/>
        <c:scaling>
          <c:orientation val="minMax"/>
        </c:scaling>
        <c:delete val="0"/>
        <c:axPos val="l"/>
        <c:majorGridlines>
          <c:spPr>
            <a:ln w="9525" cap="flat" cmpd="sng" algn="ctr">
              <a:solidFill>
                <a:schemeClr val="tx1">
                  <a:lumMod val="15000"/>
                  <a:lumOff val="85000"/>
                </a:schemeClr>
              </a:solidFill>
              <a:round/>
            </a:ln>
            <a:effectLst/>
          </c:spPr>
        </c:majorGridlines>
        <c:numFmt formatCode="_-* #,##0.00&quot;$&quot;_-;\-* #,##0.00&quot;$&quot;_-;_-* &quot;-&quot;??&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22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SARLOS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Ratios'!$B$34</c:f>
              <c:strCache>
                <c:ptCount val="1"/>
                <c:pt idx="0">
                  <c:v>Encaisse finale</c:v>
                </c:pt>
              </c:strCache>
            </c:strRef>
          </c:tx>
          <c:spPr>
            <a:ln w="28575" cap="rnd">
              <a:solidFill>
                <a:schemeClr val="accent1"/>
              </a:solidFill>
              <a:round/>
            </a:ln>
            <a:effectLst/>
          </c:spPr>
          <c:marker>
            <c:symbol val="none"/>
          </c:marker>
          <c:cat>
            <c:numRef>
              <c:f>'Partie 1 - Ratios'!$C$32:$D$32</c:f>
              <c:numCache>
                <c:formatCode>General</c:formatCode>
                <c:ptCount val="2"/>
                <c:pt idx="0">
                  <c:v>2013</c:v>
                </c:pt>
                <c:pt idx="1">
                  <c:v>2014</c:v>
                </c:pt>
              </c:numCache>
            </c:numRef>
          </c:cat>
          <c:val>
            <c:numRef>
              <c:f>'Partie 1 - Ratios'!$E$34:$F$34</c:f>
              <c:numCache>
                <c:formatCode>_-* #,##0.00"$"_-;\-* #,##0.00"$"_-;_-* "-"??"$"_-;_-@_-</c:formatCode>
                <c:ptCount val="2"/>
                <c:pt idx="0">
                  <c:v>38000000</c:v>
                </c:pt>
                <c:pt idx="1">
                  <c:v>58690000</c:v>
                </c:pt>
              </c:numCache>
            </c:numRef>
          </c:val>
          <c:smooth val="0"/>
          <c:extLst>
            <c:ext xmlns:c16="http://schemas.microsoft.com/office/drawing/2014/chart" uri="{C3380CC4-5D6E-409C-BE32-E72D297353CC}">
              <c16:uniqueId val="{00000000-E2B4-48B8-ADFA-AA4D9E8E02B7}"/>
            </c:ext>
          </c:extLst>
        </c:ser>
        <c:ser>
          <c:idx val="1"/>
          <c:order val="1"/>
          <c:tx>
            <c:strRef>
              <c:f>'Partie 1 - Ratios'!$B$35</c:f>
              <c:strCache>
                <c:ptCount val="1"/>
                <c:pt idx="0">
                  <c:v>Actif total</c:v>
                </c:pt>
              </c:strCache>
            </c:strRef>
          </c:tx>
          <c:spPr>
            <a:ln w="28575" cap="rnd">
              <a:solidFill>
                <a:schemeClr val="accent2"/>
              </a:solidFill>
              <a:round/>
            </a:ln>
            <a:effectLst/>
          </c:spPr>
          <c:marker>
            <c:symbol val="none"/>
          </c:marker>
          <c:cat>
            <c:numRef>
              <c:f>'Partie 1 - Ratios'!$C$32:$D$32</c:f>
              <c:numCache>
                <c:formatCode>General</c:formatCode>
                <c:ptCount val="2"/>
                <c:pt idx="0">
                  <c:v>2013</c:v>
                </c:pt>
                <c:pt idx="1">
                  <c:v>2014</c:v>
                </c:pt>
              </c:numCache>
            </c:numRef>
          </c:cat>
          <c:val>
            <c:numRef>
              <c:f>'Partie 1 - Ratios'!$E$35:$F$35</c:f>
              <c:numCache>
                <c:formatCode>_-* #,##0.00"$"_-;\-* #,##0.00"$"_-;_-* "-"??"$"_-;_-@_-</c:formatCode>
                <c:ptCount val="2"/>
                <c:pt idx="0">
                  <c:v>174600000</c:v>
                </c:pt>
                <c:pt idx="1">
                  <c:v>195730000</c:v>
                </c:pt>
              </c:numCache>
            </c:numRef>
          </c:val>
          <c:smooth val="0"/>
          <c:extLst>
            <c:ext xmlns:c16="http://schemas.microsoft.com/office/drawing/2014/chart" uri="{C3380CC4-5D6E-409C-BE32-E72D297353CC}">
              <c16:uniqueId val="{00000002-E2B4-48B8-ADFA-AA4D9E8E02B7}"/>
            </c:ext>
          </c:extLst>
        </c:ser>
        <c:ser>
          <c:idx val="2"/>
          <c:order val="2"/>
          <c:tx>
            <c:strRef>
              <c:f>'Partie 1 - Ratios'!$B$36</c:f>
              <c:strCache>
                <c:ptCount val="1"/>
                <c:pt idx="0">
                  <c:v>Passif total</c:v>
                </c:pt>
              </c:strCache>
            </c:strRef>
          </c:tx>
          <c:spPr>
            <a:ln w="28575" cap="rnd">
              <a:solidFill>
                <a:schemeClr val="accent3"/>
              </a:solidFill>
              <a:round/>
            </a:ln>
            <a:effectLst/>
          </c:spPr>
          <c:marker>
            <c:symbol val="none"/>
          </c:marker>
          <c:cat>
            <c:numRef>
              <c:f>'Partie 1 - Ratios'!$C$32:$D$32</c:f>
              <c:numCache>
                <c:formatCode>General</c:formatCode>
                <c:ptCount val="2"/>
                <c:pt idx="0">
                  <c:v>2013</c:v>
                </c:pt>
                <c:pt idx="1">
                  <c:v>2014</c:v>
                </c:pt>
              </c:numCache>
            </c:numRef>
          </c:cat>
          <c:val>
            <c:numRef>
              <c:f>'Partie 1 - Ratios'!$E$36:$F$36</c:f>
              <c:numCache>
                <c:formatCode>_-* #,##0.00"$"_-;\-* #,##0.00"$"_-;_-* "-"??"$"_-;_-@_-</c:formatCode>
                <c:ptCount val="2"/>
                <c:pt idx="0">
                  <c:v>69705000</c:v>
                </c:pt>
                <c:pt idx="1">
                  <c:v>71095000</c:v>
                </c:pt>
              </c:numCache>
            </c:numRef>
          </c:val>
          <c:smooth val="0"/>
          <c:extLst>
            <c:ext xmlns:c16="http://schemas.microsoft.com/office/drawing/2014/chart" uri="{C3380CC4-5D6E-409C-BE32-E72D297353CC}">
              <c16:uniqueId val="{00000003-E2B4-48B8-ADFA-AA4D9E8E02B7}"/>
            </c:ext>
          </c:extLst>
        </c:ser>
        <c:ser>
          <c:idx val="3"/>
          <c:order val="3"/>
          <c:tx>
            <c:strRef>
              <c:f>'Partie 1 - Ratios'!$B$37</c:f>
              <c:strCache>
                <c:ptCount val="1"/>
                <c:pt idx="0">
                  <c:v>Capitaux Propres</c:v>
                </c:pt>
              </c:strCache>
            </c:strRef>
          </c:tx>
          <c:spPr>
            <a:ln w="28575" cap="rnd">
              <a:solidFill>
                <a:schemeClr val="accent4"/>
              </a:solidFill>
              <a:round/>
            </a:ln>
            <a:effectLst/>
          </c:spPr>
          <c:marker>
            <c:symbol val="none"/>
          </c:marker>
          <c:cat>
            <c:numRef>
              <c:f>'Partie 1 - Ratios'!$C$32:$D$32</c:f>
              <c:numCache>
                <c:formatCode>General</c:formatCode>
                <c:ptCount val="2"/>
                <c:pt idx="0">
                  <c:v>2013</c:v>
                </c:pt>
                <c:pt idx="1">
                  <c:v>2014</c:v>
                </c:pt>
              </c:numCache>
            </c:numRef>
          </c:cat>
          <c:val>
            <c:numRef>
              <c:f>'Partie 1 - Ratios'!$E$37:$F$37</c:f>
              <c:numCache>
                <c:formatCode>_-* #,##0.00"$"_-;\-* #,##0.00"$"_-;_-* "-"??"$"_-;_-@_-</c:formatCode>
                <c:ptCount val="2"/>
                <c:pt idx="0">
                  <c:v>104895000</c:v>
                </c:pt>
                <c:pt idx="1">
                  <c:v>123795000</c:v>
                </c:pt>
              </c:numCache>
            </c:numRef>
          </c:val>
          <c:smooth val="0"/>
          <c:extLst>
            <c:ext xmlns:c16="http://schemas.microsoft.com/office/drawing/2014/chart" uri="{C3380CC4-5D6E-409C-BE32-E72D297353CC}">
              <c16:uniqueId val="{00000004-E2B4-48B8-ADFA-AA4D9E8E02B7}"/>
            </c:ext>
          </c:extLst>
        </c:ser>
        <c:ser>
          <c:idx val="4"/>
          <c:order val="4"/>
          <c:tx>
            <c:strRef>
              <c:f>'Partie 1 - Ratios'!$B$33</c:f>
              <c:strCache>
                <c:ptCount val="1"/>
                <c:pt idx="0">
                  <c:v>Benefice net</c:v>
                </c:pt>
              </c:strCache>
            </c:strRef>
          </c:tx>
          <c:spPr>
            <a:ln w="28575" cap="rnd">
              <a:solidFill>
                <a:schemeClr val="accent5"/>
              </a:solidFill>
              <a:round/>
            </a:ln>
            <a:effectLst/>
          </c:spPr>
          <c:marker>
            <c:symbol val="none"/>
          </c:marker>
          <c:val>
            <c:numRef>
              <c:f>'Partie 1 - Ratios'!$E$33:$F$33</c:f>
              <c:numCache>
                <c:formatCode>_-* #,##0.00"$"_-;\-* #,##0.00"$"_-;_-* "-"??"$"_-;_-@_-</c:formatCode>
                <c:ptCount val="2"/>
                <c:pt idx="0">
                  <c:v>31260000</c:v>
                </c:pt>
                <c:pt idx="1">
                  <c:v>34110000</c:v>
                </c:pt>
              </c:numCache>
            </c:numRef>
          </c:val>
          <c:smooth val="0"/>
          <c:extLst>
            <c:ext xmlns:c16="http://schemas.microsoft.com/office/drawing/2014/chart" uri="{C3380CC4-5D6E-409C-BE32-E72D297353CC}">
              <c16:uniqueId val="{00000000-C6E0-43EA-8EF8-558846BCC5AB}"/>
            </c:ext>
          </c:extLst>
        </c:ser>
        <c:dLbls>
          <c:showLegendKey val="0"/>
          <c:showVal val="0"/>
          <c:showCatName val="0"/>
          <c:showSerName val="0"/>
          <c:showPercent val="0"/>
          <c:showBubbleSize val="0"/>
        </c:dLbls>
        <c:smooth val="0"/>
        <c:axId val="919322168"/>
        <c:axId val="993179680"/>
      </c:lineChart>
      <c:catAx>
        <c:axId val="919322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79680"/>
        <c:crosses val="autoZero"/>
        <c:auto val="1"/>
        <c:lblAlgn val="ctr"/>
        <c:lblOffset val="100"/>
        <c:noMultiLvlLbl val="0"/>
      </c:catAx>
      <c:valAx>
        <c:axId val="993179680"/>
        <c:scaling>
          <c:orientation val="minMax"/>
        </c:scaling>
        <c:delete val="0"/>
        <c:axPos val="l"/>
        <c:majorGridlines>
          <c:spPr>
            <a:ln w="9525" cap="flat" cmpd="sng" algn="ctr">
              <a:solidFill>
                <a:schemeClr val="tx1">
                  <a:lumMod val="15000"/>
                  <a:lumOff val="85000"/>
                </a:schemeClr>
              </a:solidFill>
              <a:round/>
            </a:ln>
            <a:effectLst/>
          </c:spPr>
        </c:majorGridlines>
        <c:numFmt formatCode="_-* #,##0.00&quot;$&quot;_-;\-* #,##0.00&quot;$&quot;_-;_-* &quot;-&quot;??&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22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SkyTransit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Ratios'!$B$34</c:f>
              <c:strCache>
                <c:ptCount val="1"/>
                <c:pt idx="0">
                  <c:v>Encaisse finale</c:v>
                </c:pt>
              </c:strCache>
            </c:strRef>
          </c:tx>
          <c:spPr>
            <a:ln w="28575" cap="rnd">
              <a:solidFill>
                <a:schemeClr val="accent1"/>
              </a:solidFill>
              <a:round/>
            </a:ln>
            <a:effectLst/>
          </c:spPr>
          <c:marker>
            <c:symbol val="none"/>
          </c:marker>
          <c:cat>
            <c:numRef>
              <c:f>'Partie 1 - Ratios'!$C$32:$D$32</c:f>
              <c:numCache>
                <c:formatCode>General</c:formatCode>
                <c:ptCount val="2"/>
                <c:pt idx="0">
                  <c:v>2013</c:v>
                </c:pt>
                <c:pt idx="1">
                  <c:v>2014</c:v>
                </c:pt>
              </c:numCache>
            </c:numRef>
          </c:cat>
          <c:val>
            <c:numRef>
              <c:f>'Partie 1 - Ratios'!$G$34:$H$34</c:f>
              <c:numCache>
                <c:formatCode>_-* #,##0.00"$"_-;\-* #,##0.00"$"_-;_-* "-"??"$"_-;_-@_-</c:formatCode>
                <c:ptCount val="2"/>
                <c:pt idx="0">
                  <c:v>120000000</c:v>
                </c:pt>
                <c:pt idx="1">
                  <c:v>249500000</c:v>
                </c:pt>
              </c:numCache>
            </c:numRef>
          </c:val>
          <c:smooth val="0"/>
          <c:extLst>
            <c:ext xmlns:c16="http://schemas.microsoft.com/office/drawing/2014/chart" uri="{C3380CC4-5D6E-409C-BE32-E72D297353CC}">
              <c16:uniqueId val="{00000000-417A-4345-9767-18D4A388AE3D}"/>
            </c:ext>
          </c:extLst>
        </c:ser>
        <c:ser>
          <c:idx val="1"/>
          <c:order val="1"/>
          <c:tx>
            <c:strRef>
              <c:f>'Partie 1 - Ratios'!$B$35</c:f>
              <c:strCache>
                <c:ptCount val="1"/>
                <c:pt idx="0">
                  <c:v>Actif total</c:v>
                </c:pt>
              </c:strCache>
            </c:strRef>
          </c:tx>
          <c:spPr>
            <a:ln w="28575" cap="rnd">
              <a:solidFill>
                <a:schemeClr val="accent2"/>
              </a:solidFill>
              <a:round/>
            </a:ln>
            <a:effectLst/>
          </c:spPr>
          <c:marker>
            <c:symbol val="none"/>
          </c:marker>
          <c:cat>
            <c:numRef>
              <c:f>'Partie 1 - Ratios'!$C$32:$D$32</c:f>
              <c:numCache>
                <c:formatCode>General</c:formatCode>
                <c:ptCount val="2"/>
                <c:pt idx="0">
                  <c:v>2013</c:v>
                </c:pt>
                <c:pt idx="1">
                  <c:v>2014</c:v>
                </c:pt>
              </c:numCache>
            </c:numRef>
          </c:cat>
          <c:val>
            <c:numRef>
              <c:f>'Partie 1 - Ratios'!$G$35:$H$35</c:f>
              <c:numCache>
                <c:formatCode>_-* #,##0.00"$"_-;\-* #,##0.00"$"_-;_-* "-"??"$"_-;_-@_-</c:formatCode>
                <c:ptCount val="2"/>
                <c:pt idx="0">
                  <c:v>838000000</c:v>
                </c:pt>
                <c:pt idx="1">
                  <c:v>1120560000</c:v>
                </c:pt>
              </c:numCache>
            </c:numRef>
          </c:val>
          <c:smooth val="0"/>
          <c:extLst>
            <c:ext xmlns:c16="http://schemas.microsoft.com/office/drawing/2014/chart" uri="{C3380CC4-5D6E-409C-BE32-E72D297353CC}">
              <c16:uniqueId val="{00000001-417A-4345-9767-18D4A388AE3D}"/>
            </c:ext>
          </c:extLst>
        </c:ser>
        <c:ser>
          <c:idx val="2"/>
          <c:order val="2"/>
          <c:tx>
            <c:strRef>
              <c:f>'Partie 1 - Ratios'!$B$36</c:f>
              <c:strCache>
                <c:ptCount val="1"/>
                <c:pt idx="0">
                  <c:v>Passif total</c:v>
                </c:pt>
              </c:strCache>
            </c:strRef>
          </c:tx>
          <c:spPr>
            <a:ln w="28575" cap="rnd">
              <a:solidFill>
                <a:schemeClr val="accent3"/>
              </a:solidFill>
              <a:round/>
            </a:ln>
            <a:effectLst/>
          </c:spPr>
          <c:marker>
            <c:symbol val="none"/>
          </c:marker>
          <c:cat>
            <c:numRef>
              <c:f>'Partie 1 - Ratios'!$C$32:$D$32</c:f>
              <c:numCache>
                <c:formatCode>General</c:formatCode>
                <c:ptCount val="2"/>
                <c:pt idx="0">
                  <c:v>2013</c:v>
                </c:pt>
                <c:pt idx="1">
                  <c:v>2014</c:v>
                </c:pt>
              </c:numCache>
            </c:numRef>
          </c:cat>
          <c:val>
            <c:numRef>
              <c:f>'Partie 1 - Ratios'!$G$36:$H$36</c:f>
              <c:numCache>
                <c:formatCode>_-* #,##0.00"$"_-;\-* #,##0.00"$"_-;_-* "-"??"$"_-;_-@_-</c:formatCode>
                <c:ptCount val="2"/>
                <c:pt idx="0">
                  <c:v>398500000</c:v>
                </c:pt>
                <c:pt idx="1">
                  <c:v>529700000</c:v>
                </c:pt>
              </c:numCache>
            </c:numRef>
          </c:val>
          <c:smooth val="0"/>
          <c:extLst>
            <c:ext xmlns:c16="http://schemas.microsoft.com/office/drawing/2014/chart" uri="{C3380CC4-5D6E-409C-BE32-E72D297353CC}">
              <c16:uniqueId val="{00000002-417A-4345-9767-18D4A388AE3D}"/>
            </c:ext>
          </c:extLst>
        </c:ser>
        <c:ser>
          <c:idx val="3"/>
          <c:order val="3"/>
          <c:tx>
            <c:strRef>
              <c:f>'Partie 1 - Ratios'!$B$37</c:f>
              <c:strCache>
                <c:ptCount val="1"/>
                <c:pt idx="0">
                  <c:v>Capitaux Propres</c:v>
                </c:pt>
              </c:strCache>
            </c:strRef>
          </c:tx>
          <c:spPr>
            <a:ln w="28575" cap="rnd">
              <a:solidFill>
                <a:schemeClr val="accent4"/>
              </a:solidFill>
              <a:round/>
            </a:ln>
            <a:effectLst/>
          </c:spPr>
          <c:marker>
            <c:symbol val="none"/>
          </c:marker>
          <c:cat>
            <c:numRef>
              <c:f>'Partie 1 - Ratios'!$C$32:$D$32</c:f>
              <c:numCache>
                <c:formatCode>General</c:formatCode>
                <c:ptCount val="2"/>
                <c:pt idx="0">
                  <c:v>2013</c:v>
                </c:pt>
                <c:pt idx="1">
                  <c:v>2014</c:v>
                </c:pt>
              </c:numCache>
            </c:numRef>
          </c:cat>
          <c:val>
            <c:numRef>
              <c:f>'Partie 1 - Ratios'!$G$37:$H$37</c:f>
              <c:numCache>
                <c:formatCode>_-* #,##0.00"$"_-;\-* #,##0.00"$"_-;_-* "-"??"$"_-;_-@_-</c:formatCode>
                <c:ptCount val="2"/>
                <c:pt idx="0">
                  <c:v>439500000</c:v>
                </c:pt>
                <c:pt idx="1">
                  <c:v>590860000</c:v>
                </c:pt>
              </c:numCache>
            </c:numRef>
          </c:val>
          <c:smooth val="0"/>
          <c:extLst>
            <c:ext xmlns:c16="http://schemas.microsoft.com/office/drawing/2014/chart" uri="{C3380CC4-5D6E-409C-BE32-E72D297353CC}">
              <c16:uniqueId val="{00000003-417A-4345-9767-18D4A388AE3D}"/>
            </c:ext>
          </c:extLst>
        </c:ser>
        <c:ser>
          <c:idx val="4"/>
          <c:order val="4"/>
          <c:tx>
            <c:strRef>
              <c:f>'Partie 1 - Ratios'!$B$33</c:f>
              <c:strCache>
                <c:ptCount val="1"/>
                <c:pt idx="0">
                  <c:v>Benefice net</c:v>
                </c:pt>
              </c:strCache>
            </c:strRef>
          </c:tx>
          <c:spPr>
            <a:ln w="28575" cap="rnd">
              <a:solidFill>
                <a:schemeClr val="accent5"/>
              </a:solidFill>
              <a:round/>
            </a:ln>
            <a:effectLst/>
          </c:spPr>
          <c:marker>
            <c:symbol val="none"/>
          </c:marker>
          <c:val>
            <c:numRef>
              <c:f>'Partie 1 - Ratios'!$G$33:$H$33</c:f>
              <c:numCache>
                <c:formatCode>_-* #,##0.00"$"_-;\-* #,##0.00"$"_-;_-* "-"??"$"_-;_-@_-</c:formatCode>
                <c:ptCount val="2"/>
                <c:pt idx="0">
                  <c:v>123600000</c:v>
                </c:pt>
                <c:pt idx="1">
                  <c:v>114036000</c:v>
                </c:pt>
              </c:numCache>
            </c:numRef>
          </c:val>
          <c:smooth val="0"/>
          <c:extLst>
            <c:ext xmlns:c16="http://schemas.microsoft.com/office/drawing/2014/chart" uri="{C3380CC4-5D6E-409C-BE32-E72D297353CC}">
              <c16:uniqueId val="{00000004-417A-4345-9767-18D4A388AE3D}"/>
            </c:ext>
          </c:extLst>
        </c:ser>
        <c:dLbls>
          <c:showLegendKey val="0"/>
          <c:showVal val="0"/>
          <c:showCatName val="0"/>
          <c:showSerName val="0"/>
          <c:showPercent val="0"/>
          <c:showBubbleSize val="0"/>
        </c:dLbls>
        <c:smooth val="0"/>
        <c:axId val="919322168"/>
        <c:axId val="993179680"/>
      </c:lineChart>
      <c:catAx>
        <c:axId val="919322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79680"/>
        <c:crosses val="autoZero"/>
        <c:auto val="1"/>
        <c:lblAlgn val="ctr"/>
        <c:lblOffset val="100"/>
        <c:noMultiLvlLbl val="0"/>
      </c:catAx>
      <c:valAx>
        <c:axId val="993179680"/>
        <c:scaling>
          <c:orientation val="minMax"/>
        </c:scaling>
        <c:delete val="0"/>
        <c:axPos val="l"/>
        <c:majorGridlines>
          <c:spPr>
            <a:ln w="9525" cap="flat" cmpd="sng" algn="ctr">
              <a:solidFill>
                <a:schemeClr val="tx1">
                  <a:lumMod val="15000"/>
                  <a:lumOff val="85000"/>
                </a:schemeClr>
              </a:solidFill>
              <a:round/>
            </a:ln>
            <a:effectLst/>
          </c:spPr>
        </c:majorGridlines>
        <c:numFmt formatCode="_-* #,##0.00&quot;$&quot;_-;\-* #,##0.00&quot;$&quot;_-;_-* &quot;-&quot;??&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322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fond de roulement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Ratios'!$C$6:$D$6</c:f>
              <c:numCache>
                <c:formatCode>0.00</c:formatCode>
                <c:ptCount val="2"/>
                <c:pt idx="0">
                  <c:v>1.7536496350364963</c:v>
                </c:pt>
                <c:pt idx="1">
                  <c:v>1.6623776287422425</c:v>
                </c:pt>
              </c:numCache>
            </c:numRef>
          </c:val>
          <c:smooth val="0"/>
          <c:extLst>
            <c:ext xmlns:c16="http://schemas.microsoft.com/office/drawing/2014/chart" uri="{C3380CC4-5D6E-409C-BE32-E72D297353CC}">
              <c16:uniqueId val="{00000000-1217-4B79-9884-215ADC85C629}"/>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Ratios'!$E$6:$F$6</c:f>
              <c:numCache>
                <c:formatCode>0.00</c:formatCode>
                <c:ptCount val="2"/>
                <c:pt idx="0">
                  <c:v>11.695364238410596</c:v>
                </c:pt>
                <c:pt idx="1">
                  <c:v>13.735074626865671</c:v>
                </c:pt>
              </c:numCache>
            </c:numRef>
          </c:val>
          <c:smooth val="0"/>
          <c:extLst>
            <c:ext xmlns:c16="http://schemas.microsoft.com/office/drawing/2014/chart" uri="{C3380CC4-5D6E-409C-BE32-E72D297353CC}">
              <c16:uniqueId val="{00000001-1217-4B79-9884-215ADC85C629}"/>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Ratios'!$G$6:$H$6</c:f>
              <c:numCache>
                <c:formatCode>0.00</c:formatCode>
                <c:ptCount val="2"/>
                <c:pt idx="0">
                  <c:v>7.6962962962962962</c:v>
                </c:pt>
                <c:pt idx="1">
                  <c:v>10.740458015267176</c:v>
                </c:pt>
              </c:numCache>
            </c:numRef>
          </c:val>
          <c:smooth val="0"/>
          <c:extLst>
            <c:ext xmlns:c16="http://schemas.microsoft.com/office/drawing/2014/chart" uri="{C3380CC4-5D6E-409C-BE32-E72D297353CC}">
              <c16:uniqueId val="{00000002-1217-4B79-9884-215ADC85C629}"/>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Ratios'!$I$6:$J$6</c:f>
              <c:numCache>
                <c:formatCode>General</c:formatCode>
                <c:ptCount val="2"/>
                <c:pt idx="0">
                  <c:v>12</c:v>
                </c:pt>
                <c:pt idx="1">
                  <c:v>12</c:v>
                </c:pt>
              </c:numCache>
            </c:numRef>
          </c:val>
          <c:smooth val="0"/>
          <c:extLst>
            <c:ext xmlns:c16="http://schemas.microsoft.com/office/drawing/2014/chart" uri="{C3380CC4-5D6E-409C-BE32-E72D297353CC}">
              <c16:uniqueId val="{00000003-1217-4B79-9884-215ADC85C629}"/>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l'</a:t>
            </a:r>
            <a:r>
              <a:rPr lang="en-US" baseline="0"/>
              <a:t> </a:t>
            </a:r>
            <a:r>
              <a:rPr lang="en-US"/>
              <a:t>indice de liquidité relative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Ratios'!$C$7:$D$7</c:f>
              <c:numCache>
                <c:formatCode>0.00</c:formatCode>
                <c:ptCount val="2"/>
                <c:pt idx="0">
                  <c:v>1.0527169505271694</c:v>
                </c:pt>
                <c:pt idx="1">
                  <c:v>1.0970665028413453</c:v>
                </c:pt>
              </c:numCache>
            </c:numRef>
          </c:val>
          <c:smooth val="0"/>
          <c:extLst>
            <c:ext xmlns:c16="http://schemas.microsoft.com/office/drawing/2014/chart" uri="{C3380CC4-5D6E-409C-BE32-E72D297353CC}">
              <c16:uniqueId val="{00000000-E915-4EC0-AD87-5CE5FD3866F9}"/>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Ratios'!$E$7:$F$7</c:f>
              <c:numCache>
                <c:formatCode>0.00</c:formatCode>
                <c:ptCount val="2"/>
                <c:pt idx="0">
                  <c:v>7.3509933774834435</c:v>
                </c:pt>
                <c:pt idx="1">
                  <c:v>9.5796019900497509</c:v>
                </c:pt>
              </c:numCache>
            </c:numRef>
          </c:val>
          <c:smooth val="0"/>
          <c:extLst>
            <c:ext xmlns:c16="http://schemas.microsoft.com/office/drawing/2014/chart" uri="{C3380CC4-5D6E-409C-BE32-E72D297353CC}">
              <c16:uniqueId val="{00000001-E915-4EC0-AD87-5CE5FD3866F9}"/>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Ratios'!$G$7:$H$7</c:f>
              <c:numCache>
                <c:formatCode>0.00</c:formatCode>
                <c:ptCount val="2"/>
                <c:pt idx="0">
                  <c:v>3.3333333333333335</c:v>
                </c:pt>
                <c:pt idx="1">
                  <c:v>5.9618320610687023</c:v>
                </c:pt>
              </c:numCache>
            </c:numRef>
          </c:val>
          <c:smooth val="0"/>
          <c:extLst>
            <c:ext xmlns:c16="http://schemas.microsoft.com/office/drawing/2014/chart" uri="{C3380CC4-5D6E-409C-BE32-E72D297353CC}">
              <c16:uniqueId val="{00000002-E915-4EC0-AD87-5CE5FD3866F9}"/>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Ratios'!$I$7:$J$7</c:f>
              <c:numCache>
                <c:formatCode>General</c:formatCode>
                <c:ptCount val="2"/>
                <c:pt idx="0">
                  <c:v>8.5</c:v>
                </c:pt>
                <c:pt idx="1">
                  <c:v>8.5</c:v>
                </c:pt>
              </c:numCache>
            </c:numRef>
          </c:val>
          <c:smooth val="0"/>
          <c:extLst>
            <c:ext xmlns:c16="http://schemas.microsoft.com/office/drawing/2014/chart" uri="{C3380CC4-5D6E-409C-BE32-E72D297353CC}">
              <c16:uniqueId val="{00000003-E915-4EC0-AD87-5CE5FD3866F9}"/>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d'endettement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Ratios'!$C$10:$D$10</c:f>
              <c:numCache>
                <c:formatCode>0.00%</c:formatCode>
                <c:ptCount val="2"/>
                <c:pt idx="0">
                  <c:v>0.55179199939446699</c:v>
                </c:pt>
                <c:pt idx="1">
                  <c:v>0.6849698366875252</c:v>
                </c:pt>
              </c:numCache>
            </c:numRef>
          </c:val>
          <c:smooth val="0"/>
          <c:extLst>
            <c:ext xmlns:c16="http://schemas.microsoft.com/office/drawing/2014/chart" uri="{C3380CC4-5D6E-409C-BE32-E72D297353CC}">
              <c16:uniqueId val="{00000000-8151-4F83-9B46-04951F578263}"/>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Ratios'!$E$10:$F$10</c:f>
              <c:numCache>
                <c:formatCode>0.00%</c:formatCode>
                <c:ptCount val="2"/>
                <c:pt idx="0">
                  <c:v>0.39922680412371137</c:v>
                </c:pt>
                <c:pt idx="1">
                  <c:v>0.3632299596382772</c:v>
                </c:pt>
              </c:numCache>
            </c:numRef>
          </c:val>
          <c:smooth val="0"/>
          <c:extLst>
            <c:ext xmlns:c16="http://schemas.microsoft.com/office/drawing/2014/chart" uri="{C3380CC4-5D6E-409C-BE32-E72D297353CC}">
              <c16:uniqueId val="{00000001-8151-4F83-9B46-04951F578263}"/>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Ratios'!$G$10:$H$10</c:f>
              <c:numCache>
                <c:formatCode>0.00%</c:formatCode>
                <c:ptCount val="2"/>
                <c:pt idx="0">
                  <c:v>0.47553699284009548</c:v>
                </c:pt>
                <c:pt idx="1">
                  <c:v>0.47271007353466127</c:v>
                </c:pt>
              </c:numCache>
            </c:numRef>
          </c:val>
          <c:smooth val="0"/>
          <c:extLst>
            <c:ext xmlns:c16="http://schemas.microsoft.com/office/drawing/2014/chart" uri="{C3380CC4-5D6E-409C-BE32-E72D297353CC}">
              <c16:uniqueId val="{00000002-8151-4F83-9B46-04951F578263}"/>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Ratios'!$I$10:$J$10</c:f>
              <c:numCache>
                <c:formatCode>General</c:formatCode>
                <c:ptCount val="2"/>
                <c:pt idx="0" formatCode="0%">
                  <c:v>0.4</c:v>
                </c:pt>
                <c:pt idx="1">
                  <c:v>0.4</c:v>
                </c:pt>
              </c:numCache>
            </c:numRef>
          </c:val>
          <c:smooth val="0"/>
          <c:extLst>
            <c:ext xmlns:c16="http://schemas.microsoft.com/office/drawing/2014/chart" uri="{C3380CC4-5D6E-409C-BE32-E72D297353CC}">
              <c16:uniqueId val="{00000003-8151-4F83-9B46-04951F578263}"/>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couverture des Interets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Ratios'!$C$11:$D$11</c:f>
              <c:numCache>
                <c:formatCode>0.00</c:formatCode>
                <c:ptCount val="2"/>
                <c:pt idx="1">
                  <c:v>9.5197594501718221</c:v>
                </c:pt>
              </c:numCache>
            </c:numRef>
          </c:val>
          <c:smooth val="0"/>
          <c:extLst>
            <c:ext xmlns:c16="http://schemas.microsoft.com/office/drawing/2014/chart" uri="{C3380CC4-5D6E-409C-BE32-E72D297353CC}">
              <c16:uniqueId val="{00000000-5400-4043-B006-8676919F5733}"/>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Ratios'!$E$11:$F$11</c:f>
              <c:numCache>
                <c:formatCode>0.00</c:formatCode>
                <c:ptCount val="2"/>
                <c:pt idx="0">
                  <c:v>7.1294117647058828</c:v>
                </c:pt>
                <c:pt idx="1">
                  <c:v>7.4971428571428573</c:v>
                </c:pt>
              </c:numCache>
            </c:numRef>
          </c:val>
          <c:smooth val="0"/>
          <c:extLst>
            <c:ext xmlns:c16="http://schemas.microsoft.com/office/drawing/2014/chart" uri="{C3380CC4-5D6E-409C-BE32-E72D297353CC}">
              <c16:uniqueId val="{00000001-5400-4043-B006-8676919F5733}"/>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Ratios'!$G$11:$H$11</c:f>
              <c:numCache>
                <c:formatCode>0.00</c:formatCode>
                <c:ptCount val="2"/>
                <c:pt idx="0">
                  <c:v>3.9855072463768115</c:v>
                </c:pt>
                <c:pt idx="1">
                  <c:v>3.4366666666666665</c:v>
                </c:pt>
              </c:numCache>
            </c:numRef>
          </c:val>
          <c:smooth val="0"/>
          <c:extLst>
            <c:ext xmlns:c16="http://schemas.microsoft.com/office/drawing/2014/chart" uri="{C3380CC4-5D6E-409C-BE32-E72D297353CC}">
              <c16:uniqueId val="{00000002-5400-4043-B006-8676919F5733}"/>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Ratios'!$I$11:$J$11</c:f>
              <c:numCache>
                <c:formatCode>General</c:formatCode>
                <c:ptCount val="2"/>
                <c:pt idx="0">
                  <c:v>5</c:v>
                </c:pt>
                <c:pt idx="1">
                  <c:v>5</c:v>
                </c:pt>
              </c:numCache>
            </c:numRef>
          </c:val>
          <c:smooth val="0"/>
          <c:extLst>
            <c:ext xmlns:c16="http://schemas.microsoft.com/office/drawing/2014/chart" uri="{C3380CC4-5D6E-409C-BE32-E72D297353CC}">
              <c16:uniqueId val="{00000003-5400-4043-B006-8676919F5733}"/>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rotation des comptes clients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Ratios'!$C$14:$D$14</c:f>
              <c:numCache>
                <c:formatCode>0.00</c:formatCode>
                <c:ptCount val="2"/>
                <c:pt idx="1">
                  <c:v>12.71</c:v>
                </c:pt>
              </c:numCache>
            </c:numRef>
          </c:val>
          <c:smooth val="0"/>
          <c:extLst>
            <c:ext xmlns:c16="http://schemas.microsoft.com/office/drawing/2014/chart" uri="{C3380CC4-5D6E-409C-BE32-E72D297353CC}">
              <c16:uniqueId val="{00000000-0A53-4F01-98D1-D60A36B0E25F}"/>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Ratios'!$E$14:$F$14</c:f>
              <c:numCache>
                <c:formatCode>0.00</c:formatCode>
                <c:ptCount val="2"/>
                <c:pt idx="0">
                  <c:v>15.314285714285715</c:v>
                </c:pt>
                <c:pt idx="1">
                  <c:v>15.166393889798146</c:v>
                </c:pt>
              </c:numCache>
            </c:numRef>
          </c:val>
          <c:smooth val="0"/>
          <c:extLst>
            <c:ext xmlns:c16="http://schemas.microsoft.com/office/drawing/2014/chart" uri="{C3380CC4-5D6E-409C-BE32-E72D297353CC}">
              <c16:uniqueId val="{00000001-0A53-4F01-98D1-D60A36B0E25F}"/>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Ratios'!$G$14:$H$14</c:f>
              <c:numCache>
                <c:formatCode>0.00</c:formatCode>
                <c:ptCount val="2"/>
                <c:pt idx="0">
                  <c:v>16.666666666666668</c:v>
                </c:pt>
                <c:pt idx="1">
                  <c:v>11.921985815602836</c:v>
                </c:pt>
              </c:numCache>
            </c:numRef>
          </c:val>
          <c:smooth val="0"/>
          <c:extLst>
            <c:ext xmlns:c16="http://schemas.microsoft.com/office/drawing/2014/chart" uri="{C3380CC4-5D6E-409C-BE32-E72D297353CC}">
              <c16:uniqueId val="{00000002-0A53-4F01-98D1-D60A36B0E25F}"/>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Ratios'!$I$14:$J$14</c:f>
              <c:numCache>
                <c:formatCode>General</c:formatCode>
                <c:ptCount val="2"/>
                <c:pt idx="0">
                  <c:v>14</c:v>
                </c:pt>
                <c:pt idx="1">
                  <c:v>14</c:v>
                </c:pt>
              </c:numCache>
            </c:numRef>
          </c:val>
          <c:smooth val="0"/>
          <c:extLst>
            <c:ext xmlns:c16="http://schemas.microsoft.com/office/drawing/2014/chart" uri="{C3380CC4-5D6E-409C-BE32-E72D297353CC}">
              <c16:uniqueId val="{00000003-0A53-4F01-98D1-D60A36B0E25F}"/>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rotation de l'actif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Ratios'!$C$18:$D$18</c:f>
              <c:numCache>
                <c:formatCode>0.00</c:formatCode>
                <c:ptCount val="2"/>
                <c:pt idx="1">
                  <c:v>1.504540403450026</c:v>
                </c:pt>
              </c:numCache>
            </c:numRef>
          </c:val>
          <c:smooth val="0"/>
          <c:extLst>
            <c:ext xmlns:c16="http://schemas.microsoft.com/office/drawing/2014/chart" uri="{C3380CC4-5D6E-409C-BE32-E72D297353CC}">
              <c16:uniqueId val="{00000000-FD9A-45A5-9541-BFCBA3A5A0CD}"/>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Ratios'!$E$18:$F$18</c:f>
              <c:numCache>
                <c:formatCode>0.00</c:formatCode>
                <c:ptCount val="2"/>
                <c:pt idx="0">
                  <c:v>0.14749403341288783</c:v>
                </c:pt>
                <c:pt idx="1">
                  <c:v>0.17427067899657692</c:v>
                </c:pt>
              </c:numCache>
            </c:numRef>
          </c:val>
          <c:smooth val="0"/>
          <c:extLst>
            <c:ext xmlns:c16="http://schemas.microsoft.com/office/drawing/2014/chart" uri="{C3380CC4-5D6E-409C-BE32-E72D297353CC}">
              <c16:uniqueId val="{00000001-FD9A-45A5-9541-BFCBA3A5A0CD}"/>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Ratios'!$G$18:$H$18</c:f>
              <c:numCache>
                <c:formatCode>0.00</c:formatCode>
                <c:ptCount val="2"/>
                <c:pt idx="0">
                  <c:v>2.0883054892601431</c:v>
                </c:pt>
                <c:pt idx="1">
                  <c:v>1.5001427857499821</c:v>
                </c:pt>
              </c:numCache>
            </c:numRef>
          </c:val>
          <c:smooth val="0"/>
          <c:extLst>
            <c:ext xmlns:c16="http://schemas.microsoft.com/office/drawing/2014/chart" uri="{C3380CC4-5D6E-409C-BE32-E72D297353CC}">
              <c16:uniqueId val="{00000002-FD9A-45A5-9541-BFCBA3A5A0CD}"/>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Ratios'!$I$18:$J$18</c:f>
              <c:numCache>
                <c:formatCode>General</c:formatCode>
                <c:ptCount val="2"/>
                <c:pt idx="0">
                  <c:v>1.2</c:v>
                </c:pt>
                <c:pt idx="1">
                  <c:v>1.2</c:v>
                </c:pt>
              </c:numCache>
            </c:numRef>
          </c:val>
          <c:smooth val="0"/>
          <c:extLst>
            <c:ext xmlns:c16="http://schemas.microsoft.com/office/drawing/2014/chart" uri="{C3380CC4-5D6E-409C-BE32-E72D297353CC}">
              <c16:uniqueId val="{00000003-FD9A-45A5-9541-BFCBA3A5A0CD}"/>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rotation des stocks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Ratios'!$C$16:$D$16</c:f>
              <c:numCache>
                <c:formatCode>0.00</c:formatCode>
                <c:ptCount val="2"/>
                <c:pt idx="1">
                  <c:v>6.5881738403677392</c:v>
                </c:pt>
              </c:numCache>
            </c:numRef>
          </c:val>
          <c:smooth val="0"/>
          <c:extLst>
            <c:ext xmlns:c16="http://schemas.microsoft.com/office/drawing/2014/chart" uri="{C3380CC4-5D6E-409C-BE32-E72D297353CC}">
              <c16:uniqueId val="{00000000-750E-4565-ACBB-D2C80EC0AF77}"/>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Ratios'!$E$16:$F$16</c:f>
              <c:numCache>
                <c:formatCode>0.00</c:formatCode>
                <c:ptCount val="2"/>
                <c:pt idx="0">
                  <c:v>3.8978328173374615</c:v>
                </c:pt>
                <c:pt idx="1">
                  <c:v>3.9696048632218845</c:v>
                </c:pt>
              </c:numCache>
            </c:numRef>
          </c:val>
          <c:smooth val="0"/>
          <c:extLst>
            <c:ext xmlns:c16="http://schemas.microsoft.com/office/drawing/2014/chart" uri="{C3380CC4-5D6E-409C-BE32-E72D297353CC}">
              <c16:uniqueId val="{00000001-750E-4565-ACBB-D2C80EC0AF77}"/>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Ratios'!$G$16:$H$16</c:f>
              <c:numCache>
                <c:formatCode>0.00</c:formatCode>
                <c:ptCount val="2"/>
                <c:pt idx="0">
                  <c:v>3.0427350427350426</c:v>
                </c:pt>
                <c:pt idx="1">
                  <c:v>2.8341384863123995</c:v>
                </c:pt>
              </c:numCache>
            </c:numRef>
          </c:val>
          <c:smooth val="0"/>
          <c:extLst>
            <c:ext xmlns:c16="http://schemas.microsoft.com/office/drawing/2014/chart" uri="{C3380CC4-5D6E-409C-BE32-E72D297353CC}">
              <c16:uniqueId val="{00000002-750E-4565-ACBB-D2C80EC0AF77}"/>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Ratios'!$I$16:$J$16</c:f>
              <c:numCache>
                <c:formatCode>General</c:formatCode>
                <c:ptCount val="2"/>
                <c:pt idx="0">
                  <c:v>4</c:v>
                </c:pt>
                <c:pt idx="1">
                  <c:v>4</c:v>
                </c:pt>
              </c:numCache>
            </c:numRef>
          </c:val>
          <c:smooth val="0"/>
          <c:extLst>
            <c:ext xmlns:c16="http://schemas.microsoft.com/office/drawing/2014/chart" uri="{C3380CC4-5D6E-409C-BE32-E72D297353CC}">
              <c16:uniqueId val="{00000003-750E-4565-ACBB-D2C80EC0AF77}"/>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rendement du capital investi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Ratios'!$C$21:$D$21</c:f>
              <c:numCache>
                <c:formatCode>0.00</c:formatCode>
                <c:ptCount val="2"/>
                <c:pt idx="1">
                  <c:v>0.17608804698285493</c:v>
                </c:pt>
              </c:numCache>
            </c:numRef>
          </c:val>
          <c:smooth val="0"/>
          <c:extLst>
            <c:ext xmlns:c16="http://schemas.microsoft.com/office/drawing/2014/chart" uri="{C3380CC4-5D6E-409C-BE32-E72D297353CC}">
              <c16:uniqueId val="{00000000-162D-4AB2-8414-C36A16FDA9D4}"/>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Ratios'!$E$21:$F$21</c:f>
              <c:numCache>
                <c:formatCode>0.00</c:formatCode>
                <c:ptCount val="2"/>
                <c:pt idx="0">
                  <c:v>0.14749403341288783</c:v>
                </c:pt>
                <c:pt idx="1">
                  <c:v>0.17427067899657692</c:v>
                </c:pt>
              </c:numCache>
            </c:numRef>
          </c:val>
          <c:smooth val="0"/>
          <c:extLst>
            <c:ext xmlns:c16="http://schemas.microsoft.com/office/drawing/2014/chart" uri="{C3380CC4-5D6E-409C-BE32-E72D297353CC}">
              <c16:uniqueId val="{00000001-162D-4AB2-8414-C36A16FDA9D4}"/>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Ratios'!$G$21:$H$21</c:f>
              <c:numCache>
                <c:formatCode>0.00</c:formatCode>
                <c:ptCount val="2"/>
                <c:pt idx="0">
                  <c:v>0.14749403341288783</c:v>
                </c:pt>
                <c:pt idx="1">
                  <c:v>0.10176697365602913</c:v>
                </c:pt>
              </c:numCache>
            </c:numRef>
          </c:val>
          <c:smooth val="0"/>
          <c:extLst>
            <c:ext xmlns:c16="http://schemas.microsoft.com/office/drawing/2014/chart" uri="{C3380CC4-5D6E-409C-BE32-E72D297353CC}">
              <c16:uniqueId val="{00000002-162D-4AB2-8414-C36A16FDA9D4}"/>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Ratios'!$I$21:$J$21</c:f>
              <c:numCache>
                <c:formatCode>General</c:formatCode>
                <c:ptCount val="2"/>
                <c:pt idx="0" formatCode="0%">
                  <c:v>0.18</c:v>
                </c:pt>
                <c:pt idx="1">
                  <c:v>0.18</c:v>
                </c:pt>
              </c:numCache>
            </c:numRef>
          </c:val>
          <c:smooth val="0"/>
          <c:extLst>
            <c:ext xmlns:c16="http://schemas.microsoft.com/office/drawing/2014/chart" uri="{C3380CC4-5D6E-409C-BE32-E72D297353CC}">
              <c16:uniqueId val="{00000003-162D-4AB2-8414-C36A16FDA9D4}"/>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du rendement des capitaux propres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Ratios'!$C$22:$D$22</c:f>
              <c:numCache>
                <c:formatCode>0.00</c:formatCode>
                <c:ptCount val="2"/>
                <c:pt idx="1">
                  <c:v>0.33384577404730914</c:v>
                </c:pt>
              </c:numCache>
            </c:numRef>
          </c:val>
          <c:smooth val="0"/>
          <c:extLst>
            <c:ext xmlns:c16="http://schemas.microsoft.com/office/drawing/2014/chart" uri="{C3380CC4-5D6E-409C-BE32-E72D297353CC}">
              <c16:uniqueId val="{00000000-2E0C-4BA7-9C3F-8134871411A3}"/>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Ratios'!$E$22:$F$22</c:f>
              <c:numCache>
                <c:formatCode>0.00</c:formatCode>
                <c:ptCount val="2"/>
                <c:pt idx="0">
                  <c:v>0.298012298012298</c:v>
                </c:pt>
                <c:pt idx="1">
                  <c:v>0.27553616866593966</c:v>
                </c:pt>
              </c:numCache>
            </c:numRef>
          </c:val>
          <c:smooth val="0"/>
          <c:extLst>
            <c:ext xmlns:c16="http://schemas.microsoft.com/office/drawing/2014/chart" uri="{C3380CC4-5D6E-409C-BE32-E72D297353CC}">
              <c16:uniqueId val="{00000001-2E0C-4BA7-9C3F-8134871411A3}"/>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Ratios'!$G$22:$H$22</c:f>
              <c:numCache>
                <c:formatCode>0.00</c:formatCode>
                <c:ptCount val="2"/>
                <c:pt idx="0">
                  <c:v>0.28122866894197951</c:v>
                </c:pt>
                <c:pt idx="1">
                  <c:v>0.19300003384896591</c:v>
                </c:pt>
              </c:numCache>
            </c:numRef>
          </c:val>
          <c:smooth val="0"/>
          <c:extLst>
            <c:ext xmlns:c16="http://schemas.microsoft.com/office/drawing/2014/chart" uri="{C3380CC4-5D6E-409C-BE32-E72D297353CC}">
              <c16:uniqueId val="{00000002-2E0C-4BA7-9C3F-8134871411A3}"/>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Ratios'!$I$22:$J$22</c:f>
              <c:numCache>
                <c:formatCode>General</c:formatCode>
                <c:ptCount val="2"/>
                <c:pt idx="0" formatCode="0%">
                  <c:v>0.28000000000000003</c:v>
                </c:pt>
                <c:pt idx="1">
                  <c:v>0.28000000000000003</c:v>
                </c:pt>
              </c:numCache>
            </c:numRef>
          </c:val>
          <c:smooth val="0"/>
          <c:extLst>
            <c:ext xmlns:c16="http://schemas.microsoft.com/office/drawing/2014/chart" uri="{C3380CC4-5D6E-409C-BE32-E72D297353CC}">
              <c16:uniqueId val="{00000003-2E0C-4BA7-9C3F-8134871411A3}"/>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la marge bénéficiaire brute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Ratios'!$C$23:$D$23</c:f>
              <c:numCache>
                <c:formatCode>0.00</c:formatCode>
                <c:ptCount val="2"/>
                <c:pt idx="1">
                  <c:v>0.37979937057435093</c:v>
                </c:pt>
              </c:numCache>
            </c:numRef>
          </c:val>
          <c:smooth val="0"/>
          <c:extLst>
            <c:ext xmlns:c16="http://schemas.microsoft.com/office/drawing/2014/chart" uri="{C3380CC4-5D6E-409C-BE32-E72D297353CC}">
              <c16:uniqueId val="{00000000-B247-4775-92C8-2A2BE9FA9B66}"/>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Ratios'!$E$23:$F$23</c:f>
              <c:numCache>
                <c:formatCode>0.00</c:formatCode>
                <c:ptCount val="2"/>
                <c:pt idx="0">
                  <c:v>0.53022388059701497</c:v>
                </c:pt>
                <c:pt idx="1">
                  <c:v>0.53021582733812944</c:v>
                </c:pt>
              </c:numCache>
            </c:numRef>
          </c:val>
          <c:smooth val="0"/>
          <c:extLst>
            <c:ext xmlns:c16="http://schemas.microsoft.com/office/drawing/2014/chart" uri="{C3380CC4-5D6E-409C-BE32-E72D297353CC}">
              <c16:uniqueId val="{00000001-B247-4775-92C8-2A2BE9FA9B66}"/>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Ratios'!$G$23:$H$23</c:f>
              <c:numCache>
                <c:formatCode>0.00</c:formatCode>
                <c:ptCount val="2"/>
                <c:pt idx="0">
                  <c:v>0.49142857142857144</c:v>
                </c:pt>
                <c:pt idx="1">
                  <c:v>0.4765020820939917</c:v>
                </c:pt>
              </c:numCache>
            </c:numRef>
          </c:val>
          <c:smooth val="0"/>
          <c:extLst>
            <c:ext xmlns:c16="http://schemas.microsoft.com/office/drawing/2014/chart" uri="{C3380CC4-5D6E-409C-BE32-E72D297353CC}">
              <c16:uniqueId val="{00000002-B247-4775-92C8-2A2BE9FA9B66}"/>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Ratios'!$I$23:$J$23</c:f>
              <c:numCache>
                <c:formatCode>General</c:formatCode>
                <c:ptCount val="2"/>
                <c:pt idx="0" formatCode="0%">
                  <c:v>0.5</c:v>
                </c:pt>
                <c:pt idx="1">
                  <c:v>0.5</c:v>
                </c:pt>
              </c:numCache>
            </c:numRef>
          </c:val>
          <c:smooth val="0"/>
          <c:extLst>
            <c:ext xmlns:c16="http://schemas.microsoft.com/office/drawing/2014/chart" uri="{C3380CC4-5D6E-409C-BE32-E72D297353CC}">
              <c16:uniqueId val="{00000003-B247-4775-92C8-2A2BE9FA9B66}"/>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la marge bénéficiaire d'exploitation</a:t>
            </a:r>
          </a:p>
        </c:rich>
      </c:tx>
      <c:layout>
        <c:manualLayout>
          <c:xMode val="edge"/>
          <c:yMode val="edge"/>
          <c:x val="0.24972222222222223"/>
          <c:y val="2.64026402640264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Ratios'!$C$24:$D$24</c:f>
              <c:numCache>
                <c:formatCode>0.00</c:formatCode>
                <c:ptCount val="2"/>
                <c:pt idx="1">
                  <c:v>0.21795830055074744</c:v>
                </c:pt>
              </c:numCache>
            </c:numRef>
          </c:val>
          <c:smooth val="0"/>
          <c:extLst>
            <c:ext xmlns:c16="http://schemas.microsoft.com/office/drawing/2014/chart" uri="{C3380CC4-5D6E-409C-BE32-E72D297353CC}">
              <c16:uniqueId val="{00000000-4735-4267-84DE-90A297E0F71D}"/>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Ratios'!$E$24:$F$24</c:f>
              <c:numCache>
                <c:formatCode>0.00</c:formatCode>
                <c:ptCount val="2"/>
                <c:pt idx="0">
                  <c:v>0.19440298507462686</c:v>
                </c:pt>
                <c:pt idx="1">
                  <c:v>0.23597122302158274</c:v>
                </c:pt>
              </c:numCache>
            </c:numRef>
          </c:val>
          <c:smooth val="0"/>
          <c:extLst>
            <c:ext xmlns:c16="http://schemas.microsoft.com/office/drawing/2014/chart" uri="{C3380CC4-5D6E-409C-BE32-E72D297353CC}">
              <c16:uniqueId val="{00000001-4735-4267-84DE-90A297E0F71D}"/>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Ratios'!$G$24:$H$24</c:f>
              <c:numCache>
                <c:formatCode>0.00</c:formatCode>
                <c:ptCount val="2"/>
                <c:pt idx="0">
                  <c:v>0.11771428571428572</c:v>
                </c:pt>
                <c:pt idx="1">
                  <c:v>9.6704342653182632E-2</c:v>
                </c:pt>
              </c:numCache>
            </c:numRef>
          </c:val>
          <c:smooth val="0"/>
          <c:extLst>
            <c:ext xmlns:c16="http://schemas.microsoft.com/office/drawing/2014/chart" uri="{C3380CC4-5D6E-409C-BE32-E72D297353CC}">
              <c16:uniqueId val="{00000002-4735-4267-84DE-90A297E0F71D}"/>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Ratios'!$I$24:$J$24</c:f>
              <c:numCache>
                <c:formatCode>General</c:formatCode>
                <c:ptCount val="2"/>
                <c:pt idx="0" formatCode="0%">
                  <c:v>0.2</c:v>
                </c:pt>
                <c:pt idx="1">
                  <c:v>0.2</c:v>
                </c:pt>
              </c:numCache>
            </c:numRef>
          </c:val>
          <c:smooth val="0"/>
          <c:extLst>
            <c:ext xmlns:c16="http://schemas.microsoft.com/office/drawing/2014/chart" uri="{C3380CC4-5D6E-409C-BE32-E72D297353CC}">
              <c16:uniqueId val="{00000003-4735-4267-84DE-90A297E0F71D}"/>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Ratio de la marge bénéficiaire nette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1 - Ratios'!$C$3:$D$3</c:f>
              <c:strCache>
                <c:ptCount val="2"/>
                <c:pt idx="0">
                  <c:v>MagNet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'Partie 1 - Ratios'!$C$4:$D$4</c:f>
              <c:numCache>
                <c:formatCode>General</c:formatCode>
                <c:ptCount val="2"/>
                <c:pt idx="0">
                  <c:v>2013</c:v>
                </c:pt>
                <c:pt idx="1">
                  <c:v>2014</c:v>
                </c:pt>
              </c:numCache>
            </c:numRef>
          </c:cat>
          <c:val>
            <c:numRef>
              <c:f>'Partie 1 - Ratios'!$C$25:$D$25</c:f>
              <c:numCache>
                <c:formatCode>0.00</c:formatCode>
                <c:ptCount val="2"/>
                <c:pt idx="1">
                  <c:v>0.11703776553894571</c:v>
                </c:pt>
              </c:numCache>
            </c:numRef>
          </c:val>
          <c:smooth val="0"/>
          <c:extLst>
            <c:ext xmlns:c16="http://schemas.microsoft.com/office/drawing/2014/chart" uri="{C3380CC4-5D6E-409C-BE32-E72D297353CC}">
              <c16:uniqueId val="{00000000-D919-4E9D-A0D6-192FED4C3510}"/>
            </c:ext>
          </c:extLst>
        </c:ser>
        <c:ser>
          <c:idx val="1"/>
          <c:order val="1"/>
          <c:tx>
            <c:strRef>
              <c:f>'Partie 1 - Ratios'!$E$3:$F$3</c:f>
              <c:strCache>
                <c:ptCount val="2"/>
                <c:pt idx="0">
                  <c:v>SARLOS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'Partie 1 - Ratios'!$E$25:$F$25</c:f>
              <c:numCache>
                <c:formatCode>0.00</c:formatCode>
                <c:ptCount val="2"/>
                <c:pt idx="0">
                  <c:v>0.11664179104477612</c:v>
                </c:pt>
                <c:pt idx="1">
                  <c:v>0.12269784172661871</c:v>
                </c:pt>
              </c:numCache>
            </c:numRef>
          </c:val>
          <c:smooth val="0"/>
          <c:extLst>
            <c:ext xmlns:c16="http://schemas.microsoft.com/office/drawing/2014/chart" uri="{C3380CC4-5D6E-409C-BE32-E72D297353CC}">
              <c16:uniqueId val="{00000001-D919-4E9D-A0D6-192FED4C3510}"/>
            </c:ext>
          </c:extLst>
        </c:ser>
        <c:ser>
          <c:idx val="2"/>
          <c:order val="2"/>
          <c:tx>
            <c:strRef>
              <c:f>'Partie 1 - Ratios'!$G$3:$H$3</c:f>
              <c:strCache>
                <c:ptCount val="2"/>
                <c:pt idx="0">
                  <c:v>SkyTransit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'Partie 1 - Ratios'!$G$25:$H$25</c:f>
              <c:numCache>
                <c:formatCode>0.00</c:formatCode>
                <c:ptCount val="2"/>
                <c:pt idx="0">
                  <c:v>7.0628571428571429E-2</c:v>
                </c:pt>
                <c:pt idx="1">
                  <c:v>6.783819155264724E-2</c:v>
                </c:pt>
              </c:numCache>
            </c:numRef>
          </c:val>
          <c:smooth val="0"/>
          <c:extLst>
            <c:ext xmlns:c16="http://schemas.microsoft.com/office/drawing/2014/chart" uri="{C3380CC4-5D6E-409C-BE32-E72D297353CC}">
              <c16:uniqueId val="{00000002-D919-4E9D-A0D6-192FED4C3510}"/>
            </c:ext>
          </c:extLst>
        </c:ser>
        <c:ser>
          <c:idx val="3"/>
          <c:order val="3"/>
          <c:tx>
            <c:strRef>
              <c:f>'Partie 1 - Ratios'!$I$3</c:f>
              <c:strCache>
                <c:ptCount val="1"/>
                <c:pt idx="0">
                  <c:v>Marché</c:v>
                </c:pt>
              </c:strCache>
            </c:strRef>
          </c:tx>
          <c:spPr>
            <a:ln w="28575" cap="rnd">
              <a:solidFill>
                <a:srgbClr val="FF0000"/>
              </a:solidFill>
              <a:prstDash val="sysDash"/>
              <a:round/>
            </a:ln>
            <a:effectLst/>
          </c:spPr>
          <c:marker>
            <c:symbol val="circle"/>
            <c:size val="5"/>
            <c:spPr>
              <a:solidFill>
                <a:srgbClr val="FF0000"/>
              </a:solidFill>
              <a:ln w="9525">
                <a:solidFill>
                  <a:srgbClr val="FF0000"/>
                </a:solidFill>
              </a:ln>
              <a:effectLst/>
            </c:spPr>
          </c:marker>
          <c:val>
            <c:numRef>
              <c:f>'Partie 1 - Ratios'!$I$25:$J$25</c:f>
              <c:numCache>
                <c:formatCode>General</c:formatCode>
                <c:ptCount val="2"/>
                <c:pt idx="0" formatCode="0%">
                  <c:v>0.1</c:v>
                </c:pt>
                <c:pt idx="1">
                  <c:v>0.1</c:v>
                </c:pt>
              </c:numCache>
            </c:numRef>
          </c:val>
          <c:smooth val="0"/>
          <c:extLst>
            <c:ext xmlns:c16="http://schemas.microsoft.com/office/drawing/2014/chart" uri="{C3380CC4-5D6E-409C-BE32-E72D297353CC}">
              <c16:uniqueId val="{00000003-D919-4E9D-A0D6-192FED4C3510}"/>
            </c:ext>
          </c:extLst>
        </c:ser>
        <c:dLbls>
          <c:showLegendKey val="0"/>
          <c:showVal val="0"/>
          <c:showCatName val="0"/>
          <c:showSerName val="0"/>
          <c:showPercent val="0"/>
          <c:showBubbleSize val="0"/>
        </c:dLbls>
        <c:marker val="1"/>
        <c:smooth val="0"/>
        <c:axId val="443182600"/>
        <c:axId val="1111041032"/>
      </c:lineChart>
      <c:catAx>
        <c:axId val="44318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041032"/>
        <c:crosses val="autoZero"/>
        <c:auto val="1"/>
        <c:lblAlgn val="ctr"/>
        <c:lblOffset val="100"/>
        <c:noMultiLvlLbl val="0"/>
      </c:catAx>
      <c:valAx>
        <c:axId val="1111041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182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a:t>Flux Monétaires Nets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Achat</c:v>
          </c:tx>
          <c:spPr>
            <a:ln w="28575" cap="rnd">
              <a:solidFill>
                <a:schemeClr val="accent1"/>
              </a:solidFill>
              <a:round/>
            </a:ln>
            <a:effectLst/>
          </c:spPr>
          <c:marker>
            <c:symbol val="none"/>
          </c:marker>
          <c:val>
            <c:numRef>
              <c:f>'Partie 2A'!$H$85:$AB$85</c:f>
              <c:numCache>
                <c:formatCode>_ * #,##0.00_)\ "$"_ ;_ * \(#,##0.00\)\ "$"_ ;_ * "-"??_)\ "$"_ ;_ @_ </c:formatCode>
                <c:ptCount val="21"/>
                <c:pt idx="0">
                  <c:v>-480000</c:v>
                </c:pt>
                <c:pt idx="1">
                  <c:v>142812.5</c:v>
                </c:pt>
                <c:pt idx="2">
                  <c:v>135852.5</c:v>
                </c:pt>
                <c:pt idx="3">
                  <c:v>135783.9</c:v>
                </c:pt>
                <c:pt idx="4">
                  <c:v>135718.04399999999</c:v>
                </c:pt>
                <c:pt idx="5">
                  <c:v>135654.82223999998</c:v>
                </c:pt>
                <c:pt idx="6">
                  <c:v>344244.12935040001</c:v>
                </c:pt>
                <c:pt idx="7">
                  <c:v>344185.86417638406</c:v>
                </c:pt>
                <c:pt idx="8">
                  <c:v>344129.92960932862</c:v>
                </c:pt>
                <c:pt idx="9">
                  <c:v>344076.23242495547</c:v>
                </c:pt>
                <c:pt idx="10">
                  <c:v>344024.68312795722</c:v>
                </c:pt>
                <c:pt idx="11">
                  <c:v>343975.19580283895</c:v>
                </c:pt>
                <c:pt idx="12">
                  <c:v>343927.68797072547</c:v>
                </c:pt>
                <c:pt idx="13">
                  <c:v>343882.08045189636</c:v>
                </c:pt>
                <c:pt idx="14">
                  <c:v>343838.29723382054</c:v>
                </c:pt>
                <c:pt idx="15">
                  <c:v>343796.26534446771</c:v>
                </c:pt>
                <c:pt idx="16">
                  <c:v>343755.91473068902</c:v>
                </c:pt>
                <c:pt idx="17">
                  <c:v>343717.17814146151</c:v>
                </c:pt>
                <c:pt idx="18">
                  <c:v>343679.99101580301</c:v>
                </c:pt>
                <c:pt idx="19">
                  <c:v>343644.29137517093</c:v>
                </c:pt>
                <c:pt idx="20">
                  <c:v>424350.4930041011</c:v>
                </c:pt>
              </c:numCache>
            </c:numRef>
          </c:val>
          <c:smooth val="0"/>
          <c:extLst>
            <c:ext xmlns:c16="http://schemas.microsoft.com/office/drawing/2014/chart" uri="{C3380CC4-5D6E-409C-BE32-E72D297353CC}">
              <c16:uniqueId val="{00000000-AC16-466B-A921-2E8D24DC4DAF}"/>
            </c:ext>
          </c:extLst>
        </c:ser>
        <c:ser>
          <c:idx val="1"/>
          <c:order val="1"/>
          <c:tx>
            <c:v>Location</c:v>
          </c:tx>
          <c:spPr>
            <a:ln w="28575" cap="rnd">
              <a:solidFill>
                <a:schemeClr val="accent2"/>
              </a:solidFill>
              <a:round/>
            </a:ln>
            <a:effectLst/>
          </c:spPr>
          <c:marker>
            <c:symbol val="none"/>
          </c:marker>
          <c:val>
            <c:numRef>
              <c:f>'Partie 2A'!$H$131:$AB$131</c:f>
              <c:numCache>
                <c:formatCode>_ * #,##0.00_)\ "$"_ ;_ * \(#,##0.00\)\ "$"_ ;_ * "-"??_)\ "$"_ ;_ @_ </c:formatCode>
                <c:ptCount val="21"/>
                <c:pt idx="0">
                  <c:v>-200000</c:v>
                </c:pt>
                <c:pt idx="1">
                  <c:v>46212.5</c:v>
                </c:pt>
                <c:pt idx="2">
                  <c:v>39252.5</c:v>
                </c:pt>
                <c:pt idx="3">
                  <c:v>39183.9</c:v>
                </c:pt>
                <c:pt idx="4">
                  <c:v>39118.044000000009</c:v>
                </c:pt>
                <c:pt idx="5">
                  <c:v>39054.822240000009</c:v>
                </c:pt>
                <c:pt idx="6">
                  <c:v>247644.12935040001</c:v>
                </c:pt>
                <c:pt idx="7">
                  <c:v>247585.86417638403</c:v>
                </c:pt>
                <c:pt idx="8">
                  <c:v>247529.92960932865</c:v>
                </c:pt>
                <c:pt idx="9">
                  <c:v>247476.23242495549</c:v>
                </c:pt>
                <c:pt idx="10">
                  <c:v>247424.68312795725</c:v>
                </c:pt>
                <c:pt idx="11">
                  <c:v>247375.19580283895</c:v>
                </c:pt>
                <c:pt idx="12">
                  <c:v>247327.68797072544</c:v>
                </c:pt>
                <c:pt idx="13">
                  <c:v>247282.08045189639</c:v>
                </c:pt>
                <c:pt idx="14">
                  <c:v>247238.29723382057</c:v>
                </c:pt>
                <c:pt idx="15">
                  <c:v>247196.26534446774</c:v>
                </c:pt>
                <c:pt idx="16">
                  <c:v>247155.91473068905</c:v>
                </c:pt>
                <c:pt idx="17">
                  <c:v>247117.17814146151</c:v>
                </c:pt>
                <c:pt idx="18">
                  <c:v>247079.99101580304</c:v>
                </c:pt>
                <c:pt idx="19">
                  <c:v>247044.29137517087</c:v>
                </c:pt>
                <c:pt idx="20">
                  <c:v>367750.4930041011</c:v>
                </c:pt>
              </c:numCache>
            </c:numRef>
          </c:val>
          <c:smooth val="0"/>
          <c:extLst>
            <c:ext xmlns:c16="http://schemas.microsoft.com/office/drawing/2014/chart" uri="{C3380CC4-5D6E-409C-BE32-E72D297353CC}">
              <c16:uniqueId val="{00000001-AC16-466B-A921-2E8D24DC4DAF}"/>
            </c:ext>
          </c:extLst>
        </c:ser>
        <c:dLbls>
          <c:showLegendKey val="0"/>
          <c:showVal val="0"/>
          <c:showCatName val="0"/>
          <c:showSerName val="0"/>
          <c:showPercent val="0"/>
          <c:showBubbleSize val="0"/>
        </c:dLbls>
        <c:smooth val="0"/>
        <c:axId val="315097088"/>
        <c:axId val="569956176"/>
      </c:lineChart>
      <c:catAx>
        <c:axId val="31509708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56176"/>
        <c:crosses val="autoZero"/>
        <c:auto val="1"/>
        <c:lblAlgn val="ctr"/>
        <c:lblOffset val="100"/>
        <c:noMultiLvlLbl val="0"/>
      </c:catAx>
      <c:valAx>
        <c:axId val="569956176"/>
        <c:scaling>
          <c:orientation val="minMax"/>
        </c:scaling>
        <c:delete val="0"/>
        <c:axPos val="l"/>
        <c:majorGridlines>
          <c:spPr>
            <a:ln w="9525" cap="flat" cmpd="sng" algn="ctr">
              <a:solidFill>
                <a:schemeClr val="tx1">
                  <a:lumMod val="15000"/>
                  <a:lumOff val="85000"/>
                </a:schemeClr>
              </a:solidFill>
              <a:round/>
            </a:ln>
            <a:effectLst/>
          </c:spPr>
        </c:majorGridlines>
        <c:numFmt formatCode="_ * #,##0.00_)\ &quot;$&quot;_ ;_ * \(#,##0.00\)\ &quot;$&quot;_ ;_ * &quot;-&quot;??_)\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097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a:t>Flux Montaires Nets</a:t>
            </a:r>
            <a:r>
              <a:rPr lang="fr-CA" baseline="0"/>
              <a:t> Actualisés</a:t>
            </a:r>
            <a:endParaRPr lang="fr-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Achat</c:v>
          </c:tx>
          <c:spPr>
            <a:ln w="28575" cap="rnd">
              <a:solidFill>
                <a:schemeClr val="accent1"/>
              </a:solidFill>
              <a:round/>
            </a:ln>
            <a:effectLst/>
          </c:spPr>
          <c:marker>
            <c:symbol val="none"/>
          </c:marker>
          <c:val>
            <c:numRef>
              <c:f>'Partie 2A'!$H$87:$AB$87</c:f>
              <c:numCache>
                <c:formatCode>_ * #,##0.00_)\ "$"_ ;_ * \(#,##0.00\)\ "$"_ ;_ * "-"??_)\ "$"_ ;_ @_ </c:formatCode>
                <c:ptCount val="21"/>
                <c:pt idx="0">
                  <c:v>-480000</c:v>
                </c:pt>
                <c:pt idx="1">
                  <c:v>123643.40160957494</c:v>
                </c:pt>
                <c:pt idx="2">
                  <c:v>101830.31345177481</c:v>
                </c:pt>
                <c:pt idx="3">
                  <c:v>88117.556772942015</c:v>
                </c:pt>
                <c:pt idx="4">
                  <c:v>76252.920760750378</c:v>
                </c:pt>
                <c:pt idx="5">
                  <c:v>65987.070916952478</c:v>
                </c:pt>
                <c:pt idx="6">
                  <c:v>144975.58835189365</c:v>
                </c:pt>
                <c:pt idx="7">
                  <c:v>125494.90377104863</c:v>
                </c:pt>
                <c:pt idx="8">
                  <c:v>108632.61367140069</c:v>
                </c:pt>
                <c:pt idx="9">
                  <c:v>94036.656664195529</c:v>
                </c:pt>
                <c:pt idx="10">
                  <c:v>81402.329305190651</c:v>
                </c:pt>
                <c:pt idx="11">
                  <c:v>70465.912173641249</c:v>
                </c:pt>
                <c:pt idx="12">
                  <c:v>60999.154411177966</c:v>
                </c:pt>
                <c:pt idx="13">
                  <c:v>52804.501000816803</c:v>
                </c:pt>
                <c:pt idx="14">
                  <c:v>45710.962682050318</c:v>
                </c:pt>
                <c:pt idx="15">
                  <c:v>39570.54190360893</c:v>
                </c:pt>
                <c:pt idx="16">
                  <c:v>34255.139896650006</c:v>
                </c:pt>
                <c:pt idx="17">
                  <c:v>29653.88005468683</c:v>
                </c:pt>
                <c:pt idx="18">
                  <c:v>25670.791545909029</c:v>
                </c:pt>
                <c:pt idx="19">
                  <c:v>22222.804643140287</c:v>
                </c:pt>
                <c:pt idx="20">
                  <c:v>23758.50824754098</c:v>
                </c:pt>
              </c:numCache>
            </c:numRef>
          </c:val>
          <c:smooth val="0"/>
          <c:extLst>
            <c:ext xmlns:c16="http://schemas.microsoft.com/office/drawing/2014/chart" uri="{C3380CC4-5D6E-409C-BE32-E72D297353CC}">
              <c16:uniqueId val="{00000000-97BF-42D2-9D46-4EF0DA801CAD}"/>
            </c:ext>
          </c:extLst>
        </c:ser>
        <c:ser>
          <c:idx val="1"/>
          <c:order val="1"/>
          <c:tx>
            <c:v>Location</c:v>
          </c:tx>
          <c:spPr>
            <a:ln w="28575" cap="rnd">
              <a:solidFill>
                <a:schemeClr val="accent2"/>
              </a:solidFill>
              <a:round/>
            </a:ln>
            <a:effectLst/>
          </c:spPr>
          <c:marker>
            <c:symbol val="none"/>
          </c:marker>
          <c:val>
            <c:numRef>
              <c:f>'Partie 2A'!$H$133:$AB$133</c:f>
              <c:numCache>
                <c:formatCode>_ * #,##0.00_)\ "$"_ ;_ * \(#,##0.00\)\ "$"_ ;_ * "-"??_)\ "$"_ ;_ @_ </c:formatCode>
                <c:ptCount val="21"/>
                <c:pt idx="0">
                  <c:v>-200000</c:v>
                </c:pt>
                <c:pt idx="1">
                  <c:v>40009.597877514097</c:v>
                </c:pt>
                <c:pt idx="2">
                  <c:v>29422.310069860992</c:v>
                </c:pt>
                <c:pt idx="3">
                  <c:v>25428.563569283859</c:v>
                </c:pt>
                <c:pt idx="4">
                  <c:v>21978.397429950783</c:v>
                </c:pt>
                <c:pt idx="5">
                  <c:v>18997.57990350269</c:v>
                </c:pt>
                <c:pt idx="6">
                  <c:v>104293.29157251169</c:v>
                </c:pt>
                <c:pt idx="7">
                  <c:v>90273.214079368685</c:v>
                </c:pt>
                <c:pt idx="8">
                  <c:v>78138.577617720468</c:v>
                </c:pt>
                <c:pt idx="9">
                  <c:v>67635.701940470084</c:v>
                </c:pt>
                <c:pt idx="10">
                  <c:v>58545.059473895839</c:v>
                </c:pt>
                <c:pt idx="11">
                  <c:v>50676.673882530835</c:v>
                </c:pt>
                <c:pt idx="12">
                  <c:v>43866.139180891085</c:v>
                </c:pt>
                <c:pt idx="13">
                  <c:v>37971.175606321762</c:v>
                </c:pt>
                <c:pt idx="14">
                  <c:v>32868.649796574209</c:v>
                </c:pt>
                <c:pt idx="15">
                  <c:v>28451.99661034159</c:v>
                </c:pt>
                <c:pt idx="16">
                  <c:v>24628.988397238514</c:v>
                </c:pt>
                <c:pt idx="17">
                  <c:v>21319.804845609568</c:v>
                </c:pt>
                <c:pt idx="18">
                  <c:v>18455.362867604665</c:v>
                </c:pt>
                <c:pt idx="19">
                  <c:v>15975.871455521334</c:v>
                </c:pt>
                <c:pt idx="20">
                  <c:v>20589.591069452952</c:v>
                </c:pt>
              </c:numCache>
            </c:numRef>
          </c:val>
          <c:smooth val="0"/>
          <c:extLst>
            <c:ext xmlns:c16="http://schemas.microsoft.com/office/drawing/2014/chart" uri="{C3380CC4-5D6E-409C-BE32-E72D297353CC}">
              <c16:uniqueId val="{00000001-97BF-42D2-9D46-4EF0DA801CAD}"/>
            </c:ext>
          </c:extLst>
        </c:ser>
        <c:dLbls>
          <c:showLegendKey val="0"/>
          <c:showVal val="0"/>
          <c:showCatName val="0"/>
          <c:showSerName val="0"/>
          <c:showPercent val="0"/>
          <c:showBubbleSize val="0"/>
        </c:dLbls>
        <c:smooth val="0"/>
        <c:axId val="1120771808"/>
        <c:axId val="500125424"/>
      </c:lineChart>
      <c:catAx>
        <c:axId val="112077180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125424"/>
        <c:crosses val="autoZero"/>
        <c:auto val="1"/>
        <c:lblAlgn val="ctr"/>
        <c:lblOffset val="100"/>
        <c:noMultiLvlLbl val="0"/>
      </c:catAx>
      <c:valAx>
        <c:axId val="500125424"/>
        <c:scaling>
          <c:orientation val="minMax"/>
        </c:scaling>
        <c:delete val="0"/>
        <c:axPos val="l"/>
        <c:majorGridlines>
          <c:spPr>
            <a:ln w="9525" cap="flat" cmpd="sng" algn="ctr">
              <a:solidFill>
                <a:schemeClr val="tx1">
                  <a:lumMod val="15000"/>
                  <a:lumOff val="85000"/>
                </a:schemeClr>
              </a:solidFill>
              <a:round/>
            </a:ln>
            <a:effectLst/>
          </c:spPr>
        </c:majorGridlines>
        <c:numFmt formatCode="_ * #,##0.00_)\ &quot;$&quot;_ ;_ * \(#,##0.00\)\ &quot;$&quot;_ ;_ * &quot;-&quot;??_)\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771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a:t>Différentielle entre Achat et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'Partie 2A'!$G$148</c:f>
              <c:strCache>
                <c:ptCount val="1"/>
                <c:pt idx="0">
                  <c:v>Différentielle</c:v>
                </c:pt>
              </c:strCache>
            </c:strRef>
          </c:tx>
          <c:spPr>
            <a:ln w="28575" cap="rnd">
              <a:solidFill>
                <a:schemeClr val="accent1"/>
              </a:solidFill>
              <a:round/>
            </a:ln>
            <a:effectLst/>
          </c:spPr>
          <c:marker>
            <c:symbol val="none"/>
          </c:marker>
          <c:val>
            <c:numRef>
              <c:f>'Partie 2A'!$H$148:$AB$148</c:f>
              <c:numCache>
                <c:formatCode>_ * #,##0.00_)\ "$"_ ;_ * \(#,##0.00\)\ "$"_ ;_ * "-"??_)\ "$"_ ;_ @_ </c:formatCode>
                <c:ptCount val="21"/>
                <c:pt idx="0">
                  <c:v>-280000</c:v>
                </c:pt>
                <c:pt idx="1">
                  <c:v>96600</c:v>
                </c:pt>
                <c:pt idx="2">
                  <c:v>96600</c:v>
                </c:pt>
                <c:pt idx="3">
                  <c:v>96600</c:v>
                </c:pt>
                <c:pt idx="4">
                  <c:v>96599.999999999985</c:v>
                </c:pt>
                <c:pt idx="5">
                  <c:v>96599.999999999971</c:v>
                </c:pt>
                <c:pt idx="6">
                  <c:v>96600</c:v>
                </c:pt>
                <c:pt idx="7">
                  <c:v>96600.000000000029</c:v>
                </c:pt>
                <c:pt idx="8">
                  <c:v>96599.999999999971</c:v>
                </c:pt>
                <c:pt idx="9">
                  <c:v>96599.999999999971</c:v>
                </c:pt>
                <c:pt idx="10">
                  <c:v>96599.999999999971</c:v>
                </c:pt>
                <c:pt idx="11">
                  <c:v>96600</c:v>
                </c:pt>
                <c:pt idx="12">
                  <c:v>96600.000000000029</c:v>
                </c:pt>
                <c:pt idx="13">
                  <c:v>96599.999999999971</c:v>
                </c:pt>
                <c:pt idx="14">
                  <c:v>96599.999999999971</c:v>
                </c:pt>
                <c:pt idx="15">
                  <c:v>96599.999999999971</c:v>
                </c:pt>
                <c:pt idx="16">
                  <c:v>96599.999999999971</c:v>
                </c:pt>
                <c:pt idx="17">
                  <c:v>96600</c:v>
                </c:pt>
                <c:pt idx="18">
                  <c:v>96599.999999999971</c:v>
                </c:pt>
                <c:pt idx="19">
                  <c:v>96600.000000000058</c:v>
                </c:pt>
                <c:pt idx="20">
                  <c:v>56600</c:v>
                </c:pt>
              </c:numCache>
            </c:numRef>
          </c:val>
          <c:smooth val="0"/>
          <c:extLst>
            <c:ext xmlns:c16="http://schemas.microsoft.com/office/drawing/2014/chart" uri="{C3380CC4-5D6E-409C-BE32-E72D297353CC}">
              <c16:uniqueId val="{00000000-E401-4E80-A5B4-630D626EA15B}"/>
            </c:ext>
          </c:extLst>
        </c:ser>
        <c:dLbls>
          <c:showLegendKey val="0"/>
          <c:showVal val="0"/>
          <c:showCatName val="0"/>
          <c:showSerName val="0"/>
          <c:showPercent val="0"/>
          <c:showBubbleSize val="0"/>
        </c:dLbls>
        <c:smooth val="0"/>
        <c:axId val="315100928"/>
        <c:axId val="323503904"/>
      </c:lineChart>
      <c:catAx>
        <c:axId val="31510092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503904"/>
        <c:crosses val="autoZero"/>
        <c:auto val="1"/>
        <c:lblAlgn val="ctr"/>
        <c:lblOffset val="100"/>
        <c:noMultiLvlLbl val="0"/>
      </c:catAx>
      <c:valAx>
        <c:axId val="323503904"/>
        <c:scaling>
          <c:orientation val="minMax"/>
        </c:scaling>
        <c:delete val="0"/>
        <c:axPos val="l"/>
        <c:majorGridlines>
          <c:spPr>
            <a:ln w="9525" cap="flat" cmpd="sng" algn="ctr">
              <a:solidFill>
                <a:schemeClr val="tx1">
                  <a:lumMod val="15000"/>
                  <a:lumOff val="85000"/>
                </a:schemeClr>
              </a:solidFill>
              <a:round/>
            </a:ln>
            <a:effectLst/>
          </c:spPr>
        </c:majorGridlines>
        <c:numFmt formatCode="_ * #,##0.00_)\ &quot;$&quot;_ ;_ * \(#,##0.00\)\ &quot;$&quot;_ ;_ * &quot;-&quot;??_)\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10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Impact</a:t>
            </a:r>
            <a:r>
              <a:rPr lang="en-US" sz="2400" baseline="0"/>
              <a:t> de la variation Px,Cf,Cx,Sx,Rx,Q sur le flux monétaire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273017074530277"/>
          <c:y val="9.80615110164057E-2"/>
          <c:w val="0.84049902912008634"/>
          <c:h val="0.7313643447017667"/>
        </c:manualLayout>
      </c:layout>
      <c:scatterChart>
        <c:scatterStyle val="lineMarker"/>
        <c:varyColors val="0"/>
        <c:ser>
          <c:idx val="0"/>
          <c:order val="0"/>
          <c:tx>
            <c:v>Px</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'Partie 2B achat new'!$L$74:$L$82</c:f>
              <c:numCache>
                <c:formatCode>0.00%</c:formatCode>
                <c:ptCount val="9"/>
                <c:pt idx="0">
                  <c:v>-0.2</c:v>
                </c:pt>
                <c:pt idx="1">
                  <c:v>-0.15000000000000002</c:v>
                </c:pt>
                <c:pt idx="2">
                  <c:v>-0.1</c:v>
                </c:pt>
                <c:pt idx="3">
                  <c:v>-0.05</c:v>
                </c:pt>
                <c:pt idx="4">
                  <c:v>0</c:v>
                </c:pt>
                <c:pt idx="5">
                  <c:v>0.05</c:v>
                </c:pt>
                <c:pt idx="6">
                  <c:v>0.1</c:v>
                </c:pt>
                <c:pt idx="7">
                  <c:v>0.15000000000000002</c:v>
                </c:pt>
                <c:pt idx="8">
                  <c:v>0.2</c:v>
                </c:pt>
              </c:numCache>
            </c:numRef>
          </c:xVal>
          <c:yVal>
            <c:numRef>
              <c:f>'Partie 2B achat new'!$AJ$74:$AJ$82</c:f>
              <c:numCache>
                <c:formatCode>"$"#,##0.00</c:formatCode>
                <c:ptCount val="9"/>
                <c:pt idx="0" formatCode="General">
                  <c:v>546159.36493156548</c:v>
                </c:pt>
                <c:pt idx="1">
                  <c:v>657474.10852209281</c:v>
                </c:pt>
                <c:pt idx="2">
                  <c:v>768788.85211262025</c:v>
                </c:pt>
                <c:pt idx="3">
                  <c:v>880103.59570314782</c:v>
                </c:pt>
                <c:pt idx="4">
                  <c:v>991418.33929367526</c:v>
                </c:pt>
                <c:pt idx="5">
                  <c:v>1102733.0828842025</c:v>
                </c:pt>
                <c:pt idx="6">
                  <c:v>1214047.8264747302</c:v>
                </c:pt>
                <c:pt idx="7">
                  <c:v>1325362.5700652574</c:v>
                </c:pt>
                <c:pt idx="8">
                  <c:v>1436677.3136557846</c:v>
                </c:pt>
              </c:numCache>
            </c:numRef>
          </c:yVal>
          <c:smooth val="0"/>
          <c:extLst>
            <c:ext xmlns:c16="http://schemas.microsoft.com/office/drawing/2014/chart" uri="{C3380CC4-5D6E-409C-BE32-E72D297353CC}">
              <c16:uniqueId val="{00000004-3D1E-4B9E-9AF3-10A779FD6562}"/>
            </c:ext>
          </c:extLst>
        </c:ser>
        <c:ser>
          <c:idx val="1"/>
          <c:order val="1"/>
          <c:tx>
            <c:v>Cf</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'Partie 2B achat new'!$L$83:$L$91</c:f>
              <c:numCache>
                <c:formatCode>0.00%</c:formatCode>
                <c:ptCount val="9"/>
                <c:pt idx="0">
                  <c:v>-0.2</c:v>
                </c:pt>
                <c:pt idx="1">
                  <c:v>-0.15000000000000002</c:v>
                </c:pt>
                <c:pt idx="2">
                  <c:v>-0.1</c:v>
                </c:pt>
                <c:pt idx="3">
                  <c:v>-0.05</c:v>
                </c:pt>
                <c:pt idx="4">
                  <c:v>0</c:v>
                </c:pt>
                <c:pt idx="5">
                  <c:v>0.05</c:v>
                </c:pt>
                <c:pt idx="6">
                  <c:v>0.1</c:v>
                </c:pt>
                <c:pt idx="7">
                  <c:v>0.15000000000000002</c:v>
                </c:pt>
                <c:pt idx="8">
                  <c:v>0.2</c:v>
                </c:pt>
              </c:numCache>
            </c:numRef>
          </c:xVal>
          <c:yVal>
            <c:numRef>
              <c:f>'Partie 2B achat new'!$AJ$83:$AJ$91</c:f>
              <c:numCache>
                <c:formatCode>"$"#,##0.00</c:formatCode>
                <c:ptCount val="9"/>
                <c:pt idx="0">
                  <c:v>999566.58940282022</c:v>
                </c:pt>
                <c:pt idx="1">
                  <c:v>997529.52687553421</c:v>
                </c:pt>
                <c:pt idx="2">
                  <c:v>995492.46434824751</c:v>
                </c:pt>
                <c:pt idx="3">
                  <c:v>993455.40182096139</c:v>
                </c:pt>
                <c:pt idx="4">
                  <c:v>991418.33929367526</c:v>
                </c:pt>
                <c:pt idx="5">
                  <c:v>989381.27676638903</c:v>
                </c:pt>
                <c:pt idx="6">
                  <c:v>987344.21423910256</c:v>
                </c:pt>
                <c:pt idx="7">
                  <c:v>985307.15171181643</c:v>
                </c:pt>
                <c:pt idx="8">
                  <c:v>983270.08918452985</c:v>
                </c:pt>
              </c:numCache>
            </c:numRef>
          </c:yVal>
          <c:smooth val="0"/>
          <c:extLst>
            <c:ext xmlns:c16="http://schemas.microsoft.com/office/drawing/2014/chart" uri="{C3380CC4-5D6E-409C-BE32-E72D297353CC}">
              <c16:uniqueId val="{00000005-3D1E-4B9E-9AF3-10A779FD6562}"/>
            </c:ext>
          </c:extLst>
        </c:ser>
        <c:ser>
          <c:idx val="2"/>
          <c:order val="2"/>
          <c:tx>
            <c:v>Q</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'Partie 2B achat new'!$L$92:$L$100</c:f>
              <c:numCache>
                <c:formatCode>0.00%</c:formatCode>
                <c:ptCount val="9"/>
                <c:pt idx="0">
                  <c:v>-0.2</c:v>
                </c:pt>
                <c:pt idx="1">
                  <c:v>-0.15000000000000002</c:v>
                </c:pt>
                <c:pt idx="2">
                  <c:v>-0.1</c:v>
                </c:pt>
                <c:pt idx="3">
                  <c:v>-0.05</c:v>
                </c:pt>
                <c:pt idx="4">
                  <c:v>0</c:v>
                </c:pt>
                <c:pt idx="5">
                  <c:v>0.05</c:v>
                </c:pt>
                <c:pt idx="6">
                  <c:v>0.1</c:v>
                </c:pt>
                <c:pt idx="7">
                  <c:v>0.15000000000000002</c:v>
                </c:pt>
                <c:pt idx="8">
                  <c:v>0.2</c:v>
                </c:pt>
              </c:numCache>
            </c:numRef>
          </c:xVal>
          <c:yVal>
            <c:numRef>
              <c:f>'Partie 2B achat new'!$AJ$92:$AJ$100</c:f>
              <c:numCache>
                <c:formatCode>"$"#,##0.00</c:formatCode>
                <c:ptCount val="9"/>
                <c:pt idx="0">
                  <c:v>574655.93929074053</c:v>
                </c:pt>
                <c:pt idx="1">
                  <c:v>678846.53929147415</c:v>
                </c:pt>
                <c:pt idx="2">
                  <c:v>783037.13929220766</c:v>
                </c:pt>
                <c:pt idx="3">
                  <c:v>887227.73929294129</c:v>
                </c:pt>
                <c:pt idx="4">
                  <c:v>991418.33929367526</c:v>
                </c:pt>
                <c:pt idx="5">
                  <c:v>1095608.9392944088</c:v>
                </c:pt>
                <c:pt idx="6">
                  <c:v>1199799.5392951427</c:v>
                </c:pt>
                <c:pt idx="7">
                  <c:v>1303990.1392958763</c:v>
                </c:pt>
                <c:pt idx="8">
                  <c:v>1408180.7392966093</c:v>
                </c:pt>
              </c:numCache>
            </c:numRef>
          </c:yVal>
          <c:smooth val="0"/>
          <c:extLst>
            <c:ext xmlns:c16="http://schemas.microsoft.com/office/drawing/2014/chart" uri="{C3380CC4-5D6E-409C-BE32-E72D297353CC}">
              <c16:uniqueId val="{00000006-3D1E-4B9E-9AF3-10A779FD6562}"/>
            </c:ext>
          </c:extLst>
        </c:ser>
        <c:ser>
          <c:idx val="3"/>
          <c:order val="3"/>
          <c:tx>
            <c:v>Rx</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'Partie 2B achat new'!$L$101:$L$109</c:f>
              <c:numCache>
                <c:formatCode>0.00%</c:formatCode>
                <c:ptCount val="9"/>
                <c:pt idx="0">
                  <c:v>-0.2</c:v>
                </c:pt>
                <c:pt idx="1">
                  <c:v>-0.15000000000000002</c:v>
                </c:pt>
                <c:pt idx="2">
                  <c:v>-0.1</c:v>
                </c:pt>
                <c:pt idx="3">
                  <c:v>-0.05</c:v>
                </c:pt>
                <c:pt idx="4">
                  <c:v>0</c:v>
                </c:pt>
                <c:pt idx="5">
                  <c:v>0.05</c:v>
                </c:pt>
                <c:pt idx="6">
                  <c:v>0.1</c:v>
                </c:pt>
                <c:pt idx="7">
                  <c:v>0.15000000000000002</c:v>
                </c:pt>
                <c:pt idx="8">
                  <c:v>0.2</c:v>
                </c:pt>
              </c:numCache>
            </c:numRef>
          </c:xVal>
          <c:yVal>
            <c:numRef>
              <c:f>'Partie 2B achat new'!$AJ$101:$AJ$109</c:f>
              <c:numCache>
                <c:formatCode>"$"#,##0.00</c:formatCode>
                <c:ptCount val="9"/>
                <c:pt idx="0">
                  <c:v>1027039.057242644</c:v>
                </c:pt>
                <c:pt idx="1">
                  <c:v>1018133.8777554017</c:v>
                </c:pt>
                <c:pt idx="2">
                  <c:v>1009228.6982681596</c:v>
                </c:pt>
                <c:pt idx="3">
                  <c:v>1000323.5187809174</c:v>
                </c:pt>
                <c:pt idx="4">
                  <c:v>991418.33929367526</c:v>
                </c:pt>
                <c:pt idx="5">
                  <c:v>982513.1598064329</c:v>
                </c:pt>
                <c:pt idx="6">
                  <c:v>973607.98031919077</c:v>
                </c:pt>
                <c:pt idx="7">
                  <c:v>964702.80083194852</c:v>
                </c:pt>
                <c:pt idx="8">
                  <c:v>955797.62134470639</c:v>
                </c:pt>
              </c:numCache>
            </c:numRef>
          </c:yVal>
          <c:smooth val="0"/>
          <c:extLst>
            <c:ext xmlns:c16="http://schemas.microsoft.com/office/drawing/2014/chart" uri="{C3380CC4-5D6E-409C-BE32-E72D297353CC}">
              <c16:uniqueId val="{00000007-3D1E-4B9E-9AF3-10A779FD6562}"/>
            </c:ext>
          </c:extLst>
        </c:ser>
        <c:ser>
          <c:idx val="4"/>
          <c:order val="4"/>
          <c:tx>
            <c:v>Sx</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'Partie 2B achat new'!$L$110:$L$118</c:f>
              <c:numCache>
                <c:formatCode>0.00%</c:formatCode>
                <c:ptCount val="9"/>
                <c:pt idx="0">
                  <c:v>-0.2</c:v>
                </c:pt>
                <c:pt idx="1">
                  <c:v>-0.15000000000000002</c:v>
                </c:pt>
                <c:pt idx="2">
                  <c:v>-0.1</c:v>
                </c:pt>
                <c:pt idx="3">
                  <c:v>-0.05</c:v>
                </c:pt>
                <c:pt idx="4">
                  <c:v>0</c:v>
                </c:pt>
                <c:pt idx="5">
                  <c:v>0.05</c:v>
                </c:pt>
                <c:pt idx="6">
                  <c:v>0.1</c:v>
                </c:pt>
                <c:pt idx="7">
                  <c:v>0.15000000000000002</c:v>
                </c:pt>
                <c:pt idx="8">
                  <c:v>0.2</c:v>
                </c:pt>
              </c:numCache>
            </c:numRef>
          </c:xVal>
          <c:yVal>
            <c:numRef>
              <c:f>'Partie 2B achat new'!$AJ$110:$AJ$118</c:f>
              <c:numCache>
                <c:formatCode>"$"#,##0.00</c:formatCode>
                <c:ptCount val="9"/>
                <c:pt idx="0">
                  <c:v>990970.43580560631</c:v>
                </c:pt>
                <c:pt idx="1">
                  <c:v>991082.41167762352</c:v>
                </c:pt>
                <c:pt idx="2">
                  <c:v>991194.38754964084</c:v>
                </c:pt>
                <c:pt idx="3">
                  <c:v>991306.36342165805</c:v>
                </c:pt>
                <c:pt idx="4">
                  <c:v>991418.33929367526</c:v>
                </c:pt>
                <c:pt idx="5">
                  <c:v>991530.31516569259</c:v>
                </c:pt>
                <c:pt idx="6">
                  <c:v>991642.2910377098</c:v>
                </c:pt>
                <c:pt idx="7">
                  <c:v>991754.26690972701</c:v>
                </c:pt>
                <c:pt idx="8">
                  <c:v>991866.24278174422</c:v>
                </c:pt>
              </c:numCache>
            </c:numRef>
          </c:yVal>
          <c:smooth val="0"/>
          <c:extLst>
            <c:ext xmlns:c16="http://schemas.microsoft.com/office/drawing/2014/chart" uri="{C3380CC4-5D6E-409C-BE32-E72D297353CC}">
              <c16:uniqueId val="{00000008-3D1E-4B9E-9AF3-10A779FD6562}"/>
            </c:ext>
          </c:extLst>
        </c:ser>
        <c:ser>
          <c:idx val="5"/>
          <c:order val="5"/>
          <c:tx>
            <c:v>Cx</c:v>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'Partie 2B achat new'!$L$119:$L$127</c:f>
              <c:numCache>
                <c:formatCode>0.00%</c:formatCode>
                <c:ptCount val="9"/>
                <c:pt idx="0">
                  <c:v>-0.2</c:v>
                </c:pt>
                <c:pt idx="1">
                  <c:v>-0.15000000000000002</c:v>
                </c:pt>
                <c:pt idx="2">
                  <c:v>-0.1</c:v>
                </c:pt>
                <c:pt idx="3">
                  <c:v>-0.05</c:v>
                </c:pt>
                <c:pt idx="4">
                  <c:v>0</c:v>
                </c:pt>
                <c:pt idx="5">
                  <c:v>0.05</c:v>
                </c:pt>
                <c:pt idx="6">
                  <c:v>0.1</c:v>
                </c:pt>
                <c:pt idx="7">
                  <c:v>0.15000000000000002</c:v>
                </c:pt>
                <c:pt idx="8">
                  <c:v>0.2</c:v>
                </c:pt>
              </c:numCache>
            </c:numRef>
          </c:xVal>
          <c:yVal>
            <c:numRef>
              <c:f>'Partie 2B achat new'!$AJ$119:$AJ$127</c:f>
              <c:numCache>
                <c:formatCode>"$"#,##0.00</c:formatCode>
                <c:ptCount val="9"/>
                <c:pt idx="0">
                  <c:v>1019914.9136528502</c:v>
                </c:pt>
                <c:pt idx="1">
                  <c:v>1012790.7700630567</c:v>
                </c:pt>
                <c:pt idx="2">
                  <c:v>1005666.6264732627</c:v>
                </c:pt>
                <c:pt idx="3">
                  <c:v>998542.48288346909</c:v>
                </c:pt>
                <c:pt idx="4">
                  <c:v>991418.33929367526</c:v>
                </c:pt>
                <c:pt idx="5">
                  <c:v>984294.19570388156</c:v>
                </c:pt>
                <c:pt idx="6">
                  <c:v>977170.05211408762</c:v>
                </c:pt>
                <c:pt idx="7">
                  <c:v>970045.90852429392</c:v>
                </c:pt>
                <c:pt idx="8">
                  <c:v>962921.7649345001</c:v>
                </c:pt>
              </c:numCache>
            </c:numRef>
          </c:yVal>
          <c:smooth val="0"/>
          <c:extLst>
            <c:ext xmlns:c16="http://schemas.microsoft.com/office/drawing/2014/chart" uri="{C3380CC4-5D6E-409C-BE32-E72D297353CC}">
              <c16:uniqueId val="{0000000C-9A31-4ECE-A080-E63F70491168}"/>
            </c:ext>
          </c:extLst>
        </c:ser>
        <c:dLbls>
          <c:showLegendKey val="0"/>
          <c:showVal val="0"/>
          <c:showCatName val="0"/>
          <c:showSerName val="0"/>
          <c:showPercent val="0"/>
          <c:showBubbleSize val="0"/>
        </c:dLbls>
        <c:axId val="1076591520"/>
        <c:axId val="1075689488"/>
      </c:scatterChart>
      <c:valAx>
        <c:axId val="1076591520"/>
        <c:scaling>
          <c:orientation val="minMax"/>
          <c:max val="0.2"/>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800"/>
                  <a:t>Variation</a:t>
                </a:r>
                <a:r>
                  <a:rPr lang="en-CA" sz="1800" baseline="0"/>
                  <a:t> pourcentage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689488"/>
        <c:crosses val="autoZero"/>
        <c:crossBetween val="midCat"/>
      </c:valAx>
      <c:valAx>
        <c:axId val="1075689488"/>
        <c:scaling>
          <c:orientation val="minMax"/>
          <c:max val="1500000"/>
          <c:min val="50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2800"/>
                  <a:t>Flux monétaire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591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28575</xdr:colOff>
      <xdr:row>40</xdr:row>
      <xdr:rowOff>33336</xdr:rowOff>
    </xdr:from>
    <xdr:to>
      <xdr:col>3</xdr:col>
      <xdr:colOff>847725</xdr:colOff>
      <xdr:row>59</xdr:row>
      <xdr:rowOff>171449</xdr:rowOff>
    </xdr:to>
    <xdr:graphicFrame macro="">
      <xdr:nvGraphicFramePr>
        <xdr:cNvPr id="56" name="Chart 1">
          <a:extLst>
            <a:ext uri="{FF2B5EF4-FFF2-40B4-BE49-F238E27FC236}">
              <a16:creationId xmlns:a16="http://schemas.microsoft.com/office/drawing/2014/main" id="{4B5067AF-3732-0A35-03A5-0868A0EB1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40</xdr:row>
      <xdr:rowOff>28574</xdr:rowOff>
    </xdr:from>
    <xdr:to>
      <xdr:col>8</xdr:col>
      <xdr:colOff>238125</xdr:colOff>
      <xdr:row>59</xdr:row>
      <xdr:rowOff>171449</xdr:rowOff>
    </xdr:to>
    <xdr:graphicFrame macro="">
      <xdr:nvGraphicFramePr>
        <xdr:cNvPr id="54" name="Chart 2">
          <a:extLst>
            <a:ext uri="{FF2B5EF4-FFF2-40B4-BE49-F238E27FC236}">
              <a16:creationId xmlns:a16="http://schemas.microsoft.com/office/drawing/2014/main" id="{2B96635E-9960-4256-A3DA-DFA7F20BA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447675</xdr:colOff>
      <xdr:row>40</xdr:row>
      <xdr:rowOff>28575</xdr:rowOff>
    </xdr:from>
    <xdr:to>
      <xdr:col>12</xdr:col>
      <xdr:colOff>133350</xdr:colOff>
      <xdr:row>59</xdr:row>
      <xdr:rowOff>171450</xdr:rowOff>
    </xdr:to>
    <xdr:graphicFrame macro="">
      <xdr:nvGraphicFramePr>
        <xdr:cNvPr id="73" name="Chart 3">
          <a:extLst>
            <a:ext uri="{FF2B5EF4-FFF2-40B4-BE49-F238E27FC236}">
              <a16:creationId xmlns:a16="http://schemas.microsoft.com/office/drawing/2014/main" i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66675</xdr:colOff>
      <xdr:row>70</xdr:row>
      <xdr:rowOff>123825</xdr:rowOff>
    </xdr:from>
    <xdr:to>
      <xdr:col>3</xdr:col>
      <xdr:colOff>885825</xdr:colOff>
      <xdr:row>85</xdr:row>
      <xdr:rowOff>152400</xdr:rowOff>
    </xdr:to>
    <xdr:graphicFrame macro="">
      <xdr:nvGraphicFramePr>
        <xdr:cNvPr id="15" name="Chart 1">
          <a:extLst>
            <a:ext uri="{FF2B5EF4-FFF2-40B4-BE49-F238E27FC236}">
              <a16:creationId xmlns:a16="http://schemas.microsoft.com/office/drawing/2014/main" id="{C50EDF3E-8BE4-FDD6-95A3-C3046F6D9604}"/>
            </a:ext>
            <a:ext uri="{147F2762-F138-4A5C-976F-8EAC2B608ADB}">
              <a16:predDERef xmlns:a16="http://schemas.microsoft.com/office/drawing/2014/main" pred="{E9A9E40C-1106-460B-ABD5-45E3666B3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1028700</xdr:colOff>
      <xdr:row>70</xdr:row>
      <xdr:rowOff>76200</xdr:rowOff>
    </xdr:from>
    <xdr:to>
      <xdr:col>8</xdr:col>
      <xdr:colOff>200025</xdr:colOff>
      <xdr:row>85</xdr:row>
      <xdr:rowOff>104775</xdr:rowOff>
    </xdr:to>
    <xdr:graphicFrame macro="">
      <xdr:nvGraphicFramePr>
        <xdr:cNvPr id="4" name="Chart 1">
          <a:extLst>
            <a:ext uri="{FF2B5EF4-FFF2-40B4-BE49-F238E27FC236}">
              <a16:creationId xmlns:a16="http://schemas.microsoft.com/office/drawing/2014/main" id="{822E693E-7F7E-4247-A87E-10F7DAD96A4D}"/>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87</xdr:row>
      <xdr:rowOff>0</xdr:rowOff>
    </xdr:from>
    <xdr:to>
      <xdr:col>3</xdr:col>
      <xdr:colOff>819150</xdr:colOff>
      <xdr:row>102</xdr:row>
      <xdr:rowOff>28575</xdr:rowOff>
    </xdr:to>
    <xdr:graphicFrame macro="">
      <xdr:nvGraphicFramePr>
        <xdr:cNvPr id="5" name="Chart 1">
          <a:extLst>
            <a:ext uri="{FF2B5EF4-FFF2-40B4-BE49-F238E27FC236}">
              <a16:creationId xmlns:a16="http://schemas.microsoft.com/office/drawing/2014/main" id="{9E53B083-FBE5-4344-9C53-E18F2D5D4BE1}"/>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87</xdr:row>
      <xdr:rowOff>0</xdr:rowOff>
    </xdr:from>
    <xdr:to>
      <xdr:col>8</xdr:col>
      <xdr:colOff>219075</xdr:colOff>
      <xdr:row>102</xdr:row>
      <xdr:rowOff>28575</xdr:rowOff>
    </xdr:to>
    <xdr:graphicFrame macro="">
      <xdr:nvGraphicFramePr>
        <xdr:cNvPr id="6" name="Chart 1">
          <a:extLst>
            <a:ext uri="{FF2B5EF4-FFF2-40B4-BE49-F238E27FC236}">
              <a16:creationId xmlns:a16="http://schemas.microsoft.com/office/drawing/2014/main" id="{82E6CF9C-06A8-496B-A753-A01F5C133A6E}"/>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103</xdr:row>
      <xdr:rowOff>0</xdr:rowOff>
    </xdr:from>
    <xdr:to>
      <xdr:col>3</xdr:col>
      <xdr:colOff>819150</xdr:colOff>
      <xdr:row>118</xdr:row>
      <xdr:rowOff>28575</xdr:rowOff>
    </xdr:to>
    <xdr:graphicFrame macro="">
      <xdr:nvGraphicFramePr>
        <xdr:cNvPr id="9" name="Chart 1">
          <a:extLst>
            <a:ext uri="{FF2B5EF4-FFF2-40B4-BE49-F238E27FC236}">
              <a16:creationId xmlns:a16="http://schemas.microsoft.com/office/drawing/2014/main" id="{DD7332CD-4626-4DF8-9ACB-E126B999016A}"/>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103</xdr:row>
      <xdr:rowOff>0</xdr:rowOff>
    </xdr:from>
    <xdr:to>
      <xdr:col>13</xdr:col>
      <xdr:colOff>190500</xdr:colOff>
      <xdr:row>118</xdr:row>
      <xdr:rowOff>28575</xdr:rowOff>
    </xdr:to>
    <xdr:graphicFrame macro="">
      <xdr:nvGraphicFramePr>
        <xdr:cNvPr id="16" name="Chart 1">
          <a:extLst>
            <a:ext uri="{FF2B5EF4-FFF2-40B4-BE49-F238E27FC236}">
              <a16:creationId xmlns:a16="http://schemas.microsoft.com/office/drawing/2014/main" id="{A3C2BD93-0E4F-4CB4-B275-43140A099285}"/>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0</xdr:colOff>
      <xdr:row>103</xdr:row>
      <xdr:rowOff>0</xdr:rowOff>
    </xdr:from>
    <xdr:to>
      <xdr:col>8</xdr:col>
      <xdr:colOff>219075</xdr:colOff>
      <xdr:row>118</xdr:row>
      <xdr:rowOff>28575</xdr:rowOff>
    </xdr:to>
    <xdr:graphicFrame macro="">
      <xdr:nvGraphicFramePr>
        <xdr:cNvPr id="11" name="Chart 1">
          <a:extLst>
            <a:ext uri="{FF2B5EF4-FFF2-40B4-BE49-F238E27FC236}">
              <a16:creationId xmlns:a16="http://schemas.microsoft.com/office/drawing/2014/main" id="{84F15D23-C98B-46A7-94B2-CA058AF21126}"/>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0</xdr:colOff>
      <xdr:row>119</xdr:row>
      <xdr:rowOff>0</xdr:rowOff>
    </xdr:from>
    <xdr:to>
      <xdr:col>3</xdr:col>
      <xdr:colOff>819150</xdr:colOff>
      <xdr:row>134</xdr:row>
      <xdr:rowOff>28575</xdr:rowOff>
    </xdr:to>
    <xdr:graphicFrame macro="">
      <xdr:nvGraphicFramePr>
        <xdr:cNvPr id="34" name="Chart 1">
          <a:extLst>
            <a:ext uri="{FF2B5EF4-FFF2-40B4-BE49-F238E27FC236}">
              <a16:creationId xmlns:a16="http://schemas.microsoft.com/office/drawing/2014/main" id="{B7ADAF33-FE90-4C1F-B730-48DC8FA3A66A}"/>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119</xdr:row>
      <xdr:rowOff>0</xdr:rowOff>
    </xdr:from>
    <xdr:to>
      <xdr:col>8</xdr:col>
      <xdr:colOff>219075</xdr:colOff>
      <xdr:row>134</xdr:row>
      <xdr:rowOff>28575</xdr:rowOff>
    </xdr:to>
    <xdr:graphicFrame macro="">
      <xdr:nvGraphicFramePr>
        <xdr:cNvPr id="36" name="Chart 1">
          <a:extLst>
            <a:ext uri="{FF2B5EF4-FFF2-40B4-BE49-F238E27FC236}">
              <a16:creationId xmlns:a16="http://schemas.microsoft.com/office/drawing/2014/main" id="{1FFDECBD-B7FB-4D37-AC6F-265DBA747D57}"/>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0</xdr:colOff>
      <xdr:row>119</xdr:row>
      <xdr:rowOff>0</xdr:rowOff>
    </xdr:from>
    <xdr:to>
      <xdr:col>13</xdr:col>
      <xdr:colOff>190500</xdr:colOff>
      <xdr:row>134</xdr:row>
      <xdr:rowOff>28575</xdr:rowOff>
    </xdr:to>
    <xdr:graphicFrame macro="">
      <xdr:nvGraphicFramePr>
        <xdr:cNvPr id="38" name="Chart 1">
          <a:extLst>
            <a:ext uri="{FF2B5EF4-FFF2-40B4-BE49-F238E27FC236}">
              <a16:creationId xmlns:a16="http://schemas.microsoft.com/office/drawing/2014/main" id="{5F307724-7645-49DE-8230-5296F66D23BB}"/>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0</xdr:colOff>
      <xdr:row>135</xdr:row>
      <xdr:rowOff>0</xdr:rowOff>
    </xdr:from>
    <xdr:to>
      <xdr:col>3</xdr:col>
      <xdr:colOff>819150</xdr:colOff>
      <xdr:row>150</xdr:row>
      <xdr:rowOff>28575</xdr:rowOff>
    </xdr:to>
    <xdr:graphicFrame macro="">
      <xdr:nvGraphicFramePr>
        <xdr:cNvPr id="42" name="Chart 1">
          <a:extLst>
            <a:ext uri="{FF2B5EF4-FFF2-40B4-BE49-F238E27FC236}">
              <a16:creationId xmlns:a16="http://schemas.microsoft.com/office/drawing/2014/main" id="{D8952CF8-A15F-4209-800D-38E2A2EE6B99}"/>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0</xdr:colOff>
      <xdr:row>135</xdr:row>
      <xdr:rowOff>0</xdr:rowOff>
    </xdr:from>
    <xdr:to>
      <xdr:col>8</xdr:col>
      <xdr:colOff>219075</xdr:colOff>
      <xdr:row>150</xdr:row>
      <xdr:rowOff>28575</xdr:rowOff>
    </xdr:to>
    <xdr:graphicFrame macro="">
      <xdr:nvGraphicFramePr>
        <xdr:cNvPr id="44" name="Chart 1">
          <a:extLst>
            <a:ext uri="{FF2B5EF4-FFF2-40B4-BE49-F238E27FC236}">
              <a16:creationId xmlns:a16="http://schemas.microsoft.com/office/drawing/2014/main" id="{A873DB7E-8E3A-46AF-8F32-6CF9B6097D31}"/>
            </a:ext>
            <a:ext uri="{147F2762-F138-4A5C-976F-8EAC2B608ADB}">
              <a16:predDERef xmlns:a16="http://schemas.microsoft.com/office/drawing/2014/main" pred="{E9A9E40C-1106-460B-ABD5-45E3666B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1786865</xdr:colOff>
      <xdr:row>104</xdr:row>
      <xdr:rowOff>141268</xdr:rowOff>
    </xdr:from>
    <xdr:to>
      <xdr:col>5</xdr:col>
      <xdr:colOff>807150</xdr:colOff>
      <xdr:row>119</xdr:row>
      <xdr:rowOff>3463</xdr:rowOff>
    </xdr:to>
    <xdr:graphicFrame macro="">
      <xdr:nvGraphicFramePr>
        <xdr:cNvPr id="2" name="Graphique 1">
          <a:extLst>
            <a:ext uri="{FF2B5EF4-FFF2-40B4-BE49-F238E27FC236}">
              <a16:creationId xmlns:a16="http://schemas.microsoft.com/office/drawing/2014/main" id="{F7150847-75EE-BE42-6F5D-4AFDBAEB9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1770785</xdr:colOff>
      <xdr:row>119</xdr:row>
      <xdr:rowOff>143742</xdr:rowOff>
    </xdr:from>
    <xdr:to>
      <xdr:col>5</xdr:col>
      <xdr:colOff>800967</xdr:colOff>
      <xdr:row>133</xdr:row>
      <xdr:rowOff>3465</xdr:rowOff>
    </xdr:to>
    <xdr:graphicFrame macro="">
      <xdr:nvGraphicFramePr>
        <xdr:cNvPr id="3" name="Graphique 2">
          <a:extLst>
            <a:ext uri="{FF2B5EF4-FFF2-40B4-BE49-F238E27FC236}">
              <a16:creationId xmlns:a16="http://schemas.microsoft.com/office/drawing/2014/main" id="{66AB5744-981F-6F74-4CF8-F9E03A114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1749512</xdr:colOff>
      <xdr:row>134</xdr:row>
      <xdr:rowOff>4903</xdr:rowOff>
    </xdr:from>
    <xdr:to>
      <xdr:col>5</xdr:col>
      <xdr:colOff>799405</xdr:colOff>
      <xdr:row>148</xdr:row>
      <xdr:rowOff>62509</xdr:rowOff>
    </xdr:to>
    <xdr:graphicFrame macro="">
      <xdr:nvGraphicFramePr>
        <xdr:cNvPr id="4" name="Graphique 3">
          <a:extLst>
            <a:ext uri="{FF2B5EF4-FFF2-40B4-BE49-F238E27FC236}">
              <a16:creationId xmlns:a16="http://schemas.microsoft.com/office/drawing/2014/main" id="{8D5398EF-F3F8-EE12-EE45-D5FC827282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1011096</xdr:colOff>
      <xdr:row>2</xdr:row>
      <xdr:rowOff>76201</xdr:rowOff>
    </xdr:from>
    <xdr:to>
      <xdr:col>24</xdr:col>
      <xdr:colOff>740932</xdr:colOff>
      <xdr:row>31</xdr:row>
      <xdr:rowOff>392498</xdr:rowOff>
    </xdr:to>
    <xdr:graphicFrame macro="">
      <xdr:nvGraphicFramePr>
        <xdr:cNvPr id="2" name="Graphique 1">
          <a:extLst>
            <a:ext uri="{FF2B5EF4-FFF2-40B4-BE49-F238E27FC236}">
              <a16:creationId xmlns:a16="http://schemas.microsoft.com/office/drawing/2014/main" id="{8609A9AB-5811-4803-BF6F-B85F08A2B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99060</xdr:colOff>
      <xdr:row>75</xdr:row>
      <xdr:rowOff>60960</xdr:rowOff>
    </xdr:from>
    <xdr:to>
      <xdr:col>19</xdr:col>
      <xdr:colOff>159934</xdr:colOff>
      <xdr:row>98</xdr:row>
      <xdr:rowOff>176611</xdr:rowOff>
    </xdr:to>
    <xdr:pic>
      <xdr:nvPicPr>
        <xdr:cNvPr id="2" name="Image 1">
          <a:extLst>
            <a:ext uri="{FF2B5EF4-FFF2-40B4-BE49-F238E27FC236}">
              <a16:creationId xmlns:a16="http://schemas.microsoft.com/office/drawing/2014/main" id="{1786AF39-5A96-ACB2-59F7-A6BC1D9F4119}"/>
            </a:ext>
          </a:extLst>
        </xdr:cNvPr>
        <xdr:cNvPicPr>
          <a:picLocks noChangeAspect="1"/>
        </xdr:cNvPicPr>
      </xdr:nvPicPr>
      <xdr:blipFill>
        <a:blip xmlns:r="http://schemas.openxmlformats.org/officeDocument/2006/relationships" r:embed="rId1"/>
        <a:stretch>
          <a:fillRect/>
        </a:stretch>
      </xdr:blipFill>
      <xdr:spPr>
        <a:xfrm>
          <a:off x="11940540" y="14516100"/>
          <a:ext cx="9304762" cy="4428571"/>
        </a:xfrm>
        <a:prstGeom prst="rect">
          <a:avLst/>
        </a:prstGeom>
      </xdr:spPr>
    </xdr:pic>
    <xdr:clientData/>
  </xdr:twoCellAnchor>
  <xdr:twoCellAnchor editAs="oneCell">
    <xdr:from>
      <xdr:col>11</xdr:col>
      <xdr:colOff>0</xdr:colOff>
      <xdr:row>105</xdr:row>
      <xdr:rowOff>0</xdr:rowOff>
    </xdr:from>
    <xdr:to>
      <xdr:col>22</xdr:col>
      <xdr:colOff>153672</xdr:colOff>
      <xdr:row>141</xdr:row>
      <xdr:rowOff>4116</xdr:rowOff>
    </xdr:to>
    <xdr:pic>
      <xdr:nvPicPr>
        <xdr:cNvPr id="3" name="Image 2">
          <a:extLst>
            <a:ext uri="{FF2B5EF4-FFF2-40B4-BE49-F238E27FC236}">
              <a16:creationId xmlns:a16="http://schemas.microsoft.com/office/drawing/2014/main" id="{2D1D35A6-0D05-ABED-61FB-CFD35995C51E}"/>
            </a:ext>
          </a:extLst>
        </xdr:cNvPr>
        <xdr:cNvPicPr>
          <a:picLocks noChangeAspect="1"/>
        </xdr:cNvPicPr>
      </xdr:nvPicPr>
      <xdr:blipFill>
        <a:blip xmlns:r="http://schemas.openxmlformats.org/officeDocument/2006/relationships" r:embed="rId2"/>
        <a:stretch>
          <a:fillRect/>
        </a:stretch>
      </xdr:blipFill>
      <xdr:spPr>
        <a:xfrm>
          <a:off x="11854543" y="19485429"/>
          <a:ext cx="11674852" cy="6675698"/>
        </a:xfrm>
        <a:prstGeom prst="rect">
          <a:avLst/>
        </a:prstGeom>
      </xdr:spPr>
    </xdr:pic>
    <xdr:clientData/>
  </xdr:twoCellAnchor>
  <xdr:twoCellAnchor editAs="oneCell">
    <xdr:from>
      <xdr:col>7</xdr:col>
      <xdr:colOff>448236</xdr:colOff>
      <xdr:row>116</xdr:row>
      <xdr:rowOff>62753</xdr:rowOff>
    </xdr:from>
    <xdr:to>
      <xdr:col>9</xdr:col>
      <xdr:colOff>684456</xdr:colOff>
      <xdr:row>123</xdr:row>
      <xdr:rowOff>7797</xdr:rowOff>
    </xdr:to>
    <xdr:pic>
      <xdr:nvPicPr>
        <xdr:cNvPr id="4" name="Picture 3">
          <a:extLst>
            <a:ext uri="{FF2B5EF4-FFF2-40B4-BE49-F238E27FC236}">
              <a16:creationId xmlns:a16="http://schemas.microsoft.com/office/drawing/2014/main" id="{35C991AE-E6EF-D795-C781-B70956F72402}"/>
            </a:ext>
          </a:extLst>
        </xdr:cNvPr>
        <xdr:cNvPicPr>
          <a:picLocks noChangeAspect="1"/>
        </xdr:cNvPicPr>
      </xdr:nvPicPr>
      <xdr:blipFill>
        <a:blip xmlns:r="http://schemas.openxmlformats.org/officeDocument/2006/relationships" r:embed="rId3"/>
        <a:stretch>
          <a:fillRect/>
        </a:stretch>
      </xdr:blipFill>
      <xdr:spPr>
        <a:xfrm>
          <a:off x="7646895" y="21820094"/>
          <a:ext cx="4448287" cy="1200103"/>
        </a:xfrm>
        <a:prstGeom prst="rect">
          <a:avLst/>
        </a:prstGeom>
      </xdr:spPr>
    </xdr:pic>
    <xdr:clientData/>
  </xdr:twoCellAnchor>
  <xdr:twoCellAnchor editAs="oneCell">
    <xdr:from>
      <xdr:col>9</xdr:col>
      <xdr:colOff>288471</xdr:colOff>
      <xdr:row>203</xdr:row>
      <xdr:rowOff>51707</xdr:rowOff>
    </xdr:from>
    <xdr:to>
      <xdr:col>22</xdr:col>
      <xdr:colOff>652407</xdr:colOff>
      <xdr:row>246</xdr:row>
      <xdr:rowOff>20934</xdr:rowOff>
    </xdr:to>
    <xdr:pic>
      <xdr:nvPicPr>
        <xdr:cNvPr id="5" name="Picture 4">
          <a:extLst>
            <a:ext uri="{FF2B5EF4-FFF2-40B4-BE49-F238E27FC236}">
              <a16:creationId xmlns:a16="http://schemas.microsoft.com/office/drawing/2014/main" id="{E658A430-ADC6-C8C0-3C68-75D8784C3288}"/>
            </a:ext>
          </a:extLst>
        </xdr:cNvPr>
        <xdr:cNvPicPr>
          <a:picLocks noChangeAspect="1"/>
        </xdr:cNvPicPr>
      </xdr:nvPicPr>
      <xdr:blipFill>
        <a:blip xmlns:r="http://schemas.openxmlformats.org/officeDocument/2006/relationships" r:embed="rId4"/>
        <a:stretch>
          <a:fillRect/>
        </a:stretch>
      </xdr:blipFill>
      <xdr:spPr>
        <a:xfrm>
          <a:off x="11696700" y="42810793"/>
          <a:ext cx="14053302" cy="7938407"/>
        </a:xfrm>
        <a:prstGeom prst="rect">
          <a:avLst/>
        </a:prstGeom>
      </xdr:spPr>
    </xdr:pic>
    <xdr:clientData/>
  </xdr:twoCellAnchor>
  <xdr:twoCellAnchor editAs="oneCell">
    <xdr:from>
      <xdr:col>9</xdr:col>
      <xdr:colOff>8284</xdr:colOff>
      <xdr:row>167</xdr:row>
      <xdr:rowOff>33130</xdr:rowOff>
    </xdr:from>
    <xdr:to>
      <xdr:col>11</xdr:col>
      <xdr:colOff>1029032</xdr:colOff>
      <xdr:row>175</xdr:row>
      <xdr:rowOff>39079</xdr:rowOff>
    </xdr:to>
    <xdr:pic>
      <xdr:nvPicPr>
        <xdr:cNvPr id="8" name="Picture 10">
          <a:extLst>
            <a:ext uri="{FF2B5EF4-FFF2-40B4-BE49-F238E27FC236}">
              <a16:creationId xmlns:a16="http://schemas.microsoft.com/office/drawing/2014/main" id="{2CA22B28-DA8B-604C-096C-063D62F42811}"/>
            </a:ext>
          </a:extLst>
        </xdr:cNvPr>
        <xdr:cNvPicPr>
          <a:picLocks noChangeAspect="1"/>
        </xdr:cNvPicPr>
      </xdr:nvPicPr>
      <xdr:blipFill>
        <a:blip xmlns:r="http://schemas.openxmlformats.org/officeDocument/2006/relationships" r:embed="rId5"/>
        <a:stretch>
          <a:fillRect/>
        </a:stretch>
      </xdr:blipFill>
      <xdr:spPr>
        <a:xfrm>
          <a:off x="11363741" y="34439087"/>
          <a:ext cx="3064564" cy="1492436"/>
        </a:xfrm>
        <a:prstGeom prst="rect">
          <a:avLst/>
        </a:prstGeom>
      </xdr:spPr>
    </xdr:pic>
    <xdr:clientData/>
  </xdr:twoCellAnchor>
  <xdr:twoCellAnchor editAs="oneCell">
    <xdr:from>
      <xdr:col>8</xdr:col>
      <xdr:colOff>919370</xdr:colOff>
      <xdr:row>169</xdr:row>
      <xdr:rowOff>173935</xdr:rowOff>
    </xdr:from>
    <xdr:to>
      <xdr:col>8</xdr:col>
      <xdr:colOff>2157793</xdr:colOff>
      <xdr:row>174</xdr:row>
      <xdr:rowOff>124234</xdr:rowOff>
    </xdr:to>
    <xdr:pic>
      <xdr:nvPicPr>
        <xdr:cNvPr id="9" name="Picture 11">
          <a:extLst>
            <a:ext uri="{FF2B5EF4-FFF2-40B4-BE49-F238E27FC236}">
              <a16:creationId xmlns:a16="http://schemas.microsoft.com/office/drawing/2014/main" id="{BE913217-E465-8376-B76E-00BFA3D57E76}"/>
            </a:ext>
          </a:extLst>
        </xdr:cNvPr>
        <xdr:cNvPicPr>
          <a:picLocks noChangeAspect="1"/>
        </xdr:cNvPicPr>
      </xdr:nvPicPr>
      <xdr:blipFill>
        <a:blip xmlns:r="http://schemas.openxmlformats.org/officeDocument/2006/relationships" r:embed="rId6"/>
        <a:stretch>
          <a:fillRect/>
        </a:stretch>
      </xdr:blipFill>
      <xdr:spPr>
        <a:xfrm>
          <a:off x="8994913" y="34960892"/>
          <a:ext cx="1238423" cy="876422"/>
        </a:xfrm>
        <a:prstGeom prst="rect">
          <a:avLst/>
        </a:prstGeom>
      </xdr:spPr>
    </xdr:pic>
    <xdr:clientData/>
  </xdr:twoCellAnchor>
  <xdr:twoCellAnchor editAs="oneCell">
    <xdr:from>
      <xdr:col>9</xdr:col>
      <xdr:colOff>16566</xdr:colOff>
      <xdr:row>177</xdr:row>
      <xdr:rowOff>16566</xdr:rowOff>
    </xdr:from>
    <xdr:to>
      <xdr:col>11</xdr:col>
      <xdr:colOff>838532</xdr:colOff>
      <xdr:row>182</xdr:row>
      <xdr:rowOff>41790</xdr:rowOff>
    </xdr:to>
    <xdr:pic>
      <xdr:nvPicPr>
        <xdr:cNvPr id="14" name="Picture 12">
          <a:extLst>
            <a:ext uri="{FF2B5EF4-FFF2-40B4-BE49-F238E27FC236}">
              <a16:creationId xmlns:a16="http://schemas.microsoft.com/office/drawing/2014/main" id="{8752760F-4B71-BF74-4469-6528313AF828}"/>
            </a:ext>
          </a:extLst>
        </xdr:cNvPr>
        <xdr:cNvPicPr>
          <a:picLocks noChangeAspect="1"/>
        </xdr:cNvPicPr>
      </xdr:nvPicPr>
      <xdr:blipFill>
        <a:blip xmlns:r="http://schemas.openxmlformats.org/officeDocument/2006/relationships" r:embed="rId7"/>
        <a:stretch>
          <a:fillRect/>
        </a:stretch>
      </xdr:blipFill>
      <xdr:spPr>
        <a:xfrm>
          <a:off x="11372023" y="36327523"/>
          <a:ext cx="2865782" cy="951345"/>
        </a:xfrm>
        <a:prstGeom prst="rect">
          <a:avLst/>
        </a:prstGeom>
      </xdr:spPr>
    </xdr:pic>
    <xdr:clientData/>
  </xdr:twoCellAnchor>
  <xdr:twoCellAnchor editAs="oneCell">
    <xdr:from>
      <xdr:col>8</xdr:col>
      <xdr:colOff>621196</xdr:colOff>
      <xdr:row>177</xdr:row>
      <xdr:rowOff>8283</xdr:rowOff>
    </xdr:from>
    <xdr:to>
      <xdr:col>8</xdr:col>
      <xdr:colOff>2516936</xdr:colOff>
      <xdr:row>181</xdr:row>
      <xdr:rowOff>184179</xdr:rowOff>
    </xdr:to>
    <xdr:pic>
      <xdr:nvPicPr>
        <xdr:cNvPr id="16" name="Picture 13">
          <a:extLst>
            <a:ext uri="{FF2B5EF4-FFF2-40B4-BE49-F238E27FC236}">
              <a16:creationId xmlns:a16="http://schemas.microsoft.com/office/drawing/2014/main" id="{F7073697-58B6-46EE-3386-2FBBA2081FFB}"/>
            </a:ext>
          </a:extLst>
        </xdr:cNvPr>
        <xdr:cNvPicPr>
          <a:picLocks noChangeAspect="1"/>
        </xdr:cNvPicPr>
      </xdr:nvPicPr>
      <xdr:blipFill>
        <a:blip xmlns:r="http://schemas.openxmlformats.org/officeDocument/2006/relationships" r:embed="rId8"/>
        <a:stretch>
          <a:fillRect/>
        </a:stretch>
      </xdr:blipFill>
      <xdr:spPr>
        <a:xfrm>
          <a:off x="8696739" y="36319240"/>
          <a:ext cx="1895740" cy="905001"/>
        </a:xfrm>
        <a:prstGeom prst="rect">
          <a:avLst/>
        </a:prstGeom>
      </xdr:spPr>
    </xdr:pic>
    <xdr:clientData/>
  </xdr:twoCellAnchor>
  <xdr:twoCellAnchor editAs="oneCell">
    <xdr:from>
      <xdr:col>9</xdr:col>
      <xdr:colOff>16564</xdr:colOff>
      <xdr:row>184</xdr:row>
      <xdr:rowOff>0</xdr:rowOff>
    </xdr:from>
    <xdr:to>
      <xdr:col>12</xdr:col>
      <xdr:colOff>480302</xdr:colOff>
      <xdr:row>189</xdr:row>
      <xdr:rowOff>28707</xdr:rowOff>
    </xdr:to>
    <xdr:pic>
      <xdr:nvPicPr>
        <xdr:cNvPr id="18" name="Picture 14">
          <a:extLst>
            <a:ext uri="{FF2B5EF4-FFF2-40B4-BE49-F238E27FC236}">
              <a16:creationId xmlns:a16="http://schemas.microsoft.com/office/drawing/2014/main" id="{3990080E-E199-02E5-140A-ECAB6FFCCC21}"/>
            </a:ext>
          </a:extLst>
        </xdr:cNvPr>
        <xdr:cNvPicPr>
          <a:picLocks noChangeAspect="1"/>
        </xdr:cNvPicPr>
      </xdr:nvPicPr>
      <xdr:blipFill>
        <a:blip xmlns:r="http://schemas.openxmlformats.org/officeDocument/2006/relationships" r:embed="rId9"/>
        <a:stretch>
          <a:fillRect/>
        </a:stretch>
      </xdr:blipFill>
      <xdr:spPr>
        <a:xfrm>
          <a:off x="11372021" y="37644457"/>
          <a:ext cx="4115374" cy="943107"/>
        </a:xfrm>
        <a:prstGeom prst="rect">
          <a:avLst/>
        </a:prstGeom>
      </xdr:spPr>
    </xdr:pic>
    <xdr:clientData/>
  </xdr:twoCellAnchor>
  <xdr:twoCellAnchor editAs="oneCell">
    <xdr:from>
      <xdr:col>8</xdr:col>
      <xdr:colOff>694675</xdr:colOff>
      <xdr:row>184</xdr:row>
      <xdr:rowOff>16565</xdr:rowOff>
    </xdr:from>
    <xdr:to>
      <xdr:col>8</xdr:col>
      <xdr:colOff>2384810</xdr:colOff>
      <xdr:row>189</xdr:row>
      <xdr:rowOff>38100</xdr:rowOff>
    </xdr:to>
    <xdr:pic>
      <xdr:nvPicPr>
        <xdr:cNvPr id="21" name="Picture 15">
          <a:extLst>
            <a:ext uri="{FF2B5EF4-FFF2-40B4-BE49-F238E27FC236}">
              <a16:creationId xmlns:a16="http://schemas.microsoft.com/office/drawing/2014/main" id="{DC208452-8850-C821-5F1F-4D5043EBEB03}"/>
            </a:ext>
          </a:extLst>
        </xdr:cNvPr>
        <xdr:cNvPicPr>
          <a:picLocks noChangeAspect="1"/>
        </xdr:cNvPicPr>
      </xdr:nvPicPr>
      <xdr:blipFill>
        <a:blip xmlns:r="http://schemas.openxmlformats.org/officeDocument/2006/relationships" r:embed="rId10"/>
        <a:stretch>
          <a:fillRect/>
        </a:stretch>
      </xdr:blipFill>
      <xdr:spPr>
        <a:xfrm>
          <a:off x="8770218" y="37661022"/>
          <a:ext cx="1690135" cy="935935"/>
        </a:xfrm>
        <a:prstGeom prst="rect">
          <a:avLst/>
        </a:prstGeom>
      </xdr:spPr>
    </xdr:pic>
    <xdr:clientData/>
  </xdr:twoCellAnchor>
  <xdr:twoCellAnchor editAs="oneCell">
    <xdr:from>
      <xdr:col>8</xdr:col>
      <xdr:colOff>712304</xdr:colOff>
      <xdr:row>194</xdr:row>
      <xdr:rowOff>33131</xdr:rowOff>
    </xdr:from>
    <xdr:to>
      <xdr:col>8</xdr:col>
      <xdr:colOff>2493728</xdr:colOff>
      <xdr:row>196</xdr:row>
      <xdr:rowOff>48425</xdr:rowOff>
    </xdr:to>
    <xdr:pic>
      <xdr:nvPicPr>
        <xdr:cNvPr id="23" name="Picture 16">
          <a:extLst>
            <a:ext uri="{FF2B5EF4-FFF2-40B4-BE49-F238E27FC236}">
              <a16:creationId xmlns:a16="http://schemas.microsoft.com/office/drawing/2014/main" id="{E748D0F0-432C-A102-B150-616E40B5263F}"/>
            </a:ext>
          </a:extLst>
        </xdr:cNvPr>
        <xdr:cNvPicPr>
          <a:picLocks noChangeAspect="1"/>
        </xdr:cNvPicPr>
      </xdr:nvPicPr>
      <xdr:blipFill>
        <a:blip xmlns:r="http://schemas.openxmlformats.org/officeDocument/2006/relationships" r:embed="rId11"/>
        <a:stretch>
          <a:fillRect/>
        </a:stretch>
      </xdr:blipFill>
      <xdr:spPr>
        <a:xfrm>
          <a:off x="8787847" y="39582588"/>
          <a:ext cx="1781424" cy="381053"/>
        </a:xfrm>
        <a:prstGeom prst="rect">
          <a:avLst/>
        </a:prstGeom>
      </xdr:spPr>
    </xdr:pic>
    <xdr:clientData/>
  </xdr:twoCellAnchor>
  <xdr:twoCellAnchor editAs="oneCell">
    <xdr:from>
      <xdr:col>15</xdr:col>
      <xdr:colOff>472440</xdr:colOff>
      <xdr:row>261</xdr:row>
      <xdr:rowOff>15240</xdr:rowOff>
    </xdr:from>
    <xdr:to>
      <xdr:col>28</xdr:col>
      <xdr:colOff>487680</xdr:colOff>
      <xdr:row>292</xdr:row>
      <xdr:rowOff>15240</xdr:rowOff>
    </xdr:to>
    <xdr:pic>
      <xdr:nvPicPr>
        <xdr:cNvPr id="6" name="Picture 5">
          <a:extLst>
            <a:ext uri="{FF2B5EF4-FFF2-40B4-BE49-F238E27FC236}">
              <a16:creationId xmlns:a16="http://schemas.microsoft.com/office/drawing/2014/main" id="{4747621C-56C6-5FEF-C862-C3551F225BA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478897" y="49534354"/>
          <a:ext cx="10258697" cy="4659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715126</xdr:colOff>
      <xdr:row>263</xdr:row>
      <xdr:rowOff>71590</xdr:rowOff>
    </xdr:from>
    <xdr:to>
      <xdr:col>29</xdr:col>
      <xdr:colOff>33680</xdr:colOff>
      <xdr:row>294</xdr:row>
      <xdr:rowOff>71590</xdr:rowOff>
    </xdr:to>
    <xdr:pic>
      <xdr:nvPicPr>
        <xdr:cNvPr id="7" name="Picture 5">
          <a:extLst>
            <a:ext uri="{FF2B5EF4-FFF2-40B4-BE49-F238E27FC236}">
              <a16:creationId xmlns:a16="http://schemas.microsoft.com/office/drawing/2014/main" id="{452FC72C-CFB7-95B7-A0B6-4619BE4436C7}"/>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721583" y="49960819"/>
          <a:ext cx="10258697" cy="46590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50543-0C90-473D-9951-684798F93831}" name="Tableau1" displayName="Tableau1" ref="I35:Q43" totalsRowShown="0" headerRowDxfId="19" dataDxfId="18" tableBorderDxfId="17">
  <autoFilter ref="I35:Q43" xr:uid="{3CF50543-0C90-473D-9951-684798F93831}"/>
  <tableColumns count="9">
    <tableColumn id="1" xr3:uid="{E7F91385-6A6D-4ACF-9D2A-5C9947E0D2A4}" name="Sources" dataDxfId="16"/>
    <tableColumn id="2" xr3:uid="{CD6E6743-0CC0-45C2-A18D-3F2A856507BA}" name="Montant ($)" dataDxfId="15"/>
    <tableColumn id="3" xr3:uid="{70C95379-6558-4A4C-8B69-67C995097572}" name="Pondération (%)" dataDxfId="14"/>
    <tableColumn id="4" xr3:uid="{118C73DA-B87F-45E5-B2CB-5235CA83E35D}" name="Column2" dataDxfId="13"/>
    <tableColumn id="7" xr3:uid="{04DE60AE-56D2-44A5-A31F-5D1A30D36674}" name="Coût avant Impôts (%)" dataDxfId="12">
      <calculatedColumnFormula>Tableau1[[#This Row],[Column2]]/$J$38</calculatedColumnFormula>
    </tableColumn>
    <tableColumn id="5" xr3:uid="{446D1B6A-8C8D-4588-9F1A-3D82B1204F7F}" name="Column1" dataDxfId="11"/>
    <tableColumn id="8" xr3:uid="{3C6710A7-9DA1-4467-8C1B-2039CF943812}" name="Coût après Impôts (%)" dataDxfId="10"/>
    <tableColumn id="9" xr3:uid="{166766C2-B928-4EF3-91CB-D6F722315A2B}" name="Coût Pondéré ($)" dataDxfId="9">
      <calculatedColumnFormula>Tableau1[[#This Row],[Column1]]*Tableau1[[#This Row],[Pondération (%)]]</calculatedColumnFormula>
    </tableColumn>
    <tableColumn id="6" xr3:uid="{328D602B-B43A-48AA-9BE9-2683F3F31852}" name="Pondéré (%)" dataDxfId="8">
      <calculatedColumnFormula>Tableau1[[#This Row],[Coût Pondéré ($)]]/$J$38</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34144-8E50-45A3-AC5A-DD0852E70866}" name="Table2" displayName="Table2" ref="I152:N160" totalsRowShown="0" headerRowDxfId="7" tableBorderDxfId="6">
  <autoFilter ref="I152:N160" xr:uid="{35234144-8E50-45A3-AC5A-DD0852E70866}"/>
  <tableColumns count="6">
    <tableColumn id="1" xr3:uid="{18706475-8937-438A-AF47-CCABF2139B8B}" name="Sources"/>
    <tableColumn id="2" xr3:uid="{3EBB9BF6-E80D-4F1A-B102-82628B691527}" name="Montant ($)"/>
    <tableColumn id="3" xr3:uid="{39BBE096-077C-450D-90A1-B879F2EE377F}" name="Pondération (%)"/>
    <tableColumn id="4" xr3:uid="{E2A67B61-B5DC-41F6-A6AC-36B1BE588DD7}" name="Cout avant impots" dataDxfId="5"/>
    <tableColumn id="5" xr3:uid="{BC3D66ED-9FBC-4074-8196-82A2D019867E}" name="Cout après" dataDxfId="4">
      <calculatedColumnFormula>ROUND(L153*(1-$J$78),5)</calculatedColumnFormula>
    </tableColumn>
    <tableColumn id="6" xr3:uid="{011F37F1-B6DE-4452-B7C1-1CEE3AC8542C}" name="Pondéré" dataDxfId="3"/>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o-YBDTqX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sheetPr>
    <tabColor rgb="FFFFC000"/>
  </sheetPr>
  <dimension ref="A1:Y68"/>
  <sheetViews>
    <sheetView topLeftCell="D3" workbookViewId="0">
      <selection activeCell="H5" sqref="H5"/>
    </sheetView>
  </sheetViews>
  <sheetFormatPr baseColWidth="10" defaultColWidth="11.44140625" defaultRowHeight="14.4" x14ac:dyDescent="0.3"/>
  <cols>
    <col min="1" max="1" width="19.44140625" bestFit="1" customWidth="1"/>
    <col min="2" max="2" width="14.88671875" style="5" bestFit="1" customWidth="1"/>
    <col min="3" max="3" width="2.88671875" customWidth="1"/>
    <col min="4" max="4" width="27" bestFit="1" customWidth="1"/>
    <col min="5" max="5" width="15.109375" style="5" bestFit="1" customWidth="1"/>
    <col min="7" max="7" width="20.88671875" bestFit="1" customWidth="1"/>
    <col min="8" max="8" width="15" bestFit="1" customWidth="1"/>
    <col min="9" max="9" width="2.88671875" customWidth="1"/>
    <col min="10" max="10" width="27.44140625" bestFit="1" customWidth="1"/>
    <col min="11" max="12" width="15" bestFit="1" customWidth="1"/>
    <col min="13" max="13" width="39.6640625" bestFit="1" customWidth="1"/>
    <col min="15" max="15" width="3" customWidth="1"/>
    <col min="16" max="16" width="3.33203125" customWidth="1"/>
    <col min="17" max="17" width="15" style="5" bestFit="1" customWidth="1"/>
    <col min="18" max="18" width="24" customWidth="1"/>
    <col min="19" max="19" width="14.88671875" customWidth="1"/>
    <col min="21" max="21" width="48.109375" customWidth="1"/>
  </cols>
  <sheetData>
    <row r="1" spans="1:25" ht="15" customHeight="1" x14ac:dyDescent="0.6">
      <c r="B1" s="445" t="s">
        <v>0</v>
      </c>
      <c r="C1" s="445"/>
      <c r="D1" s="445"/>
      <c r="E1" s="445"/>
      <c r="F1" s="445"/>
      <c r="G1" s="445"/>
      <c r="H1" s="445"/>
      <c r="I1" s="445"/>
      <c r="J1" s="445"/>
      <c r="P1" s="208"/>
      <c r="Q1" s="321"/>
      <c r="R1" s="208"/>
      <c r="S1" s="208"/>
      <c r="T1" s="208"/>
    </row>
    <row r="2" spans="1:25" ht="27.75" customHeight="1" x14ac:dyDescent="0.6">
      <c r="B2" s="445"/>
      <c r="C2" s="445"/>
      <c r="D2" s="445"/>
      <c r="E2" s="445"/>
      <c r="F2" s="445"/>
      <c r="G2" s="445"/>
      <c r="H2" s="445"/>
      <c r="I2" s="445"/>
      <c r="J2" s="445"/>
      <c r="P2" s="208"/>
      <c r="Q2" s="321"/>
      <c r="R2" s="208"/>
      <c r="S2" s="208"/>
      <c r="T2" s="208"/>
    </row>
    <row r="3" spans="1:25" x14ac:dyDescent="0.3">
      <c r="C3" s="5"/>
      <c r="D3" s="5"/>
    </row>
    <row r="4" spans="1:25" ht="27" customHeight="1" x14ac:dyDescent="0.45">
      <c r="A4" s="94"/>
      <c r="B4" s="444" t="s">
        <v>1</v>
      </c>
      <c r="C4" s="444"/>
      <c r="D4" s="444"/>
      <c r="E4" s="95"/>
      <c r="G4" s="94"/>
      <c r="H4" s="444" t="s">
        <v>2</v>
      </c>
      <c r="I4" s="444"/>
      <c r="J4" s="444"/>
      <c r="K4" s="96"/>
      <c r="M4" s="447" t="str">
        <f>UPPER("État des flux de trésoreries 2014")</f>
        <v>ÉTAT DES FLUX DE TRÉSORERIES 2014</v>
      </c>
      <c r="N4" s="448"/>
      <c r="O4" s="448"/>
      <c r="P4" s="448"/>
      <c r="Q4" s="449"/>
      <c r="R4" s="111"/>
      <c r="S4" s="111"/>
      <c r="U4" s="446"/>
      <c r="V4" s="446"/>
      <c r="W4" s="111"/>
      <c r="X4" s="111"/>
      <c r="Y4" s="111"/>
    </row>
    <row r="5" spans="1:25" ht="16.2" x14ac:dyDescent="0.45">
      <c r="A5" s="82" t="s">
        <v>3</v>
      </c>
      <c r="D5" s="7" t="s">
        <v>4</v>
      </c>
      <c r="E5" s="83"/>
      <c r="G5" s="82" t="s">
        <v>3</v>
      </c>
      <c r="H5" s="5"/>
      <c r="J5" s="7" t="s">
        <v>4</v>
      </c>
      <c r="K5" s="366">
        <f>SUM(K6,K11)</f>
        <v>15967850</v>
      </c>
      <c r="M5" s="323"/>
      <c r="N5" s="324"/>
      <c r="O5" s="324"/>
      <c r="P5" s="324"/>
      <c r="Q5" s="325"/>
      <c r="R5" s="7"/>
      <c r="S5" s="5"/>
      <c r="V5" s="78"/>
    </row>
    <row r="6" spans="1:25" x14ac:dyDescent="0.3">
      <c r="A6" s="84" t="s">
        <v>5</v>
      </c>
      <c r="B6" s="85"/>
      <c r="D6" s="6" t="s">
        <v>6</v>
      </c>
      <c r="E6" s="86"/>
      <c r="G6" s="84" t="s">
        <v>5</v>
      </c>
      <c r="H6" s="85"/>
      <c r="J6" s="6" t="s">
        <v>6</v>
      </c>
      <c r="K6" s="86">
        <f>SUM(K7:K10)</f>
        <v>8789850</v>
      </c>
      <c r="M6" s="84" t="s">
        <v>62</v>
      </c>
      <c r="Q6" s="322"/>
      <c r="R6" s="6"/>
      <c r="S6" s="85"/>
      <c r="V6" s="78"/>
    </row>
    <row r="7" spans="1:25" x14ac:dyDescent="0.3">
      <c r="A7" s="87" t="s">
        <v>7</v>
      </c>
      <c r="B7" s="5">
        <v>1510000</v>
      </c>
      <c r="D7" t="s">
        <v>8</v>
      </c>
      <c r="E7" s="83">
        <v>1269000</v>
      </c>
      <c r="G7" s="87" t="s">
        <v>7</v>
      </c>
      <c r="H7" s="5">
        <f>Q38</f>
        <v>5643050</v>
      </c>
      <c r="J7" t="s">
        <v>8</v>
      </c>
      <c r="K7" s="83">
        <f>E7</f>
        <v>1269000</v>
      </c>
      <c r="M7" s="173" t="s">
        <v>64</v>
      </c>
      <c r="Q7" s="175"/>
      <c r="S7" s="5"/>
      <c r="V7" s="78"/>
    </row>
    <row r="8" spans="1:25" x14ac:dyDescent="0.3">
      <c r="A8" s="87" t="s">
        <v>9</v>
      </c>
      <c r="B8" s="5">
        <v>3682000</v>
      </c>
      <c r="D8" t="s">
        <v>10</v>
      </c>
      <c r="E8" s="83">
        <v>2342000</v>
      </c>
      <c r="G8" s="87" t="s">
        <v>9</v>
      </c>
      <c r="H8" s="5">
        <f>B8 + E58</f>
        <v>4000000</v>
      </c>
      <c r="J8" t="s">
        <v>10</v>
      </c>
      <c r="K8" s="83">
        <f>E8 + E57</f>
        <v>2390050</v>
      </c>
      <c r="M8" s="87" t="s">
        <v>66</v>
      </c>
      <c r="Q8" s="175">
        <f>K39</f>
        <v>5950200</v>
      </c>
      <c r="S8" s="5"/>
      <c r="V8" s="78"/>
    </row>
    <row r="9" spans="1:25" x14ac:dyDescent="0.3">
      <c r="A9" s="87" t="s">
        <v>11</v>
      </c>
      <c r="B9" s="5">
        <v>3274000</v>
      </c>
      <c r="D9" t="s">
        <v>12</v>
      </c>
      <c r="E9" s="83">
        <v>1321000</v>
      </c>
      <c r="G9" s="87" t="s">
        <v>11</v>
      </c>
      <c r="H9" s="5">
        <f>E55</f>
        <v>4786000</v>
      </c>
      <c r="J9" t="s">
        <v>12</v>
      </c>
      <c r="K9" s="160">
        <f>K37</f>
        <v>3966800</v>
      </c>
      <c r="M9" s="87" t="s">
        <v>68</v>
      </c>
      <c r="Q9" s="175">
        <f>E28+E29</f>
        <v>2240000</v>
      </c>
      <c r="S9" s="5"/>
      <c r="V9" s="78"/>
    </row>
    <row r="10" spans="1:25" x14ac:dyDescent="0.3">
      <c r="A10" s="87" t="s">
        <v>13</v>
      </c>
      <c r="B10" s="5">
        <v>183000</v>
      </c>
      <c r="E10" s="83"/>
      <c r="G10" s="87" t="s">
        <v>13</v>
      </c>
      <c r="H10" s="5">
        <f>B10</f>
        <v>183000</v>
      </c>
      <c r="J10" t="s">
        <v>464</v>
      </c>
      <c r="K10" s="83">
        <f>E31</f>
        <v>1164000</v>
      </c>
      <c r="M10" s="87" t="s">
        <v>69</v>
      </c>
      <c r="Q10" s="175">
        <f>E57</f>
        <v>48050</v>
      </c>
      <c r="S10" s="5"/>
      <c r="V10" s="78"/>
    </row>
    <row r="11" spans="1:25" x14ac:dyDescent="0.3">
      <c r="A11" s="87"/>
      <c r="D11" s="6" t="s">
        <v>14</v>
      </c>
      <c r="E11" s="86"/>
      <c r="G11" s="87"/>
      <c r="H11" s="5"/>
      <c r="J11" s="6" t="s">
        <v>14</v>
      </c>
      <c r="K11" s="86">
        <f>SUM(K12)</f>
        <v>7178000</v>
      </c>
      <c r="M11" s="87" t="s">
        <v>458</v>
      </c>
      <c r="Q11" s="83">
        <f>K9 - E9</f>
        <v>2645800</v>
      </c>
      <c r="S11" s="85"/>
      <c r="V11" s="78"/>
    </row>
    <row r="12" spans="1:25" x14ac:dyDescent="0.3">
      <c r="A12" s="84" t="s">
        <v>15</v>
      </c>
      <c r="B12" s="85"/>
      <c r="D12" t="s">
        <v>16</v>
      </c>
      <c r="E12" s="83">
        <v>9648000</v>
      </c>
      <c r="G12" s="84" t="s">
        <v>15</v>
      </c>
      <c r="H12" s="85"/>
      <c r="J12" t="s">
        <v>16</v>
      </c>
      <c r="K12" s="83">
        <f>E12 - E51</f>
        <v>7178000</v>
      </c>
      <c r="M12" s="87" t="s">
        <v>459</v>
      </c>
      <c r="Q12" s="83">
        <f>E31</f>
        <v>1164000</v>
      </c>
      <c r="R12" s="6"/>
      <c r="S12" s="5"/>
      <c r="U12" s="6"/>
      <c r="V12" s="78"/>
    </row>
    <row r="13" spans="1:25" x14ac:dyDescent="0.3">
      <c r="A13" s="87" t="s">
        <v>17</v>
      </c>
      <c r="B13" s="5">
        <v>11553000</v>
      </c>
      <c r="E13" s="83"/>
      <c r="G13" s="87" t="s">
        <v>17</v>
      </c>
      <c r="H13" s="5">
        <f>B13 + E45</f>
        <v>13998000</v>
      </c>
      <c r="K13" s="83"/>
      <c r="M13" s="87"/>
      <c r="Q13" s="83"/>
      <c r="S13" s="5"/>
      <c r="V13" s="78"/>
    </row>
    <row r="14" spans="1:25" x14ac:dyDescent="0.3">
      <c r="A14" s="87" t="s">
        <v>18</v>
      </c>
      <c r="B14" s="5">
        <v>3896000</v>
      </c>
      <c r="D14" s="7" t="s">
        <v>19</v>
      </c>
      <c r="E14" s="83"/>
      <c r="G14" s="87" t="s">
        <v>18</v>
      </c>
      <c r="H14" s="5">
        <f>B14+E46</f>
        <v>5096000</v>
      </c>
      <c r="J14" s="7" t="s">
        <v>19</v>
      </c>
      <c r="K14" s="86">
        <f>SUM(K15:K16)</f>
        <v>17823200</v>
      </c>
      <c r="M14" s="174" t="s">
        <v>72</v>
      </c>
      <c r="N14" s="114"/>
      <c r="O14" s="114"/>
      <c r="P14" s="114"/>
      <c r="Q14" s="175"/>
      <c r="S14" s="5"/>
      <c r="V14" s="78"/>
    </row>
    <row r="15" spans="1:25" x14ac:dyDescent="0.3">
      <c r="A15" s="87" t="s">
        <v>20</v>
      </c>
      <c r="B15" s="5">
        <v>2325000</v>
      </c>
      <c r="D15" t="s">
        <v>21</v>
      </c>
      <c r="E15" s="83">
        <v>4090000</v>
      </c>
      <c r="G15" s="87" t="s">
        <v>20</v>
      </c>
      <c r="H15" s="5">
        <f>+B15</f>
        <v>2325000</v>
      </c>
      <c r="J15" t="s">
        <v>21</v>
      </c>
      <c r="K15" s="83">
        <f>E15 + E49 - E50</f>
        <v>4120000</v>
      </c>
      <c r="M15" s="87" t="s">
        <v>74</v>
      </c>
      <c r="Q15" s="175">
        <f>E58</f>
        <v>318000</v>
      </c>
      <c r="S15" s="5"/>
      <c r="V15" s="78"/>
    </row>
    <row r="16" spans="1:25" x14ac:dyDescent="0.3">
      <c r="A16" s="87"/>
      <c r="D16" t="s">
        <v>22</v>
      </c>
      <c r="E16" s="83">
        <v>7753000</v>
      </c>
      <c r="G16" s="87" t="s">
        <v>463</v>
      </c>
      <c r="H16" s="5">
        <f>-Q9</f>
        <v>-2240000</v>
      </c>
      <c r="J16" t="s">
        <v>22</v>
      </c>
      <c r="K16" s="83">
        <f>E16 + K39</f>
        <v>13703200</v>
      </c>
      <c r="M16" s="87" t="s">
        <v>76</v>
      </c>
      <c r="Q16" s="175">
        <f>E55 - B9</f>
        <v>1512000</v>
      </c>
      <c r="S16" s="5"/>
      <c r="V16" s="78"/>
    </row>
    <row r="17" spans="1:22" x14ac:dyDescent="0.3">
      <c r="A17" s="87"/>
      <c r="E17" s="83"/>
      <c r="G17" s="87"/>
      <c r="H17" s="5"/>
      <c r="K17" s="83"/>
      <c r="M17" s="87"/>
      <c r="Q17" s="175"/>
      <c r="S17" s="5"/>
      <c r="V17" s="78"/>
    </row>
    <row r="18" spans="1:22" x14ac:dyDescent="0.3">
      <c r="A18" s="88" t="s">
        <v>23</v>
      </c>
      <c r="B18" s="89">
        <f>SUM(B7:B15)</f>
        <v>26423000</v>
      </c>
      <c r="C18" s="54"/>
      <c r="D18" s="90" t="s">
        <v>24</v>
      </c>
      <c r="E18" s="91">
        <f>SUM(E7:E16)</f>
        <v>26423000</v>
      </c>
      <c r="G18" s="88" t="s">
        <v>23</v>
      </c>
      <c r="H18" s="89">
        <f>SUM(H7:H16)</f>
        <v>33791050</v>
      </c>
      <c r="I18" s="54"/>
      <c r="J18" s="90" t="s">
        <v>24</v>
      </c>
      <c r="K18" s="91">
        <f>SUM(K5, K14)</f>
        <v>33791050</v>
      </c>
      <c r="L18" s="288">
        <f>H18 - K18</f>
        <v>0</v>
      </c>
      <c r="M18" s="109"/>
      <c r="N18" s="114"/>
      <c r="O18" s="114"/>
      <c r="P18" s="114"/>
      <c r="Q18" s="175"/>
      <c r="S18" s="85"/>
      <c r="U18" s="7"/>
      <c r="V18" s="78"/>
    </row>
    <row r="19" spans="1:22" ht="28.8" x14ac:dyDescent="0.3">
      <c r="L19" s="5"/>
      <c r="M19" s="320" t="s">
        <v>79</v>
      </c>
      <c r="N19" s="326"/>
      <c r="O19" s="326"/>
      <c r="P19" s="326"/>
      <c r="Q19" s="175">
        <f>SUM(Q8:Q12) - SUM(Q15:Q16)</f>
        <v>10218050</v>
      </c>
      <c r="R19" s="7"/>
      <c r="S19" s="5"/>
      <c r="V19" s="78"/>
    </row>
    <row r="20" spans="1:22" x14ac:dyDescent="0.3">
      <c r="M20" s="109"/>
      <c r="N20" s="114"/>
      <c r="O20" s="114"/>
      <c r="P20" s="114"/>
      <c r="Q20" s="175"/>
      <c r="S20" s="78"/>
    </row>
    <row r="21" spans="1:22" x14ac:dyDescent="0.3">
      <c r="M21" s="161" t="s">
        <v>82</v>
      </c>
      <c r="N21" s="114"/>
      <c r="O21" s="114"/>
      <c r="P21" s="114"/>
      <c r="Q21" s="175"/>
      <c r="S21" s="78"/>
    </row>
    <row r="22" spans="1:22" x14ac:dyDescent="0.3">
      <c r="M22" s="174" t="s">
        <v>64</v>
      </c>
      <c r="N22" s="114"/>
      <c r="O22" s="114"/>
      <c r="P22" s="114"/>
      <c r="Q22" s="175">
        <v>0</v>
      </c>
      <c r="S22" s="78"/>
    </row>
    <row r="23" spans="1:22" ht="23.4" x14ac:dyDescent="0.45">
      <c r="A23" s="94"/>
      <c r="B23" s="444" t="s">
        <v>25</v>
      </c>
      <c r="C23" s="444"/>
      <c r="D23" s="444"/>
      <c r="E23" s="95"/>
      <c r="G23" s="94"/>
      <c r="H23" s="444" t="s">
        <v>26</v>
      </c>
      <c r="I23" s="444"/>
      <c r="J23" s="444"/>
      <c r="K23" s="96"/>
      <c r="M23" s="174" t="s">
        <v>72</v>
      </c>
      <c r="N23" s="114"/>
      <c r="O23" s="114"/>
      <c r="P23" s="114"/>
      <c r="Q23" s="175">
        <f>E45 + E46</f>
        <v>3645000</v>
      </c>
      <c r="S23" s="78"/>
    </row>
    <row r="24" spans="1:22" x14ac:dyDescent="0.3">
      <c r="A24" s="82" t="s">
        <v>27</v>
      </c>
      <c r="E24" s="83"/>
      <c r="G24" s="450" t="s">
        <v>28</v>
      </c>
      <c r="H24" s="451"/>
      <c r="I24" s="451"/>
      <c r="J24" s="451"/>
      <c r="K24" s="172">
        <f>E25</f>
        <v>50840000</v>
      </c>
      <c r="M24" s="109"/>
      <c r="N24" s="114"/>
      <c r="O24" s="114"/>
      <c r="P24" s="114"/>
      <c r="Q24" s="175"/>
    </row>
    <row r="25" spans="1:22" ht="28.8" x14ac:dyDescent="0.3">
      <c r="A25" s="438" t="s">
        <v>29</v>
      </c>
      <c r="B25" s="439"/>
      <c r="C25" s="439"/>
      <c r="D25" s="439"/>
      <c r="E25" s="83">
        <v>50840000</v>
      </c>
      <c r="G25" s="87" t="s">
        <v>453</v>
      </c>
      <c r="K25" s="83">
        <f>E26 + E28 + E35+ + E37 + E39 + E40</f>
        <v>33043000</v>
      </c>
      <c r="M25" s="320" t="s">
        <v>83</v>
      </c>
      <c r="N25" s="326"/>
      <c r="O25" s="326"/>
      <c r="P25" s="326"/>
      <c r="Q25" s="175">
        <f>Q22 - Q23</f>
        <v>-3645000</v>
      </c>
      <c r="R25" s="78">
        <f>K26/H9</f>
        <v>6.5881738403677392</v>
      </c>
      <c r="T25" s="138" t="s">
        <v>31</v>
      </c>
    </row>
    <row r="26" spans="1:22" x14ac:dyDescent="0.3">
      <c r="A26" s="438" t="s">
        <v>32</v>
      </c>
      <c r="B26" s="439"/>
      <c r="C26" s="439"/>
      <c r="D26" s="439"/>
      <c r="E26" s="83">
        <v>2894000</v>
      </c>
      <c r="G26" s="438" t="s">
        <v>30</v>
      </c>
      <c r="H26" s="439"/>
      <c r="I26" s="439"/>
      <c r="J26" s="439"/>
      <c r="K26" s="160">
        <f>B9 + K25 - E55</f>
        <v>31531000</v>
      </c>
      <c r="M26" s="109"/>
      <c r="N26" s="114"/>
      <c r="O26" s="114"/>
      <c r="P26" s="114"/>
      <c r="Q26" s="175"/>
      <c r="R26" s="177">
        <f>(H9/K26)*365</f>
        <v>55.402302495956356</v>
      </c>
      <c r="T26" s="138" t="s">
        <v>33</v>
      </c>
    </row>
    <row r="27" spans="1:22" x14ac:dyDescent="0.3">
      <c r="A27" s="440" t="s">
        <v>34</v>
      </c>
      <c r="B27" s="441"/>
      <c r="C27" s="441"/>
      <c r="D27" s="441"/>
      <c r="E27" s="83"/>
      <c r="G27" s="438" t="s">
        <v>35</v>
      </c>
      <c r="H27" s="439"/>
      <c r="I27" s="439"/>
      <c r="J27" s="439"/>
      <c r="K27" s="160">
        <f>K24 - K26</f>
        <v>19309000</v>
      </c>
      <c r="M27" s="161" t="s">
        <v>84</v>
      </c>
      <c r="N27" s="114"/>
      <c r="O27" s="114"/>
      <c r="P27" s="114"/>
      <c r="Q27" s="175"/>
      <c r="R27">
        <f>E25/H18</f>
        <v>1.504540403450026</v>
      </c>
      <c r="T27" s="138" t="s">
        <v>36</v>
      </c>
    </row>
    <row r="28" spans="1:22" x14ac:dyDescent="0.3">
      <c r="A28" s="438" t="s">
        <v>37</v>
      </c>
      <c r="B28" s="439"/>
      <c r="C28" s="439"/>
      <c r="D28" s="439"/>
      <c r="E28" s="83">
        <v>2110000</v>
      </c>
      <c r="G28" s="109"/>
      <c r="H28" s="114"/>
      <c r="I28" s="114"/>
      <c r="J28" s="114"/>
      <c r="K28" s="160"/>
      <c r="M28" s="174" t="s">
        <v>64</v>
      </c>
      <c r="N28" s="114"/>
      <c r="O28" s="114"/>
      <c r="P28" s="114"/>
      <c r="Q28" s="175"/>
      <c r="T28" s="138"/>
    </row>
    <row r="29" spans="1:22" x14ac:dyDescent="0.3">
      <c r="A29" s="438" t="s">
        <v>38</v>
      </c>
      <c r="B29" s="439"/>
      <c r="C29" s="439"/>
      <c r="D29" s="439"/>
      <c r="E29" s="83">
        <v>130000</v>
      </c>
      <c r="G29" s="438" t="s">
        <v>39</v>
      </c>
      <c r="H29" s="439"/>
      <c r="I29" s="439"/>
      <c r="J29" s="439"/>
      <c r="K29" s="160">
        <f>E30 + E34 + E42 + E29</f>
        <v>4804000</v>
      </c>
      <c r="M29" s="87" t="s">
        <v>71</v>
      </c>
      <c r="Q29" s="175">
        <f>E49</f>
        <v>1710000</v>
      </c>
      <c r="T29" s="138"/>
    </row>
    <row r="30" spans="1:22" x14ac:dyDescent="0.3">
      <c r="A30" s="438" t="s">
        <v>40</v>
      </c>
      <c r="B30" s="439"/>
      <c r="C30" s="439"/>
      <c r="D30" s="439"/>
      <c r="E30" s="83">
        <v>687000</v>
      </c>
      <c r="G30" s="438" t="s">
        <v>41</v>
      </c>
      <c r="H30" s="439"/>
      <c r="I30" s="439"/>
      <c r="J30" s="439"/>
      <c r="K30" s="160">
        <f>E38+E41</f>
        <v>3424000</v>
      </c>
      <c r="M30" s="174" t="s">
        <v>72</v>
      </c>
      <c r="N30" s="114"/>
      <c r="O30" s="114"/>
      <c r="P30" s="114"/>
      <c r="Q30" s="175"/>
      <c r="R30">
        <f>K39/H18</f>
        <v>0.17608804698285493</v>
      </c>
      <c r="T30" s="138" t="s">
        <v>42</v>
      </c>
    </row>
    <row r="31" spans="1:22" x14ac:dyDescent="0.3">
      <c r="A31" s="438" t="s">
        <v>43</v>
      </c>
      <c r="B31" s="439"/>
      <c r="C31" s="439"/>
      <c r="D31" s="439"/>
      <c r="E31" s="83">
        <v>1164000</v>
      </c>
      <c r="G31" t="s">
        <v>457</v>
      </c>
      <c r="K31" s="78">
        <f>SUM(K29:K30)</f>
        <v>8228000</v>
      </c>
      <c r="M31" s="87" t="s">
        <v>85</v>
      </c>
      <c r="Q31" s="175">
        <f>E50 + E51</f>
        <v>4150000</v>
      </c>
      <c r="R31">
        <f>K39/(K15+K16)</f>
        <v>0.33384577404730914</v>
      </c>
      <c r="T31" s="138" t="s">
        <v>44</v>
      </c>
    </row>
    <row r="32" spans="1:22" x14ac:dyDescent="0.3">
      <c r="A32" s="440" t="s">
        <v>45</v>
      </c>
      <c r="B32" s="441"/>
      <c r="C32" s="441"/>
      <c r="D32" s="441"/>
      <c r="E32" s="83"/>
      <c r="M32" s="109"/>
      <c r="N32" s="114"/>
      <c r="O32" s="114"/>
      <c r="P32" s="114"/>
      <c r="Q32" s="175"/>
      <c r="R32">
        <f>K27/K24</f>
        <v>0.37979937057435093</v>
      </c>
      <c r="T32" s="138" t="s">
        <v>47</v>
      </c>
    </row>
    <row r="33" spans="1:20" ht="28.8" x14ac:dyDescent="0.3">
      <c r="A33" s="440" t="s">
        <v>48</v>
      </c>
      <c r="B33" s="441"/>
      <c r="C33" s="441"/>
      <c r="D33" s="441"/>
      <c r="E33" s="83"/>
      <c r="G33" s="438" t="s">
        <v>46</v>
      </c>
      <c r="H33" s="439"/>
      <c r="I33" s="439"/>
      <c r="J33" s="439"/>
      <c r="K33" s="160">
        <f>K27 - K31</f>
        <v>11081000</v>
      </c>
      <c r="M33" s="320" t="s">
        <v>86</v>
      </c>
      <c r="N33" s="326"/>
      <c r="O33" s="326"/>
      <c r="P33" s="326"/>
      <c r="Q33" s="175">
        <f>Q29 - Q31</f>
        <v>-2440000</v>
      </c>
      <c r="R33">
        <f>K33/K24</f>
        <v>0.21795830055074744</v>
      </c>
      <c r="T33" s="138" t="s">
        <v>49</v>
      </c>
    </row>
    <row r="34" spans="1:20" ht="15" thickBot="1" x14ac:dyDescent="0.35">
      <c r="A34" s="438" t="s">
        <v>50</v>
      </c>
      <c r="B34" s="439"/>
      <c r="C34" s="439"/>
      <c r="D34" s="439"/>
      <c r="E34" s="83">
        <v>1540000</v>
      </c>
      <c r="G34" s="109"/>
      <c r="H34" s="114"/>
      <c r="I34" s="114"/>
      <c r="J34" s="114"/>
      <c r="K34" s="160"/>
      <c r="M34" s="109"/>
      <c r="N34" s="114"/>
      <c r="O34" s="114"/>
      <c r="P34" s="114"/>
      <c r="Q34" s="175"/>
      <c r="R34">
        <f>K39/K24</f>
        <v>0.11703776553894571</v>
      </c>
      <c r="T34" s="139" t="s">
        <v>52</v>
      </c>
    </row>
    <row r="35" spans="1:20" x14ac:dyDescent="0.3">
      <c r="A35" s="438" t="s">
        <v>53</v>
      </c>
      <c r="B35" s="439"/>
      <c r="C35" s="439"/>
      <c r="D35" s="439"/>
      <c r="E35" s="83">
        <v>3842000</v>
      </c>
      <c r="G35" s="109" t="s">
        <v>51</v>
      </c>
      <c r="H35" s="114"/>
      <c r="I35" s="114"/>
      <c r="J35" s="114"/>
      <c r="K35" s="160">
        <f>K33 - E31</f>
        <v>9917000</v>
      </c>
      <c r="M35" s="87" t="s">
        <v>87</v>
      </c>
      <c r="Q35" s="175">
        <f>Q19 + Q25 + Q33</f>
        <v>4133050</v>
      </c>
    </row>
    <row r="36" spans="1:20" x14ac:dyDescent="0.3">
      <c r="A36" s="440" t="s">
        <v>34</v>
      </c>
      <c r="B36" s="441"/>
      <c r="C36" s="441"/>
      <c r="D36" s="441"/>
      <c r="E36" s="83"/>
      <c r="G36" s="109"/>
      <c r="H36" s="114"/>
      <c r="I36" s="114"/>
      <c r="J36" s="114"/>
      <c r="K36" s="160"/>
      <c r="M36" s="109"/>
      <c r="N36" s="114"/>
      <c r="O36" s="114"/>
      <c r="P36" s="114"/>
      <c r="Q36" s="175"/>
    </row>
    <row r="37" spans="1:20" x14ac:dyDescent="0.3">
      <c r="A37" s="438" t="s">
        <v>55</v>
      </c>
      <c r="B37" s="439"/>
      <c r="C37" s="439"/>
      <c r="D37" s="439"/>
      <c r="E37" s="83">
        <v>8968000</v>
      </c>
      <c r="G37" s="109" t="s">
        <v>54</v>
      </c>
      <c r="H37" s="114"/>
      <c r="I37" s="114"/>
      <c r="J37" s="114"/>
      <c r="K37" s="160">
        <f>K35 * E56</f>
        <v>3966800</v>
      </c>
      <c r="M37" s="87" t="s">
        <v>88</v>
      </c>
      <c r="Q37" s="175">
        <f>B7</f>
        <v>1510000</v>
      </c>
    </row>
    <row r="38" spans="1:20" x14ac:dyDescent="0.3">
      <c r="A38" s="438" t="s">
        <v>56</v>
      </c>
      <c r="B38" s="439"/>
      <c r="C38" s="439"/>
      <c r="D38" s="439"/>
      <c r="E38" s="83">
        <v>2148000</v>
      </c>
      <c r="G38" s="162"/>
      <c r="H38" s="114"/>
      <c r="I38" s="114"/>
      <c r="J38" s="114"/>
      <c r="K38" s="160"/>
      <c r="M38" s="319" t="s">
        <v>89</v>
      </c>
      <c r="N38" s="54"/>
      <c r="O38" s="54"/>
      <c r="P38" s="54"/>
      <c r="Q38" s="176">
        <f>Q37 + Q35</f>
        <v>5643050</v>
      </c>
    </row>
    <row r="39" spans="1:20" x14ac:dyDescent="0.3">
      <c r="A39" s="438" t="s">
        <v>58</v>
      </c>
      <c r="B39" s="439"/>
      <c r="C39" s="439"/>
      <c r="D39" s="439"/>
      <c r="E39" s="83">
        <v>2446000</v>
      </c>
      <c r="G39" s="315" t="s">
        <v>57</v>
      </c>
      <c r="H39" s="316"/>
      <c r="I39" s="316"/>
      <c r="J39" s="316"/>
      <c r="K39" s="76">
        <f>K35 - K37</f>
        <v>5950200</v>
      </c>
    </row>
    <row r="40" spans="1:20" x14ac:dyDescent="0.3">
      <c r="A40" s="438" t="s">
        <v>59</v>
      </c>
      <c r="B40" s="439"/>
      <c r="C40" s="439"/>
      <c r="D40" s="439"/>
      <c r="E40" s="83">
        <v>12783000</v>
      </c>
    </row>
    <row r="41" spans="1:20" x14ac:dyDescent="0.3">
      <c r="A41" s="438" t="s">
        <v>60</v>
      </c>
      <c r="B41" s="439"/>
      <c r="C41" s="439"/>
      <c r="D41" s="439"/>
      <c r="E41" s="83">
        <v>1276000</v>
      </c>
    </row>
    <row r="42" spans="1:20" x14ac:dyDescent="0.3">
      <c r="A42" s="438" t="s">
        <v>61</v>
      </c>
      <c r="B42" s="439"/>
      <c r="C42" s="439"/>
      <c r="D42" s="439"/>
      <c r="E42" s="83">
        <v>2447000</v>
      </c>
    </row>
    <row r="43" spans="1:20" x14ac:dyDescent="0.3">
      <c r="A43" s="87"/>
      <c r="E43" s="83"/>
    </row>
    <row r="44" spans="1:20" x14ac:dyDescent="0.3">
      <c r="A44" s="82" t="s">
        <v>63</v>
      </c>
      <c r="E44" s="83"/>
    </row>
    <row r="45" spans="1:20" x14ac:dyDescent="0.3">
      <c r="A45" s="438" t="s">
        <v>65</v>
      </c>
      <c r="B45" s="439"/>
      <c r="C45" s="439"/>
      <c r="D45" s="439"/>
      <c r="E45" s="83">
        <v>2445000</v>
      </c>
    </row>
    <row r="46" spans="1:20" x14ac:dyDescent="0.3">
      <c r="A46" s="438" t="s">
        <v>67</v>
      </c>
      <c r="B46" s="439"/>
      <c r="C46" s="439"/>
      <c r="D46" s="439"/>
      <c r="E46" s="83">
        <v>1200000</v>
      </c>
    </row>
    <row r="47" spans="1:20" x14ac:dyDescent="0.3">
      <c r="A47" s="87"/>
      <c r="E47" s="83"/>
    </row>
    <row r="48" spans="1:20" x14ac:dyDescent="0.3">
      <c r="A48" s="82" t="s">
        <v>70</v>
      </c>
      <c r="E48" s="83"/>
    </row>
    <row r="49" spans="1:5" x14ac:dyDescent="0.3">
      <c r="A49" s="438" t="s">
        <v>71</v>
      </c>
      <c r="B49" s="439"/>
      <c r="C49" s="439"/>
      <c r="D49" s="439"/>
      <c r="E49" s="83">
        <v>1710000</v>
      </c>
    </row>
    <row r="50" spans="1:5" x14ac:dyDescent="0.3">
      <c r="A50" s="438" t="s">
        <v>73</v>
      </c>
      <c r="B50" s="439"/>
      <c r="C50" s="439"/>
      <c r="D50" s="439"/>
      <c r="E50" s="83">
        <v>1680000</v>
      </c>
    </row>
    <row r="51" spans="1:5" x14ac:dyDescent="0.3">
      <c r="A51" s="438" t="s">
        <v>75</v>
      </c>
      <c r="B51" s="439"/>
      <c r="C51" s="439"/>
      <c r="D51" s="439"/>
      <c r="E51" s="83">
        <v>2470000</v>
      </c>
    </row>
    <row r="52" spans="1:5" x14ac:dyDescent="0.3">
      <c r="A52" s="87"/>
      <c r="E52" s="83"/>
    </row>
    <row r="53" spans="1:5" x14ac:dyDescent="0.3">
      <c r="A53" s="82" t="s">
        <v>77</v>
      </c>
      <c r="E53" s="83"/>
    </row>
    <row r="54" spans="1:5" ht="15" customHeight="1" x14ac:dyDescent="0.3">
      <c r="A54" s="440" t="s">
        <v>78</v>
      </c>
      <c r="B54" s="441"/>
      <c r="C54" s="441"/>
      <c r="D54" s="441"/>
      <c r="E54" s="83"/>
    </row>
    <row r="55" spans="1:5" x14ac:dyDescent="0.3">
      <c r="A55" s="438" t="s">
        <v>80</v>
      </c>
      <c r="B55" s="439"/>
      <c r="C55" s="439"/>
      <c r="D55" s="439"/>
      <c r="E55" s="83">
        <v>4786000</v>
      </c>
    </row>
    <row r="56" spans="1:5" x14ac:dyDescent="0.3">
      <c r="A56" s="438" t="s">
        <v>81</v>
      </c>
      <c r="B56" s="439"/>
      <c r="C56" s="439"/>
      <c r="D56" s="439"/>
      <c r="E56" s="92">
        <v>0.4</v>
      </c>
    </row>
    <row r="57" spans="1:5" x14ac:dyDescent="0.3">
      <c r="A57" s="438" t="s">
        <v>69</v>
      </c>
      <c r="B57" s="439"/>
      <c r="C57" s="439"/>
      <c r="D57" s="439"/>
      <c r="E57" s="83">
        <v>48050</v>
      </c>
    </row>
    <row r="58" spans="1:5" x14ac:dyDescent="0.3">
      <c r="A58" s="442" t="s">
        <v>74</v>
      </c>
      <c r="B58" s="443"/>
      <c r="C58" s="443"/>
      <c r="D58" s="443"/>
      <c r="E58" s="93">
        <v>318000</v>
      </c>
    </row>
    <row r="60" spans="1:5" ht="15" customHeight="1" x14ac:dyDescent="0.3"/>
    <row r="68" ht="15" customHeight="1" x14ac:dyDescent="0.3"/>
  </sheetData>
  <mergeCells count="41">
    <mergeCell ref="G30:J30"/>
    <mergeCell ref="G33:J33"/>
    <mergeCell ref="H23:J23"/>
    <mergeCell ref="G24:J24"/>
    <mergeCell ref="G26:J26"/>
    <mergeCell ref="G27:J27"/>
    <mergeCell ref="G29:J29"/>
    <mergeCell ref="B4:D4"/>
    <mergeCell ref="H4:J4"/>
    <mergeCell ref="B1:J2"/>
    <mergeCell ref="U4:V4"/>
    <mergeCell ref="M4:Q4"/>
    <mergeCell ref="B23:D23"/>
    <mergeCell ref="A25:D25"/>
    <mergeCell ref="A26:D26"/>
    <mergeCell ref="A27:D27"/>
    <mergeCell ref="A28:D28"/>
    <mergeCell ref="A51:D51"/>
    <mergeCell ref="A46:D46"/>
    <mergeCell ref="A45:D45"/>
    <mergeCell ref="A58:D58"/>
    <mergeCell ref="A57:D57"/>
    <mergeCell ref="A56:D56"/>
    <mergeCell ref="A55:D55"/>
    <mergeCell ref="A54:D54"/>
    <mergeCell ref="A29:D29"/>
    <mergeCell ref="A41:D41"/>
    <mergeCell ref="A42:D42"/>
    <mergeCell ref="A49:D49"/>
    <mergeCell ref="A50:D50"/>
    <mergeCell ref="A30:D30"/>
    <mergeCell ref="A38:D38"/>
    <mergeCell ref="A39:D39"/>
    <mergeCell ref="A40:D40"/>
    <mergeCell ref="A31:D31"/>
    <mergeCell ref="A32:D32"/>
    <mergeCell ref="A33:D33"/>
    <mergeCell ref="A34:D34"/>
    <mergeCell ref="A35:D35"/>
    <mergeCell ref="A36:D36"/>
    <mergeCell ref="A37:D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BEB1-5EF0-47B3-A25A-9D0F58F2F155}">
  <sheetPr>
    <tabColor rgb="FFFFC000"/>
  </sheetPr>
  <dimension ref="A1:Y56"/>
  <sheetViews>
    <sheetView workbookViewId="0">
      <selection activeCell="E30" sqref="E30"/>
    </sheetView>
  </sheetViews>
  <sheetFormatPr baseColWidth="10" defaultColWidth="11.44140625" defaultRowHeight="14.4" x14ac:dyDescent="0.3"/>
  <cols>
    <col min="1" max="1" width="35.6640625" customWidth="1"/>
    <col min="2" max="2" width="16.88671875" style="5" customWidth="1"/>
    <col min="3" max="3" width="2.88671875" customWidth="1"/>
    <col min="4" max="4" width="27" bestFit="1" customWidth="1"/>
    <col min="5" max="5" width="16" style="5" bestFit="1" customWidth="1"/>
    <col min="6" max="6" width="3" customWidth="1"/>
    <col min="7" max="7" width="32.33203125" bestFit="1" customWidth="1"/>
    <col min="8" max="8" width="15" bestFit="1" customWidth="1"/>
    <col min="9" max="9" width="4.33203125" customWidth="1"/>
    <col min="10" max="10" width="63.6640625" bestFit="1" customWidth="1"/>
    <col min="11" max="11" width="25.88671875" customWidth="1"/>
    <col min="12" max="12" width="14.33203125" bestFit="1" customWidth="1"/>
    <col min="13" max="13" width="9.109375" bestFit="1" customWidth="1"/>
    <col min="14" max="14" width="37.33203125" bestFit="1" customWidth="1"/>
    <col min="15" max="15" width="15" style="5" bestFit="1" customWidth="1"/>
    <col min="16" max="16" width="14.88671875" customWidth="1"/>
    <col min="17" max="17" width="11.44140625" bestFit="1" customWidth="1"/>
    <col min="18" max="18" width="24" customWidth="1"/>
    <col min="19" max="19" width="14.88671875" customWidth="1"/>
    <col min="20" max="20" width="9.109375" bestFit="1" customWidth="1"/>
    <col min="21" max="21" width="48.109375" customWidth="1"/>
  </cols>
  <sheetData>
    <row r="1" spans="1:25" ht="15" customHeight="1" x14ac:dyDescent="0.6">
      <c r="E1" s="110"/>
      <c r="F1" s="110"/>
      <c r="I1" s="116"/>
    </row>
    <row r="2" spans="1:25" ht="27.75" customHeight="1" x14ac:dyDescent="0.6">
      <c r="A2" s="456" t="s">
        <v>90</v>
      </c>
      <c r="B2" s="456"/>
      <c r="C2" s="456"/>
      <c r="D2" s="456"/>
      <c r="E2" s="456"/>
      <c r="F2" s="456"/>
      <c r="G2" s="456"/>
      <c r="H2" s="456"/>
      <c r="I2" s="456"/>
      <c r="J2" s="456"/>
      <c r="K2" s="456"/>
    </row>
    <row r="3" spans="1:25" ht="15" thickBot="1" x14ac:dyDescent="0.35">
      <c r="B3"/>
      <c r="E3"/>
    </row>
    <row r="4" spans="1:25" ht="27" customHeight="1" x14ac:dyDescent="0.45">
      <c r="A4" s="457" t="s">
        <v>1</v>
      </c>
      <c r="B4" s="458"/>
      <c r="C4" s="458"/>
      <c r="D4" s="458"/>
      <c r="E4" s="459"/>
      <c r="G4" s="452" t="s">
        <v>91</v>
      </c>
      <c r="H4" s="453"/>
      <c r="I4" s="117"/>
      <c r="J4" s="454" t="s">
        <v>92</v>
      </c>
      <c r="K4" s="455"/>
      <c r="N4" s="454" t="s">
        <v>128</v>
      </c>
      <c r="O4" s="455"/>
      <c r="W4" s="111"/>
      <c r="X4" s="111"/>
      <c r="Y4" s="111"/>
    </row>
    <row r="5" spans="1:25" x14ac:dyDescent="0.3">
      <c r="A5" s="97" t="s">
        <v>3</v>
      </c>
      <c r="D5" s="7" t="s">
        <v>4</v>
      </c>
      <c r="E5" s="98"/>
      <c r="G5" s="101" t="s">
        <v>28</v>
      </c>
      <c r="H5" s="104">
        <v>268000000</v>
      </c>
      <c r="I5" s="7"/>
      <c r="J5" s="101"/>
      <c r="K5" s="98"/>
      <c r="N5" s="97"/>
      <c r="O5" s="98"/>
    </row>
    <row r="6" spans="1:25" x14ac:dyDescent="0.3">
      <c r="A6" s="99" t="s">
        <v>5</v>
      </c>
      <c r="B6" s="85"/>
      <c r="D6" s="6" t="s">
        <v>6</v>
      </c>
      <c r="E6" s="100"/>
      <c r="G6" s="101" t="s">
        <v>30</v>
      </c>
      <c r="H6" s="104">
        <v>125900000</v>
      </c>
      <c r="I6" s="6"/>
      <c r="J6" s="124" t="s">
        <v>93</v>
      </c>
      <c r="K6" s="100"/>
      <c r="N6" s="99" t="s">
        <v>62</v>
      </c>
      <c r="O6" s="100"/>
    </row>
    <row r="7" spans="1:25" x14ac:dyDescent="0.3">
      <c r="A7" s="101" t="s">
        <v>7</v>
      </c>
      <c r="B7" s="78">
        <v>38000000</v>
      </c>
      <c r="D7" t="s">
        <v>10</v>
      </c>
      <c r="E7" s="98">
        <v>6350000</v>
      </c>
      <c r="G7" s="101"/>
      <c r="H7" s="104"/>
      <c r="J7" s="101" t="s">
        <v>94</v>
      </c>
      <c r="K7" s="104">
        <v>253000000</v>
      </c>
      <c r="N7" s="101" t="s">
        <v>64</v>
      </c>
      <c r="O7" s="98"/>
    </row>
    <row r="8" spans="1:25" x14ac:dyDescent="0.3">
      <c r="A8" s="101" t="s">
        <v>9</v>
      </c>
      <c r="B8" s="78">
        <v>17500000</v>
      </c>
      <c r="D8" t="s">
        <v>95</v>
      </c>
      <c r="E8" s="98">
        <v>1200000</v>
      </c>
      <c r="G8" s="101" t="s">
        <v>35</v>
      </c>
      <c r="H8" s="104">
        <v>142100000</v>
      </c>
      <c r="I8" s="155"/>
      <c r="J8" s="101" t="s">
        <v>96</v>
      </c>
      <c r="K8" s="104">
        <v>25000000</v>
      </c>
      <c r="N8" s="101" t="s">
        <v>66</v>
      </c>
      <c r="O8" s="98">
        <f>H42</f>
        <v>34110000</v>
      </c>
    </row>
    <row r="9" spans="1:25" x14ac:dyDescent="0.3">
      <c r="A9" s="101" t="s">
        <v>11</v>
      </c>
      <c r="B9" s="78">
        <v>32300000</v>
      </c>
      <c r="E9" s="98"/>
      <c r="G9" s="101"/>
      <c r="H9" s="104"/>
      <c r="J9" s="101" t="s">
        <v>97</v>
      </c>
      <c r="K9" s="104">
        <v>24170000</v>
      </c>
      <c r="N9" s="101" t="s">
        <v>68</v>
      </c>
      <c r="O9" s="98">
        <f>K17 + K18</f>
        <v>1000000</v>
      </c>
    </row>
    <row r="10" spans="1:25" x14ac:dyDescent="0.3">
      <c r="A10" s="101" t="s">
        <v>13</v>
      </c>
      <c r="B10" s="78">
        <v>500000</v>
      </c>
      <c r="D10" t="s">
        <v>98</v>
      </c>
      <c r="E10" s="98">
        <v>7550000</v>
      </c>
      <c r="G10" s="101" t="s">
        <v>99</v>
      </c>
      <c r="H10" s="104">
        <v>81500000</v>
      </c>
      <c r="J10" s="101"/>
      <c r="K10" s="104"/>
      <c r="N10" s="101" t="s">
        <v>129</v>
      </c>
      <c r="O10" s="98">
        <v>0</v>
      </c>
    </row>
    <row r="11" spans="1:25" x14ac:dyDescent="0.3">
      <c r="A11" s="101"/>
      <c r="B11" s="78"/>
      <c r="E11" s="100"/>
      <c r="F11" t="s">
        <v>100</v>
      </c>
      <c r="G11" s="101" t="s">
        <v>41</v>
      </c>
      <c r="H11" s="104">
        <v>8500000</v>
      </c>
      <c r="I11" s="6"/>
      <c r="J11" s="99" t="s">
        <v>101</v>
      </c>
      <c r="K11" s="125"/>
      <c r="N11" s="101" t="s">
        <v>69</v>
      </c>
      <c r="O11" s="98">
        <f>K13</f>
        <v>400000</v>
      </c>
    </row>
    <row r="12" spans="1:25" x14ac:dyDescent="0.3">
      <c r="A12" s="99" t="s">
        <v>102</v>
      </c>
      <c r="B12" s="102"/>
      <c r="D12" s="6" t="s">
        <v>14</v>
      </c>
      <c r="E12" s="98"/>
      <c r="G12" s="99"/>
      <c r="H12" s="104"/>
      <c r="J12" s="101" t="s">
        <v>94</v>
      </c>
      <c r="K12" s="104">
        <v>130100000</v>
      </c>
      <c r="N12" s="101" t="s">
        <v>72</v>
      </c>
      <c r="O12" s="98"/>
    </row>
    <row r="13" spans="1:25" x14ac:dyDescent="0.3">
      <c r="A13" s="101" t="s">
        <v>103</v>
      </c>
      <c r="B13" s="78">
        <v>12100000</v>
      </c>
      <c r="D13" t="s">
        <v>104</v>
      </c>
      <c r="E13" s="98">
        <v>22655000</v>
      </c>
      <c r="G13" s="101" t="s">
        <v>46</v>
      </c>
      <c r="H13" s="104">
        <v>52100000</v>
      </c>
      <c r="I13" s="155"/>
      <c r="J13" s="101" t="s">
        <v>105</v>
      </c>
      <c r="K13" s="104">
        <v>400000</v>
      </c>
      <c r="N13" s="101" t="s">
        <v>74</v>
      </c>
      <c r="O13" s="104"/>
    </row>
    <row r="14" spans="1:25" x14ac:dyDescent="0.3">
      <c r="A14" s="101" t="s">
        <v>106</v>
      </c>
      <c r="B14" s="78">
        <v>45000000</v>
      </c>
      <c r="D14" t="s">
        <v>107</v>
      </c>
      <c r="E14" s="98">
        <v>37000000</v>
      </c>
      <c r="F14" s="78">
        <f>SUM('Partie 1 - SARLOS'!K7:K9)</f>
        <v>302170000</v>
      </c>
      <c r="G14" s="101"/>
      <c r="H14" s="104"/>
      <c r="I14" s="7"/>
      <c r="J14" s="101" t="s">
        <v>108</v>
      </c>
      <c r="K14" s="104">
        <v>32900000</v>
      </c>
      <c r="L14" s="155"/>
      <c r="N14" s="101" t="s">
        <v>76</v>
      </c>
      <c r="O14" s="98">
        <f>K14 - B9</f>
        <v>600000</v>
      </c>
    </row>
    <row r="15" spans="1:25" x14ac:dyDescent="0.3">
      <c r="A15" s="101" t="s">
        <v>109</v>
      </c>
      <c r="B15" s="78">
        <v>39000000</v>
      </c>
      <c r="D15" t="s">
        <v>110</v>
      </c>
      <c r="E15" s="98">
        <v>2500000</v>
      </c>
      <c r="G15" s="101" t="s">
        <v>51</v>
      </c>
      <c r="H15" s="104">
        <v>52100000</v>
      </c>
      <c r="I15" s="155"/>
      <c r="J15" s="101"/>
      <c r="K15" s="104"/>
      <c r="N15" s="101" t="s">
        <v>130</v>
      </c>
      <c r="O15" s="98">
        <f>K26</f>
        <v>10000</v>
      </c>
    </row>
    <row r="16" spans="1:25" x14ac:dyDescent="0.3">
      <c r="A16" s="101" t="s">
        <v>111</v>
      </c>
      <c r="B16" s="78">
        <v>-9800000</v>
      </c>
      <c r="E16" s="98"/>
      <c r="G16" s="101"/>
      <c r="H16" s="104"/>
      <c r="J16" s="99" t="s">
        <v>68</v>
      </c>
      <c r="K16" s="104"/>
      <c r="N16" s="101"/>
      <c r="O16" s="98"/>
    </row>
    <row r="17" spans="1:15" ht="28.8" x14ac:dyDescent="0.3">
      <c r="A17" s="101"/>
      <c r="B17" s="78"/>
      <c r="D17" t="s">
        <v>112</v>
      </c>
      <c r="E17" s="98">
        <v>62155000</v>
      </c>
      <c r="F17" t="e" cm="1">
        <f t="array" ref="F17">'Partie 1 - SARLOS'!B33/sum</f>
        <v>#NAME?</v>
      </c>
      <c r="G17" s="101" t="s">
        <v>54</v>
      </c>
      <c r="H17" s="104">
        <v>20840000</v>
      </c>
      <c r="I17" s="155"/>
      <c r="J17" s="101" t="s">
        <v>102</v>
      </c>
      <c r="K17" s="104">
        <v>300000</v>
      </c>
      <c r="N17" s="122" t="s">
        <v>79</v>
      </c>
      <c r="O17" s="98">
        <f>SUM(O8:O11) - SUM(O13:O15)</f>
        <v>34900000</v>
      </c>
    </row>
    <row r="18" spans="1:15" x14ac:dyDescent="0.3">
      <c r="A18" s="103" t="s">
        <v>113</v>
      </c>
      <c r="B18" s="78">
        <v>86300000</v>
      </c>
      <c r="E18" s="100"/>
      <c r="F18" s="78" cm="1">
        <f t="array" ref="F18">_xlfn.ANCHORARRAY('Partie 1 - SARLOS'!H42)</f>
        <v>34110000</v>
      </c>
      <c r="G18" s="97"/>
      <c r="H18" s="104"/>
      <c r="I18" s="7"/>
      <c r="J18" s="101" t="s">
        <v>109</v>
      </c>
      <c r="K18" s="104">
        <v>700000</v>
      </c>
      <c r="N18" s="101"/>
      <c r="O18" s="98"/>
    </row>
    <row r="19" spans="1:15" ht="15" thickBot="1" x14ac:dyDescent="0.35">
      <c r="A19" s="101"/>
      <c r="D19" s="7" t="s">
        <v>19</v>
      </c>
      <c r="E19" s="98"/>
      <c r="G19" s="112" t="s">
        <v>57</v>
      </c>
      <c r="H19" s="113">
        <v>31260000</v>
      </c>
      <c r="I19" s="155"/>
      <c r="J19" s="101"/>
      <c r="K19" s="104"/>
      <c r="N19" s="99" t="s">
        <v>82</v>
      </c>
      <c r="O19" s="98"/>
    </row>
    <row r="20" spans="1:15" x14ac:dyDescent="0.3">
      <c r="A20" s="99" t="s">
        <v>114</v>
      </c>
      <c r="B20" s="78">
        <v>174600000</v>
      </c>
      <c r="D20" t="s">
        <v>21</v>
      </c>
      <c r="E20" s="104">
        <v>45695000</v>
      </c>
      <c r="J20" s="101" t="s">
        <v>115</v>
      </c>
      <c r="K20" s="104">
        <v>12500000</v>
      </c>
      <c r="N20" s="101" t="s">
        <v>64</v>
      </c>
      <c r="O20" s="98">
        <v>0</v>
      </c>
    </row>
    <row r="21" spans="1:15" x14ac:dyDescent="0.3">
      <c r="A21" s="101"/>
      <c r="B21"/>
      <c r="D21" t="s">
        <v>22</v>
      </c>
      <c r="E21" s="104">
        <v>59200000</v>
      </c>
      <c r="J21" s="101" t="s">
        <v>56</v>
      </c>
      <c r="K21" s="104">
        <v>39000000</v>
      </c>
      <c r="N21" s="101" t="s">
        <v>72</v>
      </c>
      <c r="O21" s="98">
        <v>0</v>
      </c>
    </row>
    <row r="22" spans="1:15" x14ac:dyDescent="0.3">
      <c r="A22" s="101"/>
      <c r="B22"/>
      <c r="E22" s="104"/>
      <c r="J22" s="101" t="s">
        <v>116</v>
      </c>
      <c r="K22" s="104">
        <v>90000</v>
      </c>
      <c r="N22" s="101"/>
      <c r="O22" s="98"/>
    </row>
    <row r="23" spans="1:15" ht="28.8" x14ac:dyDescent="0.3">
      <c r="A23" s="101"/>
      <c r="B23"/>
      <c r="D23" t="s">
        <v>117</v>
      </c>
      <c r="E23" s="104">
        <v>104895000</v>
      </c>
      <c r="J23" s="101"/>
      <c r="K23" s="104"/>
      <c r="N23" s="122" t="s">
        <v>83</v>
      </c>
      <c r="O23" s="98">
        <f>O20 - O21</f>
        <v>0</v>
      </c>
    </row>
    <row r="24" spans="1:15" x14ac:dyDescent="0.3">
      <c r="A24" s="101"/>
      <c r="B24"/>
      <c r="E24" s="105"/>
      <c r="J24" s="101" t="s">
        <v>118</v>
      </c>
      <c r="K24" s="104">
        <v>30000000</v>
      </c>
      <c r="N24" s="101"/>
      <c r="O24" s="98"/>
    </row>
    <row r="25" spans="1:15" ht="15" thickBot="1" x14ac:dyDescent="0.35">
      <c r="A25" s="112"/>
      <c r="B25" s="127"/>
      <c r="C25" s="108"/>
      <c r="D25" s="106" t="s">
        <v>24</v>
      </c>
      <c r="E25" s="113">
        <v>174600</v>
      </c>
      <c r="J25" s="101"/>
      <c r="K25" s="104"/>
      <c r="N25" s="99" t="s">
        <v>84</v>
      </c>
      <c r="O25" s="98"/>
    </row>
    <row r="26" spans="1:15" x14ac:dyDescent="0.3">
      <c r="A26" s="114"/>
      <c r="B26"/>
      <c r="E26"/>
      <c r="J26" s="101" t="s">
        <v>119</v>
      </c>
      <c r="K26" s="104">
        <v>10000</v>
      </c>
      <c r="N26" s="101" t="s">
        <v>64</v>
      </c>
      <c r="O26" s="98"/>
    </row>
    <row r="27" spans="1:15" ht="15" thickBot="1" x14ac:dyDescent="0.35">
      <c r="A27" s="441"/>
      <c r="B27" s="441"/>
      <c r="C27" s="441"/>
      <c r="D27" s="441"/>
      <c r="J27" s="101"/>
      <c r="K27" s="104"/>
      <c r="N27" s="101" t="s">
        <v>131</v>
      </c>
      <c r="O27" s="98">
        <f>K33</f>
        <v>1000000</v>
      </c>
    </row>
    <row r="28" spans="1:15" ht="23.4" x14ac:dyDescent="0.45">
      <c r="A28" s="457" t="s">
        <v>2</v>
      </c>
      <c r="B28" s="458"/>
      <c r="C28" s="458"/>
      <c r="D28" s="458"/>
      <c r="E28" s="459"/>
      <c r="G28" s="452" t="s">
        <v>120</v>
      </c>
      <c r="H28" s="453"/>
      <c r="J28" s="99" t="s">
        <v>121</v>
      </c>
      <c r="K28" s="104"/>
      <c r="N28" s="101" t="s">
        <v>72</v>
      </c>
    </row>
    <row r="29" spans="1:15" x14ac:dyDescent="0.3">
      <c r="A29" s="97" t="s">
        <v>3</v>
      </c>
      <c r="D29" s="7" t="s">
        <v>4</v>
      </c>
      <c r="E29" s="98">
        <f>E34 + E41</f>
        <v>71095000</v>
      </c>
      <c r="G29" s="101" t="s">
        <v>28</v>
      </c>
      <c r="H29" s="104">
        <f>K7 + K8</f>
        <v>278000000</v>
      </c>
      <c r="J29" s="101" t="s">
        <v>122</v>
      </c>
      <c r="K29" s="104">
        <v>0</v>
      </c>
      <c r="N29" s="101" t="s">
        <v>132</v>
      </c>
      <c r="O29" s="98">
        <f>K40</f>
        <v>15110000</v>
      </c>
    </row>
    <row r="30" spans="1:15" x14ac:dyDescent="0.3">
      <c r="A30" s="99" t="s">
        <v>5</v>
      </c>
      <c r="B30" s="85"/>
      <c r="D30" s="6" t="s">
        <v>6</v>
      </c>
      <c r="E30" s="100"/>
      <c r="G30" s="101" t="s">
        <v>30</v>
      </c>
      <c r="H30" s="104">
        <f>B9 + K12 - K14 + K18 + K13</f>
        <v>130600000</v>
      </c>
      <c r="J30" s="101" t="s">
        <v>123</v>
      </c>
      <c r="K30" s="104">
        <v>750000</v>
      </c>
      <c r="N30" s="101" t="s">
        <v>122</v>
      </c>
      <c r="O30" s="104">
        <f>K37</f>
        <v>100000</v>
      </c>
    </row>
    <row r="31" spans="1:15" ht="28.8" x14ac:dyDescent="0.3">
      <c r="A31" s="101" t="s">
        <v>7</v>
      </c>
      <c r="B31" s="78">
        <f>O36</f>
        <v>58690000</v>
      </c>
      <c r="D31" t="s">
        <v>10</v>
      </c>
      <c r="E31" s="98">
        <f>E7+O11</f>
        <v>6750000</v>
      </c>
      <c r="G31" s="101"/>
      <c r="H31" s="104"/>
      <c r="J31" s="101"/>
      <c r="K31" s="104"/>
      <c r="N31" s="122" t="s">
        <v>86</v>
      </c>
      <c r="O31" s="98">
        <f>O27 - SUM(O29:O30)</f>
        <v>-14210000</v>
      </c>
    </row>
    <row r="32" spans="1:15" x14ac:dyDescent="0.3">
      <c r="A32" s="101" t="s">
        <v>9</v>
      </c>
      <c r="B32" s="78">
        <f>B8+K8-K9</f>
        <v>18330000</v>
      </c>
      <c r="D32" t="s">
        <v>95</v>
      </c>
      <c r="E32" s="98">
        <f>E8+K22</f>
        <v>1290000</v>
      </c>
      <c r="G32" s="101" t="s">
        <v>35</v>
      </c>
      <c r="H32" s="104">
        <f>H29 - H30</f>
        <v>147400000</v>
      </c>
      <c r="J32" s="99" t="s">
        <v>124</v>
      </c>
      <c r="K32" s="104"/>
      <c r="N32" s="101"/>
      <c r="O32" s="98"/>
    </row>
    <row r="33" spans="1:15" x14ac:dyDescent="0.3">
      <c r="A33" s="101" t="s">
        <v>11</v>
      </c>
      <c r="B33" s="78">
        <f>K14</f>
        <v>32900000</v>
      </c>
      <c r="E33" s="98"/>
      <c r="G33" s="101"/>
      <c r="H33" s="104"/>
      <c r="J33" s="101" t="s">
        <v>125</v>
      </c>
      <c r="K33" s="104">
        <v>1000000</v>
      </c>
      <c r="N33" s="101" t="s">
        <v>87</v>
      </c>
      <c r="O33" s="98">
        <f>O17 + O23 + O31</f>
        <v>20690000</v>
      </c>
    </row>
    <row r="34" spans="1:15" x14ac:dyDescent="0.3">
      <c r="A34" s="101" t="s">
        <v>13</v>
      </c>
      <c r="B34" s="78">
        <f>B10+O15</f>
        <v>510000</v>
      </c>
      <c r="D34" t="s">
        <v>98</v>
      </c>
      <c r="E34" s="98">
        <f>E31+E32</f>
        <v>8040000</v>
      </c>
      <c r="G34" s="101" t="s">
        <v>39</v>
      </c>
      <c r="H34" s="104">
        <f>K20 + K21 + K24 + K17</f>
        <v>81800000</v>
      </c>
      <c r="J34" s="101" t="s">
        <v>123</v>
      </c>
      <c r="K34" s="104">
        <v>5000000</v>
      </c>
      <c r="N34" s="101"/>
      <c r="O34" s="98"/>
    </row>
    <row r="35" spans="1:15" x14ac:dyDescent="0.3">
      <c r="A35" s="101"/>
      <c r="B35" s="78"/>
      <c r="E35" s="100"/>
      <c r="G35" s="101"/>
      <c r="H35" s="104"/>
      <c r="J35" s="101"/>
      <c r="K35" s="104"/>
      <c r="N35" s="101" t="s">
        <v>88</v>
      </c>
      <c r="O35" s="98">
        <v>38000000</v>
      </c>
    </row>
    <row r="36" spans="1:15" ht="15" thickBot="1" x14ac:dyDescent="0.35">
      <c r="A36" s="99" t="s">
        <v>102</v>
      </c>
      <c r="B36" s="102"/>
      <c r="D36" s="6" t="s">
        <v>14</v>
      </c>
      <c r="E36" s="98"/>
      <c r="G36" s="101" t="s">
        <v>46</v>
      </c>
      <c r="H36" s="104">
        <f xml:space="preserve"> H32 - H34</f>
        <v>65600000</v>
      </c>
      <c r="J36" s="99" t="s">
        <v>104</v>
      </c>
      <c r="K36" s="104"/>
      <c r="N36" s="112" t="s">
        <v>89</v>
      </c>
      <c r="O36" s="123">
        <f>O33 + O35</f>
        <v>58690000</v>
      </c>
    </row>
    <row r="37" spans="1:15" x14ac:dyDescent="0.3">
      <c r="A37" s="101" t="s">
        <v>103</v>
      </c>
      <c r="B37" s="78">
        <f>B13</f>
        <v>12100000</v>
      </c>
      <c r="D37" t="s">
        <v>104</v>
      </c>
      <c r="E37" s="98">
        <f>E13-K37</f>
        <v>22555000</v>
      </c>
      <c r="G37" s="101"/>
      <c r="H37" s="104"/>
      <c r="J37" s="101" t="s">
        <v>122</v>
      </c>
      <c r="K37" s="104">
        <v>100000</v>
      </c>
    </row>
    <row r="38" spans="1:15" x14ac:dyDescent="0.3">
      <c r="A38" s="101" t="s">
        <v>106</v>
      </c>
      <c r="B38" s="78">
        <f>B14</f>
        <v>45000000</v>
      </c>
      <c r="D38" t="s">
        <v>107</v>
      </c>
      <c r="E38" s="327">
        <f>E14+K33</f>
        <v>38000000</v>
      </c>
      <c r="G38" s="101" t="s">
        <v>51</v>
      </c>
      <c r="H38" s="104">
        <f>H36 - K34 - K38 - K30</f>
        <v>56850000</v>
      </c>
      <c r="J38" s="101" t="s">
        <v>123</v>
      </c>
      <c r="K38" s="104">
        <v>3000000</v>
      </c>
    </row>
    <row r="39" spans="1:15" x14ac:dyDescent="0.3">
      <c r="A39" s="101" t="s">
        <v>109</v>
      </c>
      <c r="B39" s="78">
        <f>B15</f>
        <v>39000000</v>
      </c>
      <c r="D39" t="s">
        <v>110</v>
      </c>
      <c r="E39" s="98">
        <f>E15</f>
        <v>2500000</v>
      </c>
      <c r="G39" s="101"/>
      <c r="H39" s="104"/>
      <c r="J39" s="101"/>
      <c r="K39" s="104"/>
    </row>
    <row r="40" spans="1:15" x14ac:dyDescent="0.3">
      <c r="A40" s="101" t="s">
        <v>111</v>
      </c>
      <c r="B40" s="78">
        <f>B16-K17-K18</f>
        <v>-10800000</v>
      </c>
      <c r="E40" s="98"/>
      <c r="G40" s="101" t="s">
        <v>54</v>
      </c>
      <c r="H40" s="104">
        <f>H38 * K42</f>
        <v>22740000</v>
      </c>
      <c r="J40" s="101" t="s">
        <v>126</v>
      </c>
      <c r="K40" s="104">
        <v>15110000</v>
      </c>
    </row>
    <row r="41" spans="1:15" x14ac:dyDescent="0.3">
      <c r="A41" s="101"/>
      <c r="B41" s="78"/>
      <c r="D41" t="s">
        <v>112</v>
      </c>
      <c r="E41" s="98">
        <f>SUM(E37:E39)</f>
        <v>63055000</v>
      </c>
      <c r="G41" s="156"/>
      <c r="H41" s="104"/>
      <c r="J41" s="101"/>
      <c r="K41" s="104"/>
    </row>
    <row r="42" spans="1:15" ht="15" thickBot="1" x14ac:dyDescent="0.35">
      <c r="A42" s="103" t="s">
        <v>113</v>
      </c>
      <c r="B42" s="78">
        <f>SUM(B37:B40)</f>
        <v>85300000</v>
      </c>
      <c r="E42" s="100"/>
      <c r="G42" s="112" t="s">
        <v>57</v>
      </c>
      <c r="H42" s="113">
        <f>H38 - H40</f>
        <v>34110000</v>
      </c>
      <c r="J42" s="112" t="s">
        <v>127</v>
      </c>
      <c r="K42" s="126">
        <v>0.4</v>
      </c>
    </row>
    <row r="43" spans="1:15" x14ac:dyDescent="0.3">
      <c r="A43" s="101"/>
      <c r="D43" s="7" t="s">
        <v>19</v>
      </c>
      <c r="E43" s="98"/>
    </row>
    <row r="44" spans="1:15" x14ac:dyDescent="0.3">
      <c r="A44" s="99" t="s">
        <v>114</v>
      </c>
      <c r="B44" s="78">
        <f>B42+SUM(B31:B34)</f>
        <v>195730000</v>
      </c>
      <c r="D44" t="s">
        <v>21</v>
      </c>
      <c r="E44" s="104">
        <f>E20-K37</f>
        <v>45595000</v>
      </c>
    </row>
    <row r="45" spans="1:15" x14ac:dyDescent="0.3">
      <c r="A45" s="101"/>
      <c r="B45"/>
      <c r="D45" t="s">
        <v>22</v>
      </c>
      <c r="E45" s="104">
        <f>E21+H42-K40</f>
        <v>78200000</v>
      </c>
    </row>
    <row r="46" spans="1:15" x14ac:dyDescent="0.3">
      <c r="A46" s="101"/>
      <c r="B46"/>
      <c r="E46" s="104"/>
    </row>
    <row r="47" spans="1:15" x14ac:dyDescent="0.3">
      <c r="A47" s="101"/>
      <c r="B47"/>
      <c r="D47" t="s">
        <v>117</v>
      </c>
      <c r="E47" s="104">
        <f>SUM(E44:E45)</f>
        <v>123795000</v>
      </c>
    </row>
    <row r="48" spans="1:15" x14ac:dyDescent="0.3">
      <c r="A48" s="101"/>
      <c r="B48"/>
      <c r="E48" s="105"/>
    </row>
    <row r="49" spans="1:5" ht="15" thickBot="1" x14ac:dyDescent="0.35">
      <c r="A49" s="112"/>
      <c r="B49" s="107"/>
      <c r="C49" s="108"/>
      <c r="D49" s="106" t="s">
        <v>24</v>
      </c>
      <c r="E49" s="171">
        <f>E34+E41+E47</f>
        <v>194890000</v>
      </c>
    </row>
    <row r="50" spans="1:5" x14ac:dyDescent="0.3">
      <c r="A50" s="439"/>
      <c r="B50" s="439"/>
      <c r="C50" s="439"/>
      <c r="D50" s="439"/>
    </row>
    <row r="51" spans="1:5" x14ac:dyDescent="0.3">
      <c r="A51" s="439"/>
      <c r="B51" s="439"/>
      <c r="C51" s="439"/>
      <c r="D51" s="439"/>
      <c r="E51" s="5">
        <f>E49 - B44</f>
        <v>-840000</v>
      </c>
    </row>
    <row r="52" spans="1:5" x14ac:dyDescent="0.3">
      <c r="A52">
        <v>57950000</v>
      </c>
      <c r="E52" s="328">
        <f xml:space="preserve"> E51 / E49</f>
        <v>-4.3101236595002312E-3</v>
      </c>
    </row>
    <row r="53" spans="1:5" x14ac:dyDescent="0.3">
      <c r="A53" s="155">
        <f>B31 - A52</f>
        <v>740000</v>
      </c>
    </row>
    <row r="54" spans="1:5" x14ac:dyDescent="0.3">
      <c r="C54" s="6"/>
    </row>
    <row r="56" spans="1:5" x14ac:dyDescent="0.3">
      <c r="E56" s="118"/>
    </row>
  </sheetData>
  <mergeCells count="10">
    <mergeCell ref="J4:K4"/>
    <mergeCell ref="A2:K2"/>
    <mergeCell ref="N4:O4"/>
    <mergeCell ref="A4:E4"/>
    <mergeCell ref="A28:E28"/>
    <mergeCell ref="A50:D50"/>
    <mergeCell ref="A51:D51"/>
    <mergeCell ref="A27:D27"/>
    <mergeCell ref="G4:H4"/>
    <mergeCell ref="G28:H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9B09-7BD9-44FC-98EF-FC4CBBF0B224}">
  <sheetPr>
    <tabColor rgb="FFFFC000"/>
  </sheetPr>
  <dimension ref="A1:Y86"/>
  <sheetViews>
    <sheetView topLeftCell="A5" zoomScale="55" zoomScaleNormal="55" workbookViewId="0">
      <selection activeCell="B40" sqref="B40"/>
    </sheetView>
  </sheetViews>
  <sheetFormatPr baseColWidth="10" defaultColWidth="11.44140625" defaultRowHeight="14.4" x14ac:dyDescent="0.3"/>
  <cols>
    <col min="1" max="1" width="34.88671875" customWidth="1"/>
    <col min="2" max="2" width="17.5546875" style="5" bestFit="1" customWidth="1"/>
    <col min="3" max="3" width="2.88671875" customWidth="1"/>
    <col min="4" max="4" width="32.33203125" customWidth="1"/>
    <col min="5" max="5" width="17.5546875" style="5" bestFit="1" customWidth="1"/>
    <col min="6" max="6" width="3.109375" customWidth="1"/>
    <col min="7" max="7" width="31.109375" customWidth="1"/>
    <col min="8" max="8" width="17.5546875" bestFit="1" customWidth="1"/>
    <col min="9" max="9" width="2.88671875" customWidth="1"/>
    <col min="10" max="10" width="32.44140625" customWidth="1"/>
    <col min="11" max="11" width="17.5546875" bestFit="1" customWidth="1"/>
    <col min="12" max="12" width="14.5546875" bestFit="1" customWidth="1"/>
    <col min="13" max="14" width="9.109375" bestFit="1" customWidth="1"/>
    <col min="15" max="15" width="28.6640625" customWidth="1"/>
    <col min="16" max="16" width="14.88671875" customWidth="1"/>
    <col min="17" max="17" width="11.44140625" bestFit="1" customWidth="1"/>
    <col min="18" max="18" width="24" customWidth="1"/>
    <col min="19" max="19" width="14.88671875" customWidth="1"/>
    <col min="20" max="20" width="9.109375" bestFit="1" customWidth="1"/>
    <col min="21" max="21" width="48.109375" customWidth="1"/>
  </cols>
  <sheetData>
    <row r="1" spans="1:25" ht="15" customHeight="1" x14ac:dyDescent="0.3">
      <c r="B1" s="445" t="s">
        <v>133</v>
      </c>
      <c r="C1" s="445"/>
      <c r="D1" s="445"/>
      <c r="E1" s="445"/>
      <c r="F1" s="445"/>
      <c r="G1" s="445"/>
      <c r="H1" s="445"/>
      <c r="I1" s="445"/>
      <c r="J1" s="445"/>
      <c r="P1" s="456"/>
      <c r="Q1" s="456"/>
      <c r="R1" s="456"/>
      <c r="S1" s="456"/>
      <c r="T1" s="456"/>
    </row>
    <row r="2" spans="1:25" ht="27.75" customHeight="1" x14ac:dyDescent="0.3">
      <c r="B2" s="445"/>
      <c r="C2" s="445"/>
      <c r="D2" s="445"/>
      <c r="E2" s="445"/>
      <c r="F2" s="445"/>
      <c r="G2" s="445"/>
      <c r="H2" s="445"/>
      <c r="I2" s="445"/>
      <c r="J2" s="445"/>
      <c r="P2" s="456"/>
      <c r="Q2" s="456"/>
      <c r="R2" s="456"/>
      <c r="S2" s="456"/>
      <c r="T2" s="456"/>
    </row>
    <row r="3" spans="1:25" ht="15" thickBot="1" x14ac:dyDescent="0.35">
      <c r="C3" s="5"/>
      <c r="D3" s="5"/>
    </row>
    <row r="4" spans="1:25" ht="27" customHeight="1" x14ac:dyDescent="0.45">
      <c r="A4" s="452" t="s">
        <v>1</v>
      </c>
      <c r="B4" s="460"/>
      <c r="C4" s="460"/>
      <c r="D4" s="460"/>
      <c r="E4" s="453"/>
      <c r="G4" s="452" t="s">
        <v>2</v>
      </c>
      <c r="H4" s="460"/>
      <c r="I4" s="460"/>
      <c r="J4" s="460"/>
      <c r="K4" s="453"/>
      <c r="N4" s="446"/>
      <c r="O4" s="446"/>
      <c r="P4" s="446"/>
      <c r="Q4" s="5"/>
      <c r="R4" s="117"/>
      <c r="S4" s="117"/>
      <c r="U4" s="446"/>
      <c r="V4" s="446"/>
      <c r="W4" s="111"/>
      <c r="X4" s="111"/>
      <c r="Y4" s="111"/>
    </row>
    <row r="5" spans="1:25" x14ac:dyDescent="0.3">
      <c r="A5" s="461" t="s">
        <v>3</v>
      </c>
      <c r="B5" s="462"/>
      <c r="D5" s="462" t="s">
        <v>4</v>
      </c>
      <c r="E5" s="463"/>
      <c r="G5" s="461" t="s">
        <v>3</v>
      </c>
      <c r="H5" s="462"/>
      <c r="J5" s="462" t="s">
        <v>4</v>
      </c>
      <c r="K5" s="463"/>
      <c r="M5" s="7"/>
      <c r="N5" s="5"/>
      <c r="Q5" s="5"/>
      <c r="R5" s="7"/>
      <c r="S5" s="5"/>
      <c r="V5" s="78"/>
    </row>
    <row r="6" spans="1:25" x14ac:dyDescent="0.3">
      <c r="A6" s="99" t="s">
        <v>5</v>
      </c>
      <c r="B6" s="85"/>
      <c r="D6" s="6" t="s">
        <v>6</v>
      </c>
      <c r="E6" s="100"/>
      <c r="G6" s="99" t="s">
        <v>5</v>
      </c>
      <c r="H6" s="85"/>
      <c r="J6" s="6" t="s">
        <v>6</v>
      </c>
      <c r="K6" s="98"/>
      <c r="M6" s="439"/>
      <c r="N6" s="439"/>
      <c r="O6" s="439"/>
      <c r="P6" s="439"/>
      <c r="Q6" s="5"/>
      <c r="R6" s="6"/>
      <c r="S6" s="85"/>
      <c r="V6" s="78"/>
    </row>
    <row r="7" spans="1:25" x14ac:dyDescent="0.3">
      <c r="A7" s="101" t="s">
        <v>7</v>
      </c>
      <c r="B7" s="78">
        <v>120000000</v>
      </c>
      <c r="D7" t="s">
        <v>10</v>
      </c>
      <c r="E7" s="104">
        <v>52500000</v>
      </c>
      <c r="G7" s="101" t="s">
        <v>7</v>
      </c>
      <c r="H7" s="78">
        <v>249500000</v>
      </c>
      <c r="J7" t="s">
        <v>10</v>
      </c>
      <c r="K7" s="104">
        <v>47500000</v>
      </c>
      <c r="M7" s="439"/>
      <c r="N7" s="439"/>
      <c r="O7" s="439"/>
      <c r="P7" s="439"/>
      <c r="Q7" s="5"/>
      <c r="S7" s="5"/>
      <c r="V7" s="78"/>
    </row>
    <row r="8" spans="1:25" x14ac:dyDescent="0.3">
      <c r="A8" s="101" t="s">
        <v>9</v>
      </c>
      <c r="B8" s="78">
        <v>105000000</v>
      </c>
      <c r="D8" t="s">
        <v>95</v>
      </c>
      <c r="E8" s="104">
        <v>15000000</v>
      </c>
      <c r="G8" s="101" t="s">
        <v>9</v>
      </c>
      <c r="H8" s="78">
        <v>141000000</v>
      </c>
      <c r="J8" t="s">
        <v>95</v>
      </c>
      <c r="K8" s="104">
        <v>18000000</v>
      </c>
      <c r="M8" s="441"/>
      <c r="N8" s="441"/>
      <c r="O8" s="441"/>
      <c r="P8" s="441"/>
      <c r="Q8" s="5"/>
      <c r="S8" s="5"/>
      <c r="V8" s="78"/>
    </row>
    <row r="9" spans="1:25" x14ac:dyDescent="0.3">
      <c r="A9" s="101" t="s">
        <v>11</v>
      </c>
      <c r="B9" s="78">
        <v>292500000</v>
      </c>
      <c r="D9" t="s">
        <v>98</v>
      </c>
      <c r="E9" s="104">
        <v>67500000</v>
      </c>
      <c r="G9" s="101" t="s">
        <v>11</v>
      </c>
      <c r="H9" s="78">
        <v>310500000</v>
      </c>
      <c r="J9" t="s">
        <v>98</v>
      </c>
      <c r="K9" s="104">
        <v>65500000</v>
      </c>
      <c r="M9" s="439"/>
      <c r="N9" s="439"/>
      <c r="O9" s="439"/>
      <c r="P9" s="439"/>
      <c r="Q9" s="5"/>
      <c r="S9" s="5"/>
      <c r="V9" s="78"/>
    </row>
    <row r="10" spans="1:25" x14ac:dyDescent="0.3">
      <c r="A10" s="101" t="s">
        <v>134</v>
      </c>
      <c r="B10" s="78">
        <v>2000000</v>
      </c>
      <c r="E10" s="104"/>
      <c r="G10" s="101" t="s">
        <v>134</v>
      </c>
      <c r="H10" s="78">
        <v>2500000</v>
      </c>
      <c r="K10" s="104"/>
      <c r="M10" s="439"/>
      <c r="N10" s="439"/>
      <c r="O10" s="439"/>
      <c r="P10" s="439"/>
      <c r="Q10" s="5"/>
      <c r="S10" s="5"/>
      <c r="V10" s="78"/>
    </row>
    <row r="11" spans="1:25" x14ac:dyDescent="0.3">
      <c r="A11" s="101" t="s">
        <v>135</v>
      </c>
      <c r="B11" s="78">
        <v>519500000</v>
      </c>
      <c r="D11" s="6" t="s">
        <v>136</v>
      </c>
      <c r="E11" s="125"/>
      <c r="G11" s="101" t="s">
        <v>135</v>
      </c>
      <c r="H11" s="78">
        <v>703500000</v>
      </c>
      <c r="J11" s="6" t="s">
        <v>136</v>
      </c>
      <c r="K11" s="104"/>
      <c r="M11" s="439"/>
      <c r="N11" s="439"/>
      <c r="O11" s="439"/>
      <c r="P11" s="439"/>
      <c r="Q11" s="5"/>
      <c r="S11" s="85"/>
      <c r="V11" s="78"/>
    </row>
    <row r="12" spans="1:25" x14ac:dyDescent="0.3">
      <c r="A12" s="99"/>
      <c r="B12" s="102"/>
      <c r="D12" t="s">
        <v>137</v>
      </c>
      <c r="E12" s="104">
        <v>63500000</v>
      </c>
      <c r="G12" s="99"/>
      <c r="H12" s="102"/>
      <c r="J12" t="s">
        <v>137</v>
      </c>
      <c r="K12" s="104">
        <v>153500000</v>
      </c>
      <c r="M12" s="439"/>
      <c r="N12" s="439"/>
      <c r="O12" s="439"/>
      <c r="P12" s="439"/>
      <c r="Q12" s="5"/>
      <c r="R12" s="6"/>
      <c r="S12" s="5"/>
      <c r="U12" s="6"/>
      <c r="V12" s="78"/>
    </row>
    <row r="13" spans="1:25" x14ac:dyDescent="0.3">
      <c r="A13" s="99" t="s">
        <v>102</v>
      </c>
      <c r="B13" s="78"/>
      <c r="D13" t="s">
        <v>107</v>
      </c>
      <c r="E13" s="104">
        <v>250000000</v>
      </c>
      <c r="G13" s="99" t="s">
        <v>102</v>
      </c>
      <c r="H13" s="78"/>
      <c r="J13" t="s">
        <v>107</v>
      </c>
      <c r="K13" s="104">
        <v>291000000</v>
      </c>
      <c r="M13" s="441"/>
      <c r="N13" s="441"/>
      <c r="O13" s="441"/>
      <c r="P13" s="441"/>
      <c r="Q13" s="5"/>
      <c r="S13" s="5"/>
      <c r="V13" s="78"/>
    </row>
    <row r="14" spans="1:25" x14ac:dyDescent="0.3">
      <c r="A14" s="101" t="s">
        <v>138</v>
      </c>
      <c r="B14" s="78">
        <v>50000000</v>
      </c>
      <c r="D14" s="7" t="s">
        <v>139</v>
      </c>
      <c r="E14" s="104">
        <v>17500000</v>
      </c>
      <c r="G14" s="101" t="s">
        <v>138</v>
      </c>
      <c r="H14" s="78">
        <v>50000000</v>
      </c>
      <c r="J14" s="7" t="s">
        <v>139</v>
      </c>
      <c r="K14" s="104">
        <v>19700000</v>
      </c>
      <c r="M14" s="441"/>
      <c r="N14" s="441"/>
      <c r="O14" s="441"/>
      <c r="P14" s="441"/>
      <c r="Q14" s="5"/>
      <c r="S14" s="5"/>
      <c r="V14" s="78"/>
    </row>
    <row r="15" spans="1:25" x14ac:dyDescent="0.3">
      <c r="A15" s="101" t="s">
        <v>106</v>
      </c>
      <c r="B15" s="78">
        <v>258500000</v>
      </c>
      <c r="D15" t="s">
        <v>112</v>
      </c>
      <c r="E15" s="104">
        <v>331000000</v>
      </c>
      <c r="G15" s="101" t="s">
        <v>106</v>
      </c>
      <c r="H15" s="78">
        <v>208500000</v>
      </c>
      <c r="J15" t="s">
        <v>112</v>
      </c>
      <c r="K15" s="104">
        <v>464200000</v>
      </c>
      <c r="M15" s="439"/>
      <c r="N15" s="439"/>
      <c r="O15" s="439"/>
      <c r="P15" s="439"/>
      <c r="Q15" s="5"/>
      <c r="S15" s="5"/>
      <c r="V15" s="78"/>
    </row>
    <row r="16" spans="1:25" x14ac:dyDescent="0.3">
      <c r="A16" s="101" t="s">
        <v>140</v>
      </c>
      <c r="B16" s="78">
        <v>110000000</v>
      </c>
      <c r="E16" s="104"/>
      <c r="G16" s="101" t="s">
        <v>140</v>
      </c>
      <c r="H16" s="78">
        <v>230000000</v>
      </c>
      <c r="K16" s="104"/>
      <c r="M16" s="439"/>
      <c r="N16" s="439"/>
      <c r="O16" s="439"/>
      <c r="P16" s="439"/>
      <c r="Q16" s="5"/>
      <c r="S16" s="5"/>
      <c r="V16" s="78"/>
    </row>
    <row r="17" spans="1:22" x14ac:dyDescent="0.3">
      <c r="A17" s="101" t="s">
        <v>141</v>
      </c>
      <c r="B17" s="78">
        <v>-100000000</v>
      </c>
      <c r="D17" s="6" t="s">
        <v>142</v>
      </c>
      <c r="E17" s="78"/>
      <c r="G17" s="101" t="s">
        <v>141</v>
      </c>
      <c r="H17" s="78">
        <v>-71440000</v>
      </c>
      <c r="J17" s="6" t="s">
        <v>142</v>
      </c>
      <c r="K17" s="104"/>
      <c r="M17" s="441"/>
      <c r="N17" s="441"/>
      <c r="O17" s="441"/>
      <c r="P17" s="441"/>
      <c r="Q17" s="5"/>
      <c r="S17" s="5"/>
      <c r="V17" s="78"/>
    </row>
    <row r="18" spans="1:22" x14ac:dyDescent="0.3">
      <c r="A18" s="101" t="s">
        <v>113</v>
      </c>
      <c r="B18" s="78">
        <v>318500000</v>
      </c>
      <c r="D18" t="s">
        <v>143</v>
      </c>
      <c r="E18" s="104">
        <v>240000000</v>
      </c>
      <c r="G18" s="101" t="s">
        <v>113</v>
      </c>
      <c r="H18" s="78">
        <v>417060000</v>
      </c>
      <c r="J18" t="s">
        <v>143</v>
      </c>
      <c r="K18" s="104">
        <v>340000000</v>
      </c>
      <c r="M18" s="439"/>
      <c r="N18" s="439"/>
      <c r="O18" s="439"/>
      <c r="P18" s="439"/>
      <c r="Q18" s="5"/>
      <c r="S18" s="85"/>
      <c r="U18" s="7"/>
      <c r="V18" s="78"/>
    </row>
    <row r="19" spans="1:22" x14ac:dyDescent="0.3">
      <c r="A19" s="101"/>
      <c r="B19" s="78"/>
      <c r="D19" t="s">
        <v>144</v>
      </c>
      <c r="E19" s="104">
        <v>199500000</v>
      </c>
      <c r="G19" s="101"/>
      <c r="H19" s="78"/>
      <c r="J19" t="s">
        <v>144</v>
      </c>
      <c r="K19" s="104">
        <v>250860000</v>
      </c>
      <c r="M19" s="439"/>
      <c r="N19" s="439"/>
      <c r="O19" s="439"/>
      <c r="P19" s="439"/>
      <c r="Q19" s="5"/>
      <c r="R19" s="7"/>
      <c r="S19" s="5"/>
      <c r="V19" s="78"/>
    </row>
    <row r="20" spans="1:22" x14ac:dyDescent="0.3">
      <c r="A20" s="99" t="s">
        <v>114</v>
      </c>
      <c r="B20" s="78">
        <v>838000000</v>
      </c>
      <c r="E20" s="104"/>
      <c r="G20" s="99" t="s">
        <v>114</v>
      </c>
      <c r="H20" s="78">
        <v>1120560000</v>
      </c>
      <c r="K20" s="104"/>
      <c r="M20" s="439"/>
      <c r="N20" s="439"/>
      <c r="O20" s="439"/>
      <c r="P20" s="439"/>
      <c r="Q20" s="5"/>
      <c r="S20" s="78"/>
    </row>
    <row r="21" spans="1:22" x14ac:dyDescent="0.3">
      <c r="A21" s="101"/>
      <c r="D21" t="s">
        <v>145</v>
      </c>
      <c r="E21" s="104">
        <v>439500000</v>
      </c>
      <c r="G21" s="101"/>
      <c r="H21" s="78"/>
      <c r="J21" t="s">
        <v>145</v>
      </c>
      <c r="K21" s="104">
        <v>590860000</v>
      </c>
      <c r="L21" t="s">
        <v>146</v>
      </c>
      <c r="M21" s="439"/>
      <c r="N21" s="439"/>
      <c r="O21" s="439"/>
      <c r="P21" s="439"/>
      <c r="Q21" s="5"/>
      <c r="S21" s="78"/>
    </row>
    <row r="22" spans="1:22" x14ac:dyDescent="0.3">
      <c r="A22" s="101"/>
      <c r="E22" s="104"/>
      <c r="G22" s="101"/>
      <c r="H22" s="78"/>
      <c r="K22" s="104"/>
      <c r="L22" s="155">
        <f>K9 + K15</f>
        <v>529700000</v>
      </c>
      <c r="M22" s="439"/>
      <c r="N22" s="439"/>
      <c r="O22" s="439"/>
      <c r="P22" s="439"/>
      <c r="Q22" s="5"/>
      <c r="S22" s="78"/>
    </row>
    <row r="23" spans="1:22" ht="15" thickBot="1" x14ac:dyDescent="0.35">
      <c r="A23" s="112"/>
      <c r="B23" s="127"/>
      <c r="C23" s="108"/>
      <c r="D23" s="128" t="s">
        <v>147</v>
      </c>
      <c r="E23" s="113">
        <v>838000000</v>
      </c>
      <c r="G23" s="112"/>
      <c r="H23" s="127"/>
      <c r="I23" s="108"/>
      <c r="J23" s="128" t="s">
        <v>147</v>
      </c>
      <c r="K23" s="113">
        <v>1120560000</v>
      </c>
      <c r="M23" s="439"/>
      <c r="N23" s="439"/>
      <c r="O23" s="439"/>
      <c r="P23" s="439"/>
      <c r="Q23" s="5"/>
      <c r="S23" s="78"/>
    </row>
    <row r="24" spans="1:22" ht="15" thickBot="1" x14ac:dyDescent="0.35">
      <c r="N24" s="5"/>
      <c r="Q24" s="5"/>
    </row>
    <row r="25" spans="1:22" ht="23.4" x14ac:dyDescent="0.45">
      <c r="A25" s="454" t="s">
        <v>91</v>
      </c>
      <c r="B25" s="455"/>
      <c r="D25" s="454" t="s">
        <v>120</v>
      </c>
      <c r="E25" s="455"/>
      <c r="G25" s="454" t="s">
        <v>148</v>
      </c>
      <c r="H25" s="455"/>
      <c r="M25" s="7"/>
      <c r="N25" s="5"/>
      <c r="Q25" s="5"/>
    </row>
    <row r="26" spans="1:22" x14ac:dyDescent="0.3">
      <c r="A26" s="101" t="s">
        <v>28</v>
      </c>
      <c r="B26" s="104">
        <v>1750000000</v>
      </c>
      <c r="D26" s="101" t="s">
        <v>28</v>
      </c>
      <c r="E26" s="104">
        <v>1681000000</v>
      </c>
      <c r="G26" s="101"/>
      <c r="H26" s="98"/>
      <c r="M26" s="439"/>
      <c r="N26" s="439"/>
      <c r="O26" s="439"/>
      <c r="P26" s="439"/>
      <c r="Q26" s="5"/>
    </row>
    <row r="27" spans="1:22" x14ac:dyDescent="0.3">
      <c r="A27" s="101" t="s">
        <v>30</v>
      </c>
      <c r="B27" s="104">
        <v>890000000</v>
      </c>
      <c r="D27" s="101" t="s">
        <v>30</v>
      </c>
      <c r="E27" s="104">
        <v>880000000</v>
      </c>
      <c r="G27" s="124" t="s">
        <v>93</v>
      </c>
      <c r="H27" s="100"/>
      <c r="M27" s="439"/>
      <c r="N27" s="439"/>
      <c r="O27" s="439"/>
      <c r="P27" s="439"/>
      <c r="Q27" s="5"/>
    </row>
    <row r="28" spans="1:22" x14ac:dyDescent="0.3">
      <c r="A28" s="101"/>
      <c r="B28" s="104"/>
      <c r="D28" s="101"/>
      <c r="E28" s="104"/>
      <c r="G28" s="101" t="s">
        <v>94</v>
      </c>
      <c r="H28" s="104"/>
      <c r="N28" s="5"/>
      <c r="Q28" s="5"/>
    </row>
    <row r="29" spans="1:22" x14ac:dyDescent="0.3">
      <c r="A29" s="101" t="s">
        <v>35</v>
      </c>
      <c r="B29" s="104">
        <v>860000000</v>
      </c>
      <c r="D29" s="101" t="s">
        <v>35</v>
      </c>
      <c r="E29" s="104">
        <v>801000000</v>
      </c>
      <c r="G29" s="101" t="s">
        <v>96</v>
      </c>
      <c r="H29" s="104">
        <v>0</v>
      </c>
      <c r="L29">
        <f>B27/B9</f>
        <v>3.0427350427350426</v>
      </c>
      <c r="M29" s="7">
        <f>E27/H9</f>
        <v>2.8341384863123995</v>
      </c>
      <c r="N29" s="5"/>
      <c r="O29" s="138" t="s">
        <v>31</v>
      </c>
      <c r="Q29" s="5"/>
    </row>
    <row r="30" spans="1:22" ht="30" customHeight="1" x14ac:dyDescent="0.3">
      <c r="A30" s="101"/>
      <c r="B30" s="104"/>
      <c r="D30" s="101"/>
      <c r="E30" s="104"/>
      <c r="G30" s="122" t="s">
        <v>97</v>
      </c>
      <c r="H30" s="104">
        <f>B54</f>
        <v>2500000</v>
      </c>
      <c r="L30">
        <f>(B9/B27)*365</f>
        <v>119.95786516853933</v>
      </c>
      <c r="M30" s="114">
        <f>(H9/E27)*365</f>
        <v>128.78693181818181</v>
      </c>
      <c r="N30" s="114"/>
      <c r="O30" s="138" t="s">
        <v>33</v>
      </c>
      <c r="P30" s="114"/>
      <c r="Q30" s="5"/>
    </row>
    <row r="31" spans="1:22" x14ac:dyDescent="0.3">
      <c r="A31" s="101" t="s">
        <v>99</v>
      </c>
      <c r="B31" s="104">
        <v>585000000</v>
      </c>
      <c r="D31" s="101" t="s">
        <v>99</v>
      </c>
      <c r="E31" s="104">
        <v>560440000</v>
      </c>
      <c r="G31" s="101"/>
      <c r="H31" s="104"/>
      <c r="M31" s="114"/>
      <c r="N31" s="114"/>
      <c r="O31" s="138" t="s">
        <v>36</v>
      </c>
      <c r="P31" s="114"/>
      <c r="Q31" s="5"/>
    </row>
    <row r="32" spans="1:22" x14ac:dyDescent="0.3">
      <c r="A32" s="101" t="s">
        <v>41</v>
      </c>
      <c r="B32" s="104">
        <v>69000000</v>
      </c>
      <c r="D32" s="101" t="s">
        <v>41</v>
      </c>
      <c r="E32" s="104">
        <v>78000000</v>
      </c>
      <c r="G32" s="99" t="s">
        <v>101</v>
      </c>
      <c r="H32" s="125"/>
      <c r="M32" s="114"/>
      <c r="N32" s="114"/>
      <c r="O32" s="138"/>
      <c r="P32" s="114"/>
      <c r="Q32" s="5"/>
    </row>
    <row r="33" spans="1:17" x14ac:dyDescent="0.3">
      <c r="A33" s="101"/>
      <c r="B33" s="104"/>
      <c r="D33" s="101"/>
      <c r="E33" s="104"/>
      <c r="G33" s="101" t="s">
        <v>94</v>
      </c>
      <c r="H33" s="104"/>
      <c r="N33" s="5"/>
      <c r="O33" s="138"/>
      <c r="Q33" s="5"/>
    </row>
    <row r="34" spans="1:17" x14ac:dyDescent="0.3">
      <c r="A34" s="101" t="s">
        <v>46</v>
      </c>
      <c r="B34" s="104">
        <v>206000000</v>
      </c>
      <c r="D34" s="101" t="s">
        <v>46</v>
      </c>
      <c r="E34" s="104">
        <v>162560000</v>
      </c>
      <c r="G34" s="101" t="s">
        <v>105</v>
      </c>
      <c r="H34" s="104"/>
      <c r="L34" s="78">
        <f>B44/B20</f>
        <v>0.14749403341288783</v>
      </c>
      <c r="M34" s="178">
        <f>E44/H20</f>
        <v>0.10176697365602913</v>
      </c>
      <c r="N34" s="5"/>
      <c r="O34" s="138" t="s">
        <v>42</v>
      </c>
      <c r="Q34" s="5"/>
    </row>
    <row r="35" spans="1:17" x14ac:dyDescent="0.3">
      <c r="A35" s="101"/>
      <c r="B35" s="104"/>
      <c r="D35" s="101"/>
      <c r="E35" s="104"/>
      <c r="G35" s="101" t="s">
        <v>108</v>
      </c>
      <c r="H35" s="104">
        <f>H9</f>
        <v>310500000</v>
      </c>
      <c r="L35">
        <f>B44/E21</f>
        <v>0.28122866894197951</v>
      </c>
      <c r="M35" s="115">
        <f>E44/K21</f>
        <v>0.19300003384896591</v>
      </c>
      <c r="N35" s="115"/>
      <c r="O35" s="138" t="s">
        <v>44</v>
      </c>
      <c r="P35" s="115"/>
      <c r="Q35" s="5"/>
    </row>
    <row r="36" spans="1:17" x14ac:dyDescent="0.3">
      <c r="A36" s="101" t="s">
        <v>149</v>
      </c>
      <c r="B36" s="104"/>
      <c r="D36" s="101" t="s">
        <v>149</v>
      </c>
      <c r="E36" s="104"/>
      <c r="G36" s="101"/>
      <c r="H36" s="104"/>
      <c r="L36" s="78">
        <f>B40/B26</f>
        <v>0.11771428571428572</v>
      </c>
      <c r="M36" s="114">
        <f>E40/E26</f>
        <v>0.11306365258774539</v>
      </c>
      <c r="N36" s="114"/>
      <c r="O36" s="138" t="s">
        <v>47</v>
      </c>
      <c r="P36" s="114"/>
      <c r="Q36" s="5"/>
    </row>
    <row r="37" spans="1:17" x14ac:dyDescent="0.3">
      <c r="A37" s="101" t="s">
        <v>150</v>
      </c>
      <c r="B37" s="104">
        <v>0</v>
      </c>
      <c r="D37" s="101" t="s">
        <v>150</v>
      </c>
      <c r="E37" s="104">
        <v>30000000</v>
      </c>
      <c r="G37" s="99" t="s">
        <v>68</v>
      </c>
      <c r="H37" s="104"/>
      <c r="L37">
        <f>B34/B26</f>
        <v>0.11771428571428572</v>
      </c>
      <c r="M37" s="114">
        <f>E34/E26</f>
        <v>9.6704342653182632E-2</v>
      </c>
      <c r="N37" s="114"/>
      <c r="O37" s="138" t="s">
        <v>49</v>
      </c>
      <c r="P37" s="114"/>
      <c r="Q37" s="118"/>
    </row>
    <row r="38" spans="1:17" x14ac:dyDescent="0.3">
      <c r="A38" s="101" t="s">
        <v>151</v>
      </c>
      <c r="B38" s="104">
        <v>0</v>
      </c>
      <c r="D38" s="101" t="s">
        <v>151</v>
      </c>
      <c r="E38" s="104">
        <v>2500000</v>
      </c>
      <c r="G38" s="101" t="s">
        <v>102</v>
      </c>
      <c r="H38" s="104"/>
      <c r="L38">
        <f>B44/B26</f>
        <v>7.0628571428571429E-2</v>
      </c>
      <c r="M38" s="114">
        <f>E44/E26</f>
        <v>6.783819155264724E-2</v>
      </c>
      <c r="N38" s="114"/>
      <c r="O38" s="139" t="s">
        <v>52</v>
      </c>
      <c r="P38" s="114"/>
      <c r="Q38" s="5"/>
    </row>
    <row r="39" spans="1:17" x14ac:dyDescent="0.3">
      <c r="A39" s="101"/>
      <c r="B39" s="104"/>
      <c r="D39" s="101"/>
      <c r="E39" s="104"/>
      <c r="G39" s="101" t="s">
        <v>109</v>
      </c>
      <c r="H39" s="104"/>
      <c r="M39" s="439"/>
      <c r="N39" s="439"/>
      <c r="O39" s="439"/>
      <c r="P39" s="439"/>
      <c r="Q39" s="5"/>
    </row>
    <row r="40" spans="1:17" x14ac:dyDescent="0.3">
      <c r="A40" s="101" t="s">
        <v>51</v>
      </c>
      <c r="B40" s="104">
        <v>206000000</v>
      </c>
      <c r="D40" s="101" t="s">
        <v>51</v>
      </c>
      <c r="E40" s="104">
        <v>190060000</v>
      </c>
      <c r="G40" s="101"/>
      <c r="H40" s="104"/>
    </row>
    <row r="41" spans="1:17" ht="28.8" x14ac:dyDescent="0.3">
      <c r="A41" s="101"/>
      <c r="B41" s="104"/>
      <c r="D41" s="101"/>
      <c r="E41" s="104"/>
      <c r="G41" s="122" t="s">
        <v>115</v>
      </c>
      <c r="H41" s="104"/>
    </row>
    <row r="42" spans="1:17" x14ac:dyDescent="0.3">
      <c r="A42" s="101" t="s">
        <v>152</v>
      </c>
      <c r="B42" s="104">
        <v>82400000</v>
      </c>
      <c r="D42" s="101" t="s">
        <v>152</v>
      </c>
      <c r="E42" s="104">
        <v>76024000</v>
      </c>
      <c r="G42" s="101" t="s">
        <v>56</v>
      </c>
      <c r="H42" s="104"/>
    </row>
    <row r="43" spans="1:17" ht="28.8" x14ac:dyDescent="0.3">
      <c r="A43" s="101"/>
      <c r="B43" s="104"/>
      <c r="D43" s="101"/>
      <c r="E43" s="104"/>
      <c r="G43" s="122" t="s">
        <v>116</v>
      </c>
      <c r="H43" s="104"/>
    </row>
    <row r="44" spans="1:17" ht="15" thickBot="1" x14ac:dyDescent="0.35">
      <c r="A44" s="112" t="s">
        <v>153</v>
      </c>
      <c r="B44" s="113">
        <v>123600000</v>
      </c>
      <c r="D44" s="112" t="s">
        <v>153</v>
      </c>
      <c r="E44" s="113">
        <v>114036000</v>
      </c>
      <c r="G44" s="101"/>
      <c r="H44" s="104"/>
    </row>
    <row r="45" spans="1:17" ht="28.8" x14ac:dyDescent="0.3">
      <c r="G45" s="122" t="s">
        <v>118</v>
      </c>
      <c r="H45" s="104"/>
    </row>
    <row r="46" spans="1:17" ht="15" thickBot="1" x14ac:dyDescent="0.35">
      <c r="G46" s="101"/>
      <c r="H46" s="104"/>
    </row>
    <row r="47" spans="1:17" ht="30.6" x14ac:dyDescent="0.45">
      <c r="A47" s="454" t="s">
        <v>128</v>
      </c>
      <c r="B47" s="455"/>
      <c r="G47" s="122" t="s">
        <v>119</v>
      </c>
      <c r="H47" s="104"/>
    </row>
    <row r="48" spans="1:17" x14ac:dyDescent="0.3">
      <c r="A48" s="97"/>
      <c r="B48" s="98"/>
      <c r="G48" s="101"/>
      <c r="H48" s="104"/>
    </row>
    <row r="49" spans="1:8" x14ac:dyDescent="0.3">
      <c r="A49" s="99" t="s">
        <v>62</v>
      </c>
      <c r="B49" s="121"/>
      <c r="G49" s="99" t="s">
        <v>121</v>
      </c>
      <c r="H49" s="104"/>
    </row>
    <row r="50" spans="1:8" x14ac:dyDescent="0.3">
      <c r="A50" s="132" t="s">
        <v>64</v>
      </c>
      <c r="B50" s="105"/>
      <c r="G50" s="101" t="s">
        <v>122</v>
      </c>
      <c r="H50" s="104"/>
    </row>
    <row r="51" spans="1:8" x14ac:dyDescent="0.3">
      <c r="A51" s="101" t="s">
        <v>154</v>
      </c>
      <c r="B51" s="104">
        <v>114036000</v>
      </c>
      <c r="G51" s="101" t="s">
        <v>123</v>
      </c>
      <c r="H51" s="104"/>
    </row>
    <row r="52" spans="1:8" x14ac:dyDescent="0.3">
      <c r="A52" s="101" t="s">
        <v>155</v>
      </c>
      <c r="B52" s="104">
        <v>27940000</v>
      </c>
      <c r="G52" s="101"/>
      <c r="H52" s="104"/>
    </row>
    <row r="53" spans="1:8" x14ac:dyDescent="0.3">
      <c r="A53" s="101" t="s">
        <v>156</v>
      </c>
      <c r="B53" s="104">
        <v>22000000</v>
      </c>
      <c r="G53" s="99" t="s">
        <v>84</v>
      </c>
      <c r="H53" s="104"/>
    </row>
    <row r="54" spans="1:8" x14ac:dyDescent="0.3">
      <c r="A54" s="101" t="s">
        <v>157</v>
      </c>
      <c r="B54" s="104">
        <v>2500000</v>
      </c>
      <c r="G54" s="101" t="s">
        <v>71</v>
      </c>
      <c r="H54" s="104">
        <f>B77</f>
        <v>100000000</v>
      </c>
    </row>
    <row r="55" spans="1:8" x14ac:dyDescent="0.3">
      <c r="A55" s="101" t="s">
        <v>158</v>
      </c>
      <c r="B55" s="104">
        <v>5000000</v>
      </c>
      <c r="G55" s="101" t="s">
        <v>159</v>
      </c>
      <c r="H55" s="104">
        <f>B79</f>
        <v>84476000</v>
      </c>
    </row>
    <row r="56" spans="1:8" x14ac:dyDescent="0.3">
      <c r="A56" s="132" t="s">
        <v>72</v>
      </c>
      <c r="B56" s="104"/>
      <c r="G56" s="101"/>
      <c r="H56" s="104"/>
    </row>
    <row r="57" spans="1:8" x14ac:dyDescent="0.3">
      <c r="A57" s="101" t="s">
        <v>160</v>
      </c>
      <c r="B57" s="104">
        <v>36000000</v>
      </c>
      <c r="G57" s="99" t="s">
        <v>104</v>
      </c>
      <c r="H57" s="104"/>
    </row>
    <row r="58" spans="1:8" x14ac:dyDescent="0.3">
      <c r="A58" s="101" t="s">
        <v>161</v>
      </c>
      <c r="B58" s="104">
        <v>18000000</v>
      </c>
      <c r="G58" s="101" t="s">
        <v>122</v>
      </c>
      <c r="H58" s="104"/>
    </row>
    <row r="59" spans="1:8" x14ac:dyDescent="0.3">
      <c r="A59" s="101" t="s">
        <v>162</v>
      </c>
      <c r="B59" s="104">
        <v>500000</v>
      </c>
      <c r="G59" s="101" t="s">
        <v>123</v>
      </c>
      <c r="H59" s="104"/>
    </row>
    <row r="60" spans="1:8" x14ac:dyDescent="0.3">
      <c r="A60" s="101" t="s">
        <v>163</v>
      </c>
      <c r="B60" s="104">
        <v>5000000</v>
      </c>
      <c r="G60" s="101"/>
      <c r="H60" s="104"/>
    </row>
    <row r="61" spans="1:8" x14ac:dyDescent="0.3">
      <c r="A61" s="101" t="s">
        <v>164</v>
      </c>
      <c r="B61" s="104">
        <v>30000000</v>
      </c>
      <c r="G61" s="101" t="s">
        <v>126</v>
      </c>
      <c r="H61" s="104"/>
    </row>
    <row r="62" spans="1:8" x14ac:dyDescent="0.3">
      <c r="A62" s="101"/>
      <c r="B62" s="104"/>
      <c r="G62" s="101"/>
      <c r="H62" s="104"/>
    </row>
    <row r="63" spans="1:8" ht="29.4" thickBot="1" x14ac:dyDescent="0.35">
      <c r="A63" s="122" t="s">
        <v>79</v>
      </c>
      <c r="B63" s="104">
        <v>81976000</v>
      </c>
      <c r="G63" s="112" t="s">
        <v>127</v>
      </c>
      <c r="H63" s="126">
        <f>E42 / E40</f>
        <v>0.4</v>
      </c>
    </row>
    <row r="64" spans="1:8" x14ac:dyDescent="0.3">
      <c r="A64" s="101"/>
      <c r="B64" s="104"/>
    </row>
    <row r="65" spans="1:2" x14ac:dyDescent="0.3">
      <c r="A65" s="99" t="s">
        <v>82</v>
      </c>
      <c r="B65" s="104"/>
    </row>
    <row r="66" spans="1:2" x14ac:dyDescent="0.3">
      <c r="A66" s="132" t="s">
        <v>64</v>
      </c>
      <c r="B66" s="104"/>
    </row>
    <row r="67" spans="1:2" x14ac:dyDescent="0.3">
      <c r="A67" s="101" t="s">
        <v>165</v>
      </c>
      <c r="B67" s="104">
        <v>11000000</v>
      </c>
    </row>
    <row r="68" spans="1:2" x14ac:dyDescent="0.3">
      <c r="A68" s="101" t="s">
        <v>166</v>
      </c>
      <c r="B68" s="104">
        <v>30000000</v>
      </c>
    </row>
    <row r="69" spans="1:2" x14ac:dyDescent="0.3">
      <c r="A69" s="132" t="s">
        <v>72</v>
      </c>
      <c r="B69" s="104"/>
    </row>
    <row r="70" spans="1:2" x14ac:dyDescent="0.3">
      <c r="A70" s="101" t="s">
        <v>167</v>
      </c>
      <c r="B70" s="104">
        <v>140000000</v>
      </c>
    </row>
    <row r="71" spans="1:2" x14ac:dyDescent="0.3">
      <c r="A71" s="101"/>
      <c r="B71" s="104"/>
    </row>
    <row r="72" spans="1:2" ht="28.8" x14ac:dyDescent="0.3">
      <c r="A72" s="122" t="s">
        <v>83</v>
      </c>
      <c r="B72" s="104">
        <v>-99000000</v>
      </c>
    </row>
    <row r="73" spans="1:2" x14ac:dyDescent="0.3">
      <c r="A73" s="101"/>
      <c r="B73" s="104"/>
    </row>
    <row r="74" spans="1:2" x14ac:dyDescent="0.3">
      <c r="A74" s="99" t="s">
        <v>84</v>
      </c>
      <c r="B74" s="104"/>
    </row>
    <row r="75" spans="1:2" x14ac:dyDescent="0.3">
      <c r="A75" s="101" t="s">
        <v>64</v>
      </c>
      <c r="B75" s="104"/>
    </row>
    <row r="76" spans="1:2" x14ac:dyDescent="0.3">
      <c r="A76" s="101" t="s">
        <v>168</v>
      </c>
      <c r="B76" s="104">
        <v>131000000</v>
      </c>
    </row>
    <row r="77" spans="1:2" x14ac:dyDescent="0.3">
      <c r="A77" s="101" t="s">
        <v>169</v>
      </c>
      <c r="B77" s="104">
        <v>100000000</v>
      </c>
    </row>
    <row r="78" spans="1:2" x14ac:dyDescent="0.3">
      <c r="A78" s="101" t="s">
        <v>72</v>
      </c>
      <c r="B78" s="104"/>
    </row>
    <row r="79" spans="1:2" x14ac:dyDescent="0.3">
      <c r="A79" s="101" t="s">
        <v>132</v>
      </c>
      <c r="B79" s="104">
        <v>84476000</v>
      </c>
    </row>
    <row r="80" spans="1:2" x14ac:dyDescent="0.3">
      <c r="A80" s="101"/>
      <c r="B80" s="104"/>
    </row>
    <row r="81" spans="1:2" ht="28.8" x14ac:dyDescent="0.3">
      <c r="A81" s="122" t="s">
        <v>86</v>
      </c>
      <c r="B81" s="104">
        <v>146524000</v>
      </c>
    </row>
    <row r="82" spans="1:2" x14ac:dyDescent="0.3">
      <c r="A82" s="101"/>
      <c r="B82" s="104"/>
    </row>
    <row r="83" spans="1:2" x14ac:dyDescent="0.3">
      <c r="A83" s="101" t="s">
        <v>87</v>
      </c>
      <c r="B83" s="104">
        <v>129500000</v>
      </c>
    </row>
    <row r="84" spans="1:2" x14ac:dyDescent="0.3">
      <c r="A84" s="101"/>
      <c r="B84" s="104"/>
    </row>
    <row r="85" spans="1:2" x14ac:dyDescent="0.3">
      <c r="A85" s="101" t="s">
        <v>88</v>
      </c>
      <c r="B85" s="104">
        <v>120000000</v>
      </c>
    </row>
    <row r="86" spans="1:2" ht="15" thickBot="1" x14ac:dyDescent="0.35">
      <c r="A86" s="112" t="s">
        <v>89</v>
      </c>
      <c r="B86" s="113">
        <v>249500000</v>
      </c>
    </row>
  </sheetData>
  <mergeCells count="35">
    <mergeCell ref="A47:B47"/>
    <mergeCell ref="G25:H25"/>
    <mergeCell ref="A5:B5"/>
    <mergeCell ref="D5:E5"/>
    <mergeCell ref="M39:P39"/>
    <mergeCell ref="M23:P23"/>
    <mergeCell ref="M26:P26"/>
    <mergeCell ref="M27:P27"/>
    <mergeCell ref="A25:B25"/>
    <mergeCell ref="D25:E25"/>
    <mergeCell ref="M12:P12"/>
    <mergeCell ref="M13:P13"/>
    <mergeCell ref="M14:P14"/>
    <mergeCell ref="M15:P15"/>
    <mergeCell ref="M7:P7"/>
    <mergeCell ref="M8:P8"/>
    <mergeCell ref="M9:P9"/>
    <mergeCell ref="M21:P21"/>
    <mergeCell ref="M10:P10"/>
    <mergeCell ref="M11:P11"/>
    <mergeCell ref="M22:P22"/>
    <mergeCell ref="M16:P16"/>
    <mergeCell ref="M17:P17"/>
    <mergeCell ref="M18:P18"/>
    <mergeCell ref="M19:P19"/>
    <mergeCell ref="M20:P20"/>
    <mergeCell ref="B1:J2"/>
    <mergeCell ref="P1:T2"/>
    <mergeCell ref="U4:V4"/>
    <mergeCell ref="N4:P4"/>
    <mergeCell ref="M6:P6"/>
    <mergeCell ref="A4:E4"/>
    <mergeCell ref="G4:K4"/>
    <mergeCell ref="G5:H5"/>
    <mergeCell ref="J5:K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202B-7203-40ED-B09A-BB97CCE47CEB}">
  <sheetPr>
    <tabColor rgb="FFFFFF00"/>
  </sheetPr>
  <dimension ref="B2:Y56"/>
  <sheetViews>
    <sheetView topLeftCell="D80" zoomScaleNormal="85" workbookViewId="0">
      <selection activeCell="K102" sqref="K102"/>
    </sheetView>
  </sheetViews>
  <sheetFormatPr baseColWidth="10" defaultColWidth="8.88671875" defaultRowHeight="14.4" x14ac:dyDescent="0.3"/>
  <cols>
    <col min="2" max="2" width="40.5546875" bestFit="1" customWidth="1"/>
    <col min="3" max="7" width="15.6640625" customWidth="1"/>
    <col min="8" max="8" width="18.109375" customWidth="1"/>
    <col min="9" max="9" width="7.109375" bestFit="1" customWidth="1"/>
    <col min="10" max="10" width="6" bestFit="1" customWidth="1"/>
    <col min="11" max="11" width="42" bestFit="1" customWidth="1"/>
  </cols>
  <sheetData>
    <row r="2" spans="2:16" ht="31.8" thickBot="1" x14ac:dyDescent="0.65">
      <c r="B2" s="456" t="s">
        <v>170</v>
      </c>
      <c r="C2" s="456"/>
      <c r="D2" s="456"/>
      <c r="E2" s="456"/>
      <c r="F2" s="456"/>
      <c r="G2" s="456"/>
      <c r="H2" s="456"/>
      <c r="I2" s="208"/>
    </row>
    <row r="3" spans="2:16" x14ac:dyDescent="0.3">
      <c r="B3" s="470" t="s">
        <v>171</v>
      </c>
      <c r="C3" s="468" t="s">
        <v>0</v>
      </c>
      <c r="D3" s="467"/>
      <c r="E3" s="468" t="s">
        <v>172</v>
      </c>
      <c r="F3" s="467"/>
      <c r="G3" s="468" t="s">
        <v>133</v>
      </c>
      <c r="H3" s="469"/>
      <c r="I3" t="s">
        <v>497</v>
      </c>
      <c r="K3" s="180"/>
    </row>
    <row r="4" spans="2:16" x14ac:dyDescent="0.3">
      <c r="B4" s="471"/>
      <c r="C4" s="134">
        <v>2013</v>
      </c>
      <c r="D4" s="140">
        <v>2014</v>
      </c>
      <c r="E4" s="134">
        <v>2013</v>
      </c>
      <c r="F4" s="140">
        <v>2014</v>
      </c>
      <c r="G4" s="134">
        <v>2013</v>
      </c>
      <c r="H4" s="212">
        <v>2014</v>
      </c>
      <c r="K4" s="181" t="s">
        <v>173</v>
      </c>
    </row>
    <row r="5" spans="2:16" x14ac:dyDescent="0.3">
      <c r="B5" s="336" t="s">
        <v>174</v>
      </c>
      <c r="C5" s="337"/>
      <c r="D5" s="202"/>
      <c r="E5" s="337"/>
      <c r="F5" s="202"/>
      <c r="G5" s="337"/>
      <c r="H5" s="338"/>
      <c r="K5" s="105"/>
    </row>
    <row r="6" spans="2:16" x14ac:dyDescent="0.3">
      <c r="B6" s="339" t="s">
        <v>175</v>
      </c>
      <c r="C6" s="340">
        <f>SUM('Partie 1 - MagNet'!B7:B10)/SUM('Partie 1 - MagNet'!E7:E9)</f>
        <v>1.7536496350364963</v>
      </c>
      <c r="D6" s="206">
        <f>SUM('Partie 1 - MagNet'!H7:H10)/SUM('Partie 1 - MagNet'!K7:K10)</f>
        <v>1.6623776287422425</v>
      </c>
      <c r="E6" s="341">
        <f>SUM('Partie 1 - SARLOS'!B7:B10)/'Partie 1 - SARLOS'!E10</f>
        <v>11.695364238410596</v>
      </c>
      <c r="F6" s="205">
        <f>SUM('Partie 1 - SARLOS'!B31:B34)/'Partie 1 - SARLOS'!E34</f>
        <v>13.735074626865671</v>
      </c>
      <c r="G6" s="341">
        <f>'Partie 1 - SkyTransit'!B11/'Partie 1 - SkyTransit'!E9</f>
        <v>7.6962962962962962</v>
      </c>
      <c r="H6" s="342">
        <f>'Partie 1 - SkyTransit'!H11/'Partie 1 - SkyTransit'!K9</f>
        <v>10.740458015267176</v>
      </c>
      <c r="I6">
        <v>12</v>
      </c>
      <c r="J6" s="436">
        <f t="shared" ref="J6:J25" si="0">I6</f>
        <v>12</v>
      </c>
      <c r="K6" s="105" t="s">
        <v>176</v>
      </c>
    </row>
    <row r="7" spans="2:16" x14ac:dyDescent="0.3">
      <c r="B7" s="339" t="s">
        <v>177</v>
      </c>
      <c r="C7" s="343">
        <f>('Partie 1 - MagNet'!B7+'Partie 1 - MagNet'!B8)/SUM('Partie 1 - MagNet'!E7:E9)</f>
        <v>1.0527169505271694</v>
      </c>
      <c r="D7" s="203">
        <f>('Partie 1 - MagNet'!H7+'Partie 1 - MagNet'!H8)/SUM('Partie 1 - MagNet'!K7:K10)</f>
        <v>1.0970665028413453</v>
      </c>
      <c r="E7" s="341">
        <f>(SUM('Partie 1 - SARLOS'!B7:B10)-'Partie 1 - SARLOS'!B9-'Partie 1 - SARLOS'!B10)/'Partie 1 - SARLOS'!E10</f>
        <v>7.3509933774834435</v>
      </c>
      <c r="F7" s="205">
        <f>(SUM('Partie 1 - SARLOS'!B31:B34)-'Partie 1 - SARLOS'!B33-'Partie 1 - SARLOS'!B34)/'Partie 1 - SARLOS'!E34</f>
        <v>9.5796019900497509</v>
      </c>
      <c r="G7" s="341">
        <f>('Partie 1 - SkyTransit'!B11-'Partie 1 - SkyTransit'!B9-'Partie 1 - SkyTransit'!B10)/'Partie 1 - SkyTransit'!E9</f>
        <v>3.3333333333333335</v>
      </c>
      <c r="H7" s="342">
        <f>('Partie 1 - SkyTransit'!H11-'Partie 1 - SkyTransit'!H9-'Partie 1 - SkyTransit'!H10)/'Partie 1 - SkyTransit'!K9</f>
        <v>5.9618320610687023</v>
      </c>
      <c r="I7">
        <v>8.5</v>
      </c>
      <c r="J7" s="436">
        <f t="shared" si="0"/>
        <v>8.5</v>
      </c>
      <c r="K7" s="105" t="s">
        <v>178</v>
      </c>
    </row>
    <row r="8" spans="2:16" x14ac:dyDescent="0.3">
      <c r="B8" s="339"/>
      <c r="C8" s="337"/>
      <c r="D8" s="202"/>
      <c r="E8" s="337"/>
      <c r="F8" s="202"/>
      <c r="G8" s="337"/>
      <c r="H8" s="338"/>
      <c r="J8" s="436">
        <f t="shared" si="0"/>
        <v>0</v>
      </c>
      <c r="K8" s="105"/>
    </row>
    <row r="9" spans="2:16" x14ac:dyDescent="0.3">
      <c r="B9" s="336" t="s">
        <v>179</v>
      </c>
      <c r="C9" s="337"/>
      <c r="D9" s="202"/>
      <c r="E9" s="337"/>
      <c r="F9" s="202"/>
      <c r="G9" s="337"/>
      <c r="H9" s="338"/>
      <c r="J9" s="436">
        <f t="shared" si="0"/>
        <v>0</v>
      </c>
      <c r="K9" s="105"/>
    </row>
    <row r="10" spans="2:16" x14ac:dyDescent="0.3">
      <c r="B10" s="339" t="s">
        <v>180</v>
      </c>
      <c r="C10" s="367">
        <f>SUM('Partie 1 - MagNet'!E7:E12)/'Partie 1 - MagNet'!B18</f>
        <v>0.55179199939446699</v>
      </c>
      <c r="D10" s="368">
        <f>SUM('Partie 1 - MagNet'!K7:K12)/'Partie 1 - MagNet'!H18</f>
        <v>0.6849698366875252</v>
      </c>
      <c r="E10" s="344">
        <f>('Partie 1 - SARLOS'!E10+'Partie 1 - SARLOS'!E17)/'Partie 1 - SARLOS'!B20</f>
        <v>0.39922680412371137</v>
      </c>
      <c r="F10" s="204">
        <f>('Partie 1 - SARLOS'!E34+'Partie 1 - SARLOS'!E41)/'Partie 1 - SARLOS'!B44</f>
        <v>0.3632299596382772</v>
      </c>
      <c r="G10" s="344">
        <f>('Partie 1 - SkyTransit'!E9+'Partie 1 - SkyTransit'!E15)/'Partie 1 - SkyTransit'!B20</f>
        <v>0.47553699284009548</v>
      </c>
      <c r="H10" s="345">
        <f>('Partie 1 - SkyTransit'!K9+'Partie 1 - SkyTransit'!K15)/'Partie 1 - SkyTransit'!H20</f>
        <v>0.47271007353466127</v>
      </c>
      <c r="I10" s="118">
        <v>0.4</v>
      </c>
      <c r="J10" s="436">
        <f t="shared" si="0"/>
        <v>0.4</v>
      </c>
      <c r="K10" s="105" t="s">
        <v>181</v>
      </c>
    </row>
    <row r="11" spans="2:16" x14ac:dyDescent="0.3">
      <c r="B11" s="339" t="s">
        <v>182</v>
      </c>
      <c r="C11" s="346"/>
      <c r="D11" s="205">
        <f>('Partie 1 - MagNet'!K35+'Partie 1 - MagNet'!E31)/'Partie 1 - MagNet'!E31</f>
        <v>9.5197594501718221</v>
      </c>
      <c r="E11" s="346">
        <f>('Partie 1 - SARLOS'!H15 + 'Partie 1 - SARLOS'!H11) / 'Partie 1 - SARLOS'!H11</f>
        <v>7.1294117647058828</v>
      </c>
      <c r="F11" s="205">
        <f>'Partie 1 - SARLOS'!H38 / SUM('Partie 1 - SARLOS'!K34,'Partie 1 - SARLOS'!K30,'Partie 1 - SARLOS'!K38) + 1</f>
        <v>7.4971428571428573</v>
      </c>
      <c r="G11" s="346">
        <f>('Partie 1 - SkyTransit'!B40 + 'Partie 1 - SkyTransit'!B32) / 'Partie 1 - SkyTransit'!B32</f>
        <v>3.9855072463768115</v>
      </c>
      <c r="H11" s="342">
        <f>('Partie 1 - SkyTransit'!E40 + 'Partie 1 - SkyTransit'!E32) / 'Partie 1 - SkyTransit'!E32</f>
        <v>3.4366666666666665</v>
      </c>
      <c r="I11">
        <v>5</v>
      </c>
      <c r="J11" s="436">
        <f t="shared" si="0"/>
        <v>5</v>
      </c>
      <c r="K11" s="105" t="s">
        <v>183</v>
      </c>
    </row>
    <row r="12" spans="2:16" x14ac:dyDescent="0.3">
      <c r="B12" s="339"/>
      <c r="C12" s="337"/>
      <c r="D12" s="202"/>
      <c r="E12" s="337"/>
      <c r="F12" s="202"/>
      <c r="G12" s="337"/>
      <c r="H12" s="338"/>
      <c r="J12" s="436">
        <f t="shared" si="0"/>
        <v>0</v>
      </c>
      <c r="K12" s="105"/>
    </row>
    <row r="13" spans="2:16" x14ac:dyDescent="0.3">
      <c r="B13" s="336" t="s">
        <v>184</v>
      </c>
      <c r="C13" s="337"/>
      <c r="D13" s="202"/>
      <c r="E13" s="337"/>
      <c r="F13" s="202"/>
      <c r="G13" s="337"/>
      <c r="H13" s="338"/>
      <c r="J13" s="436">
        <f t="shared" si="0"/>
        <v>0</v>
      </c>
      <c r="K13" s="105"/>
    </row>
    <row r="14" spans="2:16" x14ac:dyDescent="0.3">
      <c r="B14" s="339" t="s">
        <v>185</v>
      </c>
      <c r="C14" s="346"/>
      <c r="D14" s="205">
        <f>'Partie 1 - MagNet'!K24 / 'Partie 1 - MagNet'!H8</f>
        <v>12.71</v>
      </c>
      <c r="E14" s="369">
        <f>'Partie 1 - SARLOS'!H5 / 'Partie 1 - SARLOS'!B8</f>
        <v>15.314285714285715</v>
      </c>
      <c r="F14" s="205">
        <f>'Partie 1 - SARLOS'!H29 / 'Partie 1 - SARLOS'!B32</f>
        <v>15.166393889798146</v>
      </c>
      <c r="G14" s="346">
        <f>'Partie 1 - SkyTransit'!B26 / 'Partie 1 - SkyTransit'!B8</f>
        <v>16.666666666666668</v>
      </c>
      <c r="H14" s="347">
        <f>'Partie 1 - SkyTransit'!E26/'Partie 1 - SkyTransit'!H8</f>
        <v>11.921985815602836</v>
      </c>
      <c r="I14">
        <v>14</v>
      </c>
      <c r="J14" s="436">
        <f t="shared" si="0"/>
        <v>14</v>
      </c>
      <c r="K14" s="105" t="s">
        <v>186</v>
      </c>
      <c r="P14" s="7"/>
    </row>
    <row r="15" spans="2:16" x14ac:dyDescent="0.3">
      <c r="B15" s="339" t="s">
        <v>187</v>
      </c>
      <c r="C15" s="346"/>
      <c r="D15" s="205">
        <f>1 / D14 * 365</f>
        <v>28.717545239968526</v>
      </c>
      <c r="E15" s="341">
        <f>1/E14 * 365</f>
        <v>23.833955223880594</v>
      </c>
      <c r="F15" s="205">
        <f>1/F14*365</f>
        <v>24.066366906474819</v>
      </c>
      <c r="G15" s="346">
        <f>1/G14 * 365</f>
        <v>21.9</v>
      </c>
      <c r="H15" s="347">
        <f>1/H14*365</f>
        <v>30.615704937537181</v>
      </c>
      <c r="I15" s="179">
        <f>365 / I14</f>
        <v>26.071428571428573</v>
      </c>
      <c r="J15" s="437">
        <f t="shared" si="0"/>
        <v>26.071428571428573</v>
      </c>
      <c r="K15" s="105" t="s">
        <v>188</v>
      </c>
      <c r="P15" s="114"/>
    </row>
    <row r="16" spans="2:16" x14ac:dyDescent="0.3">
      <c r="B16" s="339" t="s">
        <v>189</v>
      </c>
      <c r="C16" s="346"/>
      <c r="D16" s="205">
        <f>'Partie 1 - MagNet'!R25</f>
        <v>6.5881738403677392</v>
      </c>
      <c r="E16" s="343">
        <f>'Partie 1 - SARLOS'!H6/'Partie 1 - SARLOS'!B9</f>
        <v>3.8978328173374615</v>
      </c>
      <c r="F16" s="203">
        <f>'Partie 1 - SARLOS'!H30/'Partie 1 - SARLOS'!B33</f>
        <v>3.9696048632218845</v>
      </c>
      <c r="G16" s="343">
        <f>'Partie 1 - SkyTransit'!L29</f>
        <v>3.0427350427350426</v>
      </c>
      <c r="H16" s="348">
        <f>'Partie 1 - SkyTransit'!M29</f>
        <v>2.8341384863123995</v>
      </c>
      <c r="I16">
        <v>4</v>
      </c>
      <c r="J16" s="436">
        <f t="shared" si="0"/>
        <v>4</v>
      </c>
      <c r="K16" s="105" t="s">
        <v>31</v>
      </c>
      <c r="P16" s="114"/>
    </row>
    <row r="17" spans="2:20" x14ac:dyDescent="0.3">
      <c r="B17" s="339" t="s">
        <v>190</v>
      </c>
      <c r="C17" s="346"/>
      <c r="D17" s="205">
        <f>'Partie 1 - MagNet'!R26</f>
        <v>55.402302495956356</v>
      </c>
      <c r="E17" s="349">
        <f>365 / E16</f>
        <v>93.641779189833201</v>
      </c>
      <c r="F17" s="205">
        <f xml:space="preserve"> 1 / F16 * 365</f>
        <v>91.94869831546707</v>
      </c>
      <c r="G17" s="349">
        <f>'Partie 1 - SkyTransit'!L30</f>
        <v>119.95786516853933</v>
      </c>
      <c r="H17" s="347">
        <f>'Partie 1 - SkyTransit'!M30</f>
        <v>128.78693181818181</v>
      </c>
      <c r="I17">
        <f>365 / I16</f>
        <v>91.25</v>
      </c>
      <c r="J17" s="436">
        <f t="shared" si="0"/>
        <v>91.25</v>
      </c>
      <c r="K17" s="105" t="s">
        <v>33</v>
      </c>
      <c r="P17" s="114"/>
    </row>
    <row r="18" spans="2:20" x14ac:dyDescent="0.3">
      <c r="B18" s="339" t="s">
        <v>513</v>
      </c>
      <c r="C18" s="346"/>
      <c r="D18" s="205">
        <f>'Partie 1 - MagNet'!R27</f>
        <v>1.504540403450026</v>
      </c>
      <c r="E18" s="349">
        <f>'Partie 1 - SkyTransit'!B44/'Partie 1 - SkyTransit'!B20</f>
        <v>0.14749403341288783</v>
      </c>
      <c r="F18" s="207">
        <f>'Partie 1 - SARLOS'!H42/'Partie 1 - SARLOS'!B44</f>
        <v>0.17427067899657692</v>
      </c>
      <c r="G18" s="340">
        <f>'Partie 1 - SkyTransit'!B26/'Partie 1 - SkyTransit'!B20</f>
        <v>2.0883054892601431</v>
      </c>
      <c r="H18" s="350">
        <f>'Partie 1 - SkyTransit'!E26/'Partie 1 - SkyTransit'!H20</f>
        <v>1.5001427857499821</v>
      </c>
      <c r="I18">
        <v>1.2</v>
      </c>
      <c r="J18" s="436">
        <f t="shared" si="0"/>
        <v>1.2</v>
      </c>
      <c r="K18" s="105" t="s">
        <v>36</v>
      </c>
    </row>
    <row r="19" spans="2:20" x14ac:dyDescent="0.3">
      <c r="B19" s="339"/>
      <c r="C19" s="337"/>
      <c r="D19" s="202"/>
      <c r="E19" s="337"/>
      <c r="F19" s="202"/>
      <c r="G19" s="337"/>
      <c r="H19" s="338"/>
      <c r="J19" s="436">
        <f t="shared" si="0"/>
        <v>0</v>
      </c>
      <c r="K19" s="105"/>
      <c r="O19" s="78"/>
      <c r="P19" s="178"/>
    </row>
    <row r="20" spans="2:20" x14ac:dyDescent="0.3">
      <c r="B20" s="336" t="s">
        <v>191</v>
      </c>
      <c r="C20" s="337"/>
      <c r="D20" s="202"/>
      <c r="E20" s="337"/>
      <c r="F20" s="202"/>
      <c r="G20" s="337"/>
      <c r="H20" s="338"/>
      <c r="J20" s="436">
        <f t="shared" si="0"/>
        <v>0</v>
      </c>
      <c r="K20" s="105"/>
      <c r="P20" s="115"/>
    </row>
    <row r="21" spans="2:20" x14ac:dyDescent="0.3">
      <c r="B21" s="339" t="s">
        <v>192</v>
      </c>
      <c r="C21" s="346"/>
      <c r="D21" s="203">
        <f>'Partie 1 - MagNet'!R30</f>
        <v>0.17608804698285493</v>
      </c>
      <c r="E21" s="349">
        <f>'Partie 1 - SkyTransit'!B44/'Partie 1 - SkyTransit'!B20</f>
        <v>0.14749403341288783</v>
      </c>
      <c r="F21" s="203">
        <f>'Partie 1 - SARLOS'!H42/'Partie 1 - SARLOS'!B44</f>
        <v>0.17427067899657692</v>
      </c>
      <c r="G21" s="349">
        <f>'Partie 1 - SkyTransit'!L34</f>
        <v>0.14749403341288783</v>
      </c>
      <c r="H21" s="347">
        <f>'Partie 1 - SkyTransit'!M34</f>
        <v>0.10176697365602913</v>
      </c>
      <c r="I21" s="118">
        <v>0.18</v>
      </c>
      <c r="J21" s="436">
        <f t="shared" si="0"/>
        <v>0.18</v>
      </c>
      <c r="K21" s="105" t="s">
        <v>42</v>
      </c>
      <c r="O21" s="78"/>
      <c r="P21" s="114"/>
      <c r="T21" s="7"/>
    </row>
    <row r="22" spans="2:20" x14ac:dyDescent="0.3">
      <c r="B22" s="339" t="s">
        <v>193</v>
      </c>
      <c r="C22" s="346"/>
      <c r="D22" s="205">
        <f>'Partie 1 - MagNet'!R31</f>
        <v>0.33384577404730914</v>
      </c>
      <c r="E22" s="343">
        <f>'Partie 1 - SARLOS'!H19/'Partie 1 - SARLOS'!E23</f>
        <v>0.298012298012298</v>
      </c>
      <c r="F22" s="203">
        <f>'Partie 1 - SARLOS'!H42/'Partie 1 - SARLOS'!E47</f>
        <v>0.27553616866593966</v>
      </c>
      <c r="G22" s="343">
        <f>'Partie 1 - SkyTransit'!L35</f>
        <v>0.28122866894197951</v>
      </c>
      <c r="H22" s="347">
        <f>'Partie 1 - SkyTransit'!M35</f>
        <v>0.19300003384896591</v>
      </c>
      <c r="I22" s="118">
        <v>0.28000000000000003</v>
      </c>
      <c r="J22" s="436">
        <f t="shared" si="0"/>
        <v>0.28000000000000003</v>
      </c>
      <c r="K22" s="105" t="s">
        <v>44</v>
      </c>
      <c r="P22" s="114"/>
      <c r="T22" s="114"/>
    </row>
    <row r="23" spans="2:20" x14ac:dyDescent="0.3">
      <c r="B23" s="339" t="s">
        <v>194</v>
      </c>
      <c r="C23" s="346"/>
      <c r="D23" s="205">
        <f>'Partie 1 - MagNet'!R32</f>
        <v>0.37979937057435093</v>
      </c>
      <c r="E23" s="343">
        <f>'Partie 1 - SARLOS'!H8/'Partie 1 - SARLOS'!H5</f>
        <v>0.53022388059701497</v>
      </c>
      <c r="F23" s="203">
        <f>'Partie 1 - SARLOS'!H32/'Partie 1 - SARLOS'!H29</f>
        <v>0.53021582733812944</v>
      </c>
      <c r="G23" s="337">
        <f>'Partie 1 - SkyTransit'!B29 / 'Partie 1 - SkyTransit'!B26</f>
        <v>0.49142857142857144</v>
      </c>
      <c r="H23" s="347">
        <f>'Partie 1 - SkyTransit'!E29 / 'Partie 1 - SkyTransit'!E26</f>
        <v>0.4765020820939917</v>
      </c>
      <c r="I23" s="118">
        <v>0.5</v>
      </c>
      <c r="J23" s="436">
        <f t="shared" si="0"/>
        <v>0.5</v>
      </c>
      <c r="K23" s="105" t="s">
        <v>47</v>
      </c>
      <c r="P23" s="114"/>
      <c r="T23" s="114"/>
    </row>
    <row r="24" spans="2:20" x14ac:dyDescent="0.3">
      <c r="B24" s="339" t="s">
        <v>195</v>
      </c>
      <c r="C24" s="346"/>
      <c r="D24" s="205">
        <f>'Partie 1 - MagNet'!R33</f>
        <v>0.21795830055074744</v>
      </c>
      <c r="E24" s="343">
        <f>'Partie 1 - SARLOS'!H13/'Partie 1 - SARLOS'!H5</f>
        <v>0.19440298507462686</v>
      </c>
      <c r="F24" s="205">
        <f>'Partie 1 - SARLOS'!H36/'Partie 1 - SARLOS'!H29</f>
        <v>0.23597122302158274</v>
      </c>
      <c r="G24" s="349">
        <f>'Partie 1 - SkyTransit'!L37</f>
        <v>0.11771428571428572</v>
      </c>
      <c r="H24" s="347">
        <f>'Partie 1 - SkyTransit'!M37</f>
        <v>9.6704342653182632E-2</v>
      </c>
      <c r="I24" s="118">
        <v>0.2</v>
      </c>
      <c r="J24" s="436">
        <f t="shared" si="0"/>
        <v>0.2</v>
      </c>
      <c r="K24" s="105" t="s">
        <v>49</v>
      </c>
      <c r="T24" s="114"/>
    </row>
    <row r="25" spans="2:20" ht="15" thickBot="1" x14ac:dyDescent="0.35">
      <c r="B25" s="351" t="s">
        <v>196</v>
      </c>
      <c r="C25" s="352"/>
      <c r="D25" s="353">
        <f>'Partie 1 - MagNet'!R34</f>
        <v>0.11703776553894571</v>
      </c>
      <c r="E25" s="354">
        <f>'Partie 1 - SARLOS'!H19/'Partie 1 - SARLOS'!H5</f>
        <v>0.11664179104477612</v>
      </c>
      <c r="F25" s="353">
        <f>'Partie 1 - SARLOS'!H42/'Partie 1 - SARLOS'!H29</f>
        <v>0.12269784172661871</v>
      </c>
      <c r="G25" s="355">
        <f>'Partie 1 - SkyTransit'!L38</f>
        <v>7.0628571428571429E-2</v>
      </c>
      <c r="H25" s="356">
        <f>'Partie 1 - SkyTransit'!M38</f>
        <v>6.783819155264724E-2</v>
      </c>
      <c r="I25" s="118">
        <v>0.1</v>
      </c>
      <c r="J25" s="436">
        <f t="shared" si="0"/>
        <v>0.1</v>
      </c>
      <c r="K25" s="182" t="s">
        <v>52</v>
      </c>
    </row>
    <row r="26" spans="2:20" x14ac:dyDescent="0.3">
      <c r="S26" s="78"/>
      <c r="T26" s="178"/>
    </row>
    <row r="27" spans="2:20" x14ac:dyDescent="0.3">
      <c r="T27" s="115"/>
    </row>
    <row r="28" spans="2:20" x14ac:dyDescent="0.3">
      <c r="S28" s="78"/>
      <c r="T28" s="114"/>
    </row>
    <row r="29" spans="2:20" x14ac:dyDescent="0.3">
      <c r="T29" s="114"/>
    </row>
    <row r="30" spans="2:20" ht="15" thickBot="1" x14ac:dyDescent="0.35">
      <c r="T30" s="114"/>
    </row>
    <row r="31" spans="2:20" x14ac:dyDescent="0.3">
      <c r="B31" s="464" t="s">
        <v>197</v>
      </c>
      <c r="C31" s="466" t="s">
        <v>0</v>
      </c>
      <c r="D31" s="467"/>
      <c r="E31" s="468" t="s">
        <v>172</v>
      </c>
      <c r="F31" s="467"/>
      <c r="G31" s="468" t="s">
        <v>133</v>
      </c>
      <c r="H31" s="469"/>
    </row>
    <row r="32" spans="2:20" x14ac:dyDescent="0.3">
      <c r="B32" s="465"/>
      <c r="C32" s="211">
        <v>2013</v>
      </c>
      <c r="D32" s="140">
        <v>2014</v>
      </c>
      <c r="E32" s="134">
        <v>2013</v>
      </c>
      <c r="F32" s="140">
        <v>2014</v>
      </c>
      <c r="G32" s="134">
        <v>2013</v>
      </c>
      <c r="H32" s="212">
        <v>2014</v>
      </c>
    </row>
    <row r="33" spans="2:25" x14ac:dyDescent="0.3">
      <c r="B33" s="101" t="s">
        <v>153</v>
      </c>
      <c r="C33" s="213"/>
      <c r="D33" s="5">
        <f>'Partie 1 - MagNet'!K39</f>
        <v>5950200</v>
      </c>
      <c r="E33" s="5">
        <f>'Partie 1 - SARLOS'!H19</f>
        <v>31260000</v>
      </c>
      <c r="F33" s="5">
        <f>'Partie 1 - SARLOS'!H42</f>
        <v>34110000</v>
      </c>
      <c r="G33" s="5">
        <f>'Partie 1 - SkyTransit'!B44</f>
        <v>123600000</v>
      </c>
      <c r="H33" s="214">
        <f>'Partie 1 - SkyTransit'!E44</f>
        <v>114036000</v>
      </c>
    </row>
    <row r="34" spans="2:25" x14ac:dyDescent="0.3">
      <c r="B34" s="101" t="s">
        <v>89</v>
      </c>
      <c r="C34" s="215">
        <f>'Partie 1 - MagNet'!B7</f>
        <v>1510000</v>
      </c>
      <c r="D34" s="5">
        <f>'Partie 1 - MagNet'!Q38</f>
        <v>5643050</v>
      </c>
      <c r="E34" s="5">
        <f>'Partie 1 - SARLOS'!B7</f>
        <v>38000000</v>
      </c>
      <c r="F34" s="5">
        <f>'Partie 1 - SARLOS'!O36</f>
        <v>58690000</v>
      </c>
      <c r="G34" s="5">
        <f>'Partie 1 - SkyTransit'!B7</f>
        <v>120000000</v>
      </c>
      <c r="H34" s="214">
        <f>'Partie 1 - SkyTransit'!B86</f>
        <v>249500000</v>
      </c>
      <c r="U34">
        <f>'Partie 1 - SkyTransit'!L28</f>
        <v>0</v>
      </c>
      <c r="V34">
        <f>'Partie 1 - SkyTransit'!M28</f>
        <v>0</v>
      </c>
    </row>
    <row r="35" spans="2:25" x14ac:dyDescent="0.3">
      <c r="B35" s="101" t="s">
        <v>198</v>
      </c>
      <c r="C35" s="215">
        <f>'Partie 1 - MagNet'!B18</f>
        <v>26423000</v>
      </c>
      <c r="D35" s="5">
        <f>'Partie 1 - MagNet'!H18</f>
        <v>33791050</v>
      </c>
      <c r="E35" s="5">
        <f>'Partie 1 - SARLOS'!B20</f>
        <v>174600000</v>
      </c>
      <c r="F35" s="5">
        <f>'Partie 1 - SARLOS'!B44</f>
        <v>195730000</v>
      </c>
      <c r="G35" s="5">
        <f>'Partie 1 - SkyTransit'!B20</f>
        <v>838000000</v>
      </c>
      <c r="H35" s="214">
        <f>'Partie 1 - SkyTransit'!H20</f>
        <v>1120560000</v>
      </c>
      <c r="U35">
        <f>'Partie 1 - SkyTransit'!L29</f>
        <v>3.0427350427350426</v>
      </c>
      <c r="V35">
        <f>'Partie 1 - SkyTransit'!M29</f>
        <v>2.8341384863123995</v>
      </c>
    </row>
    <row r="36" spans="2:25" x14ac:dyDescent="0.3">
      <c r="B36" s="101" t="s">
        <v>199</v>
      </c>
      <c r="C36" s="215">
        <f>SUM('Partie 1 - MagNet'!E7:E12)</f>
        <v>14580000</v>
      </c>
      <c r="D36" s="5">
        <f>SUM('Partie 1 - MagNet'!K7:K12)</f>
        <v>23145850</v>
      </c>
      <c r="E36" s="5">
        <f>'Partie 1 - SARLOS'!E17+'Partie 1 - SARLOS'!E10</f>
        <v>69705000</v>
      </c>
      <c r="F36" s="5">
        <f>'Partie 1 - SARLOS'!E41+'Partie 1 - SARLOS'!E34</f>
        <v>71095000</v>
      </c>
      <c r="G36" s="5">
        <f>'Partie 1 - SkyTransit'!E15+'Partie 1 - SkyTransit'!E9</f>
        <v>398500000</v>
      </c>
      <c r="H36" s="214">
        <f>'Partie 1 - SkyTransit'!K15+'Partie 1 - SkyTransit'!K9</f>
        <v>529700000</v>
      </c>
      <c r="O36" s="7"/>
      <c r="U36">
        <f>'Partie 1 - SkyTransit'!L30</f>
        <v>119.95786516853933</v>
      </c>
      <c r="V36">
        <f>'Partie 1 - SkyTransit'!M30</f>
        <v>128.78693181818181</v>
      </c>
    </row>
    <row r="37" spans="2:25" ht="15" thickBot="1" x14ac:dyDescent="0.35">
      <c r="B37" s="112" t="s">
        <v>142</v>
      </c>
      <c r="C37" s="216">
        <f>'Partie 1 - MagNet'!E15+'Partie 1 - MagNet'!E16</f>
        <v>11843000</v>
      </c>
      <c r="D37" s="217">
        <f>'Partie 1 - MagNet'!K15+'Partie 1 - MagNet'!K16</f>
        <v>17823200</v>
      </c>
      <c r="E37" s="217">
        <f>'Partie 1 - SARLOS'!E23</f>
        <v>104895000</v>
      </c>
      <c r="F37" s="217">
        <f>'Partie 1 - SARLOS'!E47</f>
        <v>123795000</v>
      </c>
      <c r="G37" s="217">
        <f>'Partie 1 - SkyTransit'!E21</f>
        <v>439500000</v>
      </c>
      <c r="H37" s="218">
        <f>'Partie 1 - SkyTransit'!K21</f>
        <v>590860000</v>
      </c>
      <c r="O37" s="114"/>
      <c r="U37">
        <f>'Partie 1 - SkyTransit'!L31</f>
        <v>0</v>
      </c>
      <c r="V37">
        <f>'Partie 1 - SkyTransit'!M31</f>
        <v>0</v>
      </c>
    </row>
    <row r="38" spans="2:25" x14ac:dyDescent="0.3">
      <c r="O38" s="114"/>
      <c r="U38">
        <f>'Partie 1 - SkyTransit'!L32</f>
        <v>0</v>
      </c>
      <c r="V38">
        <f>'Partie 1 - SkyTransit'!M32</f>
        <v>0</v>
      </c>
    </row>
    <row r="39" spans="2:25" x14ac:dyDescent="0.3">
      <c r="O39" s="114"/>
      <c r="U39">
        <f>'Partie 1 - SkyTransit'!L33</f>
        <v>0</v>
      </c>
      <c r="V39">
        <f>'Partie 1 - SkyTransit'!M33</f>
        <v>0</v>
      </c>
      <c r="W39" s="7"/>
    </row>
    <row r="40" spans="2:25" x14ac:dyDescent="0.3">
      <c r="U40">
        <f>'Partie 1 - SkyTransit'!L34</f>
        <v>0.14749403341288783</v>
      </c>
      <c r="V40">
        <f>'Partie 1 - SkyTransit'!M34</f>
        <v>0.10176697365602913</v>
      </c>
      <c r="W40" s="114"/>
    </row>
    <row r="41" spans="2:25" x14ac:dyDescent="0.3">
      <c r="N41" s="78"/>
      <c r="O41" s="178"/>
      <c r="U41">
        <f>'Partie 1 - SkyTransit'!L35</f>
        <v>0.28122866894197951</v>
      </c>
      <c r="V41">
        <f>'Partie 1 - SkyTransit'!M35</f>
        <v>0.19300003384896591</v>
      </c>
      <c r="W41" s="114"/>
    </row>
    <row r="42" spans="2:25" x14ac:dyDescent="0.3">
      <c r="O42" s="115"/>
      <c r="T42" s="7"/>
      <c r="U42">
        <f>'Partie 1 - SkyTransit'!L36</f>
        <v>0.11771428571428572</v>
      </c>
      <c r="V42">
        <f>'Partie 1 - SkyTransit'!M36</f>
        <v>0.11306365258774539</v>
      </c>
      <c r="W42" s="114"/>
    </row>
    <row r="43" spans="2:25" x14ac:dyDescent="0.3">
      <c r="N43" s="78"/>
      <c r="O43" s="114"/>
      <c r="T43" s="114"/>
      <c r="U43">
        <f>'Partie 1 - SkyTransit'!L37</f>
        <v>0.11771428571428572</v>
      </c>
      <c r="V43">
        <f>'Partie 1 - SkyTransit'!M37</f>
        <v>9.6704342653182632E-2</v>
      </c>
    </row>
    <row r="44" spans="2:25" x14ac:dyDescent="0.3">
      <c r="O44" s="114"/>
      <c r="Q44" s="7"/>
      <c r="T44" s="114"/>
      <c r="U44">
        <f>'Partie 1 - SkyTransit'!L38</f>
        <v>7.0628571428571429E-2</v>
      </c>
      <c r="V44" s="78">
        <f>'Partie 1 - SkyTransit'!M38</f>
        <v>6.783819155264724E-2</v>
      </c>
      <c r="W44" s="178"/>
    </row>
    <row r="45" spans="2:25" x14ac:dyDescent="0.3">
      <c r="O45" s="114"/>
      <c r="Q45" s="114"/>
      <c r="T45" s="114"/>
      <c r="W45" s="115"/>
    </row>
    <row r="46" spans="2:25" x14ac:dyDescent="0.3">
      <c r="Q46" s="114"/>
      <c r="V46" s="78"/>
      <c r="W46" s="114"/>
    </row>
    <row r="47" spans="2:25" x14ac:dyDescent="0.3">
      <c r="Q47" s="114"/>
      <c r="S47" s="78"/>
      <c r="T47" s="178"/>
      <c r="W47" s="114"/>
      <c r="Y47" s="7"/>
    </row>
    <row r="48" spans="2:25" x14ac:dyDescent="0.3">
      <c r="T48" s="115"/>
      <c r="W48" s="114"/>
      <c r="Y48" s="114"/>
    </row>
    <row r="49" spans="16:25" x14ac:dyDescent="0.3">
      <c r="P49" s="78"/>
      <c r="Q49" s="178"/>
      <c r="S49" s="78"/>
      <c r="T49" s="114"/>
      <c r="Y49" s="114"/>
    </row>
    <row r="50" spans="16:25" x14ac:dyDescent="0.3">
      <c r="Q50" s="115"/>
      <c r="T50" s="114"/>
      <c r="Y50" s="114"/>
    </row>
    <row r="51" spans="16:25" x14ac:dyDescent="0.3">
      <c r="P51" s="78"/>
      <c r="Q51" s="114"/>
      <c r="T51" s="114"/>
    </row>
    <row r="52" spans="16:25" x14ac:dyDescent="0.3">
      <c r="Q52" s="114"/>
      <c r="X52" s="78"/>
      <c r="Y52" s="178"/>
    </row>
    <row r="53" spans="16:25" x14ac:dyDescent="0.3">
      <c r="Q53" s="114"/>
      <c r="Y53" s="115"/>
    </row>
    <row r="54" spans="16:25" x14ac:dyDescent="0.3">
      <c r="X54" s="78"/>
      <c r="Y54" s="114"/>
    </row>
    <row r="55" spans="16:25" x14ac:dyDescent="0.3">
      <c r="Y55" s="114"/>
    </row>
    <row r="56" spans="16:25" x14ac:dyDescent="0.3">
      <c r="Y56" s="114"/>
    </row>
  </sheetData>
  <mergeCells count="9">
    <mergeCell ref="B2:H2"/>
    <mergeCell ref="B31:B32"/>
    <mergeCell ref="C31:D31"/>
    <mergeCell ref="E31:F31"/>
    <mergeCell ref="G31:H31"/>
    <mergeCell ref="C3:D3"/>
    <mergeCell ref="E3:F3"/>
    <mergeCell ref="G3:H3"/>
    <mergeCell ref="B3: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F6F7-1BE4-4FB8-8366-9A99D510941A}">
  <dimension ref="A1:AB41"/>
  <sheetViews>
    <sheetView topLeftCell="C4" zoomScaleNormal="100" workbookViewId="0">
      <selection activeCell="H11" sqref="H11"/>
    </sheetView>
  </sheetViews>
  <sheetFormatPr baseColWidth="10" defaultColWidth="9.109375" defaultRowHeight="14.4" x14ac:dyDescent="0.3"/>
  <cols>
    <col min="1" max="1" width="54.6640625" bestFit="1" customWidth="1"/>
    <col min="2" max="2" width="34.33203125" bestFit="1" customWidth="1"/>
    <col min="3" max="3" width="4" customWidth="1"/>
    <col min="6" max="6" width="15" bestFit="1" customWidth="1"/>
    <col min="7" max="7" width="15.44140625" bestFit="1" customWidth="1"/>
    <col min="8" max="15" width="15" bestFit="1" customWidth="1"/>
    <col min="16" max="23" width="14.44140625" bestFit="1" customWidth="1"/>
    <col min="24" max="28" width="13.88671875" bestFit="1" customWidth="1"/>
  </cols>
  <sheetData>
    <row r="1" spans="1:28" x14ac:dyDescent="0.3">
      <c r="A1" s="482" t="s">
        <v>200</v>
      </c>
      <c r="B1" s="483"/>
      <c r="C1" s="32"/>
    </row>
    <row r="2" spans="1:28" x14ac:dyDescent="0.3">
      <c r="A2" s="474"/>
      <c r="B2" s="475"/>
      <c r="C2" s="33"/>
    </row>
    <row r="3" spans="1:28" ht="57.75" customHeight="1" x14ac:dyDescent="0.3">
      <c r="A3" s="474"/>
      <c r="B3" s="475"/>
      <c r="C3" s="33"/>
    </row>
    <row r="4" spans="1:28" x14ac:dyDescent="0.3">
      <c r="A4" s="34"/>
      <c r="C4" s="33"/>
    </row>
    <row r="5" spans="1:28" ht="61.5" customHeight="1" thickBot="1" x14ac:dyDescent="0.35">
      <c r="A5" s="492" t="s">
        <v>201</v>
      </c>
      <c r="B5" s="493"/>
      <c r="C5" s="33"/>
    </row>
    <row r="6" spans="1:28" ht="16.2" thickBot="1" x14ac:dyDescent="0.35">
      <c r="A6" s="478" t="s">
        <v>202</v>
      </c>
      <c r="B6" s="479"/>
      <c r="C6" s="33"/>
      <c r="G6" s="14"/>
      <c r="H6" s="494" t="s">
        <v>203</v>
      </c>
      <c r="I6" s="495"/>
      <c r="J6" s="495"/>
      <c r="K6" s="495"/>
      <c r="L6" s="495"/>
      <c r="M6" s="495"/>
      <c r="N6" s="495"/>
      <c r="O6" s="495"/>
      <c r="P6" s="495"/>
      <c r="Q6" s="495"/>
      <c r="R6" s="495"/>
      <c r="S6" s="495"/>
      <c r="T6" s="495"/>
      <c r="U6" s="495"/>
      <c r="V6" s="495"/>
      <c r="W6" s="495"/>
      <c r="X6" s="495"/>
      <c r="Y6" s="495"/>
      <c r="Z6" s="495"/>
      <c r="AA6" s="495"/>
      <c r="AB6" s="496"/>
    </row>
    <row r="7" spans="1:28" ht="16.2" thickBot="1" x14ac:dyDescent="0.35">
      <c r="A7" s="34" t="s">
        <v>204</v>
      </c>
      <c r="B7" s="1">
        <f>350000</f>
        <v>350000</v>
      </c>
      <c r="C7" s="33"/>
      <c r="G7" s="14"/>
      <c r="H7" s="494" t="s">
        <v>205</v>
      </c>
      <c r="I7" s="495"/>
      <c r="J7" s="495"/>
      <c r="K7" s="495"/>
      <c r="L7" s="495"/>
      <c r="M7" s="495"/>
      <c r="N7" s="495"/>
      <c r="O7" s="495"/>
      <c r="P7" s="495"/>
      <c r="Q7" s="495"/>
      <c r="R7" s="495"/>
      <c r="S7" s="495"/>
      <c r="T7" s="495"/>
      <c r="U7" s="495"/>
      <c r="V7" s="495"/>
      <c r="W7" s="495"/>
      <c r="X7" s="495"/>
      <c r="Y7" s="495"/>
      <c r="Z7" s="495"/>
      <c r="AA7" s="495"/>
      <c r="AB7" s="496"/>
    </row>
    <row r="8" spans="1:28" ht="16.2" thickBot="1" x14ac:dyDescent="0.35">
      <c r="A8" s="34" t="s">
        <v>206</v>
      </c>
      <c r="B8" s="1">
        <f>5000</f>
        <v>5000</v>
      </c>
      <c r="C8" s="33"/>
      <c r="G8" s="16" t="s">
        <v>207</v>
      </c>
      <c r="H8" s="17">
        <v>0</v>
      </c>
      <c r="I8" s="18">
        <v>1</v>
      </c>
      <c r="J8" s="18">
        <v>2</v>
      </c>
      <c r="K8" s="18">
        <v>3</v>
      </c>
      <c r="L8" s="18">
        <v>4</v>
      </c>
      <c r="M8" s="18">
        <v>5</v>
      </c>
      <c r="N8" s="19">
        <v>6</v>
      </c>
      <c r="O8" s="19">
        <v>7</v>
      </c>
      <c r="P8" s="19">
        <v>8</v>
      </c>
      <c r="Q8" s="19">
        <v>9</v>
      </c>
      <c r="R8" s="20">
        <v>10</v>
      </c>
      <c r="S8" s="17">
        <v>11</v>
      </c>
      <c r="T8" s="18">
        <v>12</v>
      </c>
      <c r="U8" s="18">
        <v>13</v>
      </c>
      <c r="V8" s="18">
        <v>14</v>
      </c>
      <c r="W8" s="18">
        <v>15</v>
      </c>
      <c r="X8" s="18">
        <v>16</v>
      </c>
      <c r="Y8" s="19">
        <v>17</v>
      </c>
      <c r="Z8" s="19">
        <v>18</v>
      </c>
      <c r="AA8" s="19">
        <v>19</v>
      </c>
      <c r="AB8" s="20">
        <v>20</v>
      </c>
    </row>
    <row r="9" spans="1:28" ht="15.6" x14ac:dyDescent="0.3">
      <c r="A9" s="34" t="s">
        <v>208</v>
      </c>
      <c r="B9" s="1">
        <f>35000</f>
        <v>35000</v>
      </c>
      <c r="C9" s="33"/>
      <c r="G9" s="21" t="s">
        <v>68</v>
      </c>
      <c r="H9" s="22"/>
      <c r="I9" s="25">
        <f t="shared" ref="I9:AB9" si="0">($H$10-$G$12)/20</f>
        <v>15750</v>
      </c>
      <c r="J9" s="25">
        <f t="shared" si="0"/>
        <v>15750</v>
      </c>
      <c r="K9" s="25">
        <f t="shared" si="0"/>
        <v>15750</v>
      </c>
      <c r="L9" s="25">
        <f t="shared" si="0"/>
        <v>15750</v>
      </c>
      <c r="M9" s="25">
        <f t="shared" si="0"/>
        <v>15750</v>
      </c>
      <c r="N9" s="25">
        <f t="shared" si="0"/>
        <v>15750</v>
      </c>
      <c r="O9" s="25">
        <f t="shared" si="0"/>
        <v>15750</v>
      </c>
      <c r="P9" s="25">
        <f t="shared" si="0"/>
        <v>15750</v>
      </c>
      <c r="Q9" s="25">
        <f t="shared" si="0"/>
        <v>15750</v>
      </c>
      <c r="R9" s="25">
        <f t="shared" si="0"/>
        <v>15750</v>
      </c>
      <c r="S9" s="25">
        <f t="shared" si="0"/>
        <v>15750</v>
      </c>
      <c r="T9" s="25">
        <f t="shared" si="0"/>
        <v>15750</v>
      </c>
      <c r="U9" s="25">
        <f t="shared" si="0"/>
        <v>15750</v>
      </c>
      <c r="V9" s="25">
        <f t="shared" si="0"/>
        <v>15750</v>
      </c>
      <c r="W9" s="25">
        <f t="shared" si="0"/>
        <v>15750</v>
      </c>
      <c r="X9" s="25">
        <f t="shared" si="0"/>
        <v>15750</v>
      </c>
      <c r="Y9" s="25">
        <f t="shared" si="0"/>
        <v>15750</v>
      </c>
      <c r="Z9" s="25">
        <f t="shared" si="0"/>
        <v>15750</v>
      </c>
      <c r="AA9" s="25">
        <f t="shared" si="0"/>
        <v>15750</v>
      </c>
      <c r="AB9" s="25">
        <f t="shared" si="0"/>
        <v>15750</v>
      </c>
    </row>
    <row r="10" spans="1:28" ht="16.2" thickBot="1" x14ac:dyDescent="0.35">
      <c r="A10" s="34" t="s">
        <v>209</v>
      </c>
      <c r="B10" s="1">
        <f>10000</f>
        <v>10000</v>
      </c>
      <c r="C10" s="33"/>
      <c r="G10" s="24" t="s">
        <v>210</v>
      </c>
      <c r="H10" s="27">
        <f>G11</f>
        <v>350000</v>
      </c>
      <c r="I10" s="28">
        <f>H10-I9</f>
        <v>334250</v>
      </c>
      <c r="J10" s="28">
        <f t="shared" ref="J10:AB10" si="1">I10-J9</f>
        <v>318500</v>
      </c>
      <c r="K10" s="28">
        <f t="shared" si="1"/>
        <v>302750</v>
      </c>
      <c r="L10" s="28">
        <f t="shared" si="1"/>
        <v>287000</v>
      </c>
      <c r="M10" s="28">
        <f t="shared" si="1"/>
        <v>271250</v>
      </c>
      <c r="N10" s="28">
        <f t="shared" si="1"/>
        <v>255500</v>
      </c>
      <c r="O10" s="28">
        <f t="shared" si="1"/>
        <v>239750</v>
      </c>
      <c r="P10" s="28">
        <f t="shared" si="1"/>
        <v>224000</v>
      </c>
      <c r="Q10" s="28">
        <f t="shared" si="1"/>
        <v>208250</v>
      </c>
      <c r="R10" s="28">
        <f t="shared" si="1"/>
        <v>192500</v>
      </c>
      <c r="S10" s="28">
        <f t="shared" si="1"/>
        <v>176750</v>
      </c>
      <c r="T10" s="28">
        <f t="shared" si="1"/>
        <v>161000</v>
      </c>
      <c r="U10" s="28">
        <f t="shared" si="1"/>
        <v>145250</v>
      </c>
      <c r="V10" s="28">
        <f t="shared" si="1"/>
        <v>129500</v>
      </c>
      <c r="W10" s="28">
        <f t="shared" si="1"/>
        <v>113750</v>
      </c>
      <c r="X10" s="28">
        <f t="shared" si="1"/>
        <v>98000</v>
      </c>
      <c r="Y10" s="28">
        <f t="shared" si="1"/>
        <v>82250</v>
      </c>
      <c r="Z10" s="28">
        <f t="shared" si="1"/>
        <v>66500</v>
      </c>
      <c r="AA10" s="28">
        <f t="shared" si="1"/>
        <v>50750</v>
      </c>
      <c r="AB10" s="28">
        <f t="shared" si="1"/>
        <v>35000</v>
      </c>
    </row>
    <row r="11" spans="1:28" ht="16.2" thickBot="1" x14ac:dyDescent="0.35">
      <c r="A11" s="35" t="s">
        <v>211</v>
      </c>
      <c r="B11" s="36">
        <f>20</f>
        <v>20</v>
      </c>
      <c r="C11" s="33"/>
      <c r="F11" s="29" t="s">
        <v>212</v>
      </c>
      <c r="G11" s="30">
        <f>B7</f>
        <v>350000</v>
      </c>
      <c r="M11" s="11"/>
      <c r="N11" s="12"/>
      <c r="O11" s="12"/>
      <c r="P11" s="12"/>
      <c r="Q11" s="12"/>
      <c r="R11" s="12"/>
      <c r="S11" s="12"/>
    </row>
    <row r="12" spans="1:28" ht="16.2" thickBot="1" x14ac:dyDescent="0.35">
      <c r="A12" s="480" t="s">
        <v>213</v>
      </c>
      <c r="B12" s="481"/>
      <c r="C12" s="33"/>
      <c r="F12" s="29" t="s">
        <v>214</v>
      </c>
      <c r="G12" s="30">
        <f>B9</f>
        <v>35000</v>
      </c>
      <c r="J12" s="31"/>
      <c r="M12" s="11"/>
      <c r="N12" s="12"/>
      <c r="O12" s="12"/>
      <c r="P12" s="12"/>
      <c r="Q12" s="12"/>
      <c r="R12" s="12"/>
      <c r="S12" s="12"/>
    </row>
    <row r="13" spans="1:28" ht="15.6" x14ac:dyDescent="0.3">
      <c r="A13" s="3" t="s">
        <v>215</v>
      </c>
      <c r="B13" s="4" t="s">
        <v>216</v>
      </c>
      <c r="C13" s="33"/>
      <c r="F13" s="29" t="s">
        <v>217</v>
      </c>
      <c r="G13" s="13">
        <f>B10</f>
        <v>10000</v>
      </c>
      <c r="M13" s="11"/>
      <c r="N13" s="12"/>
      <c r="O13" s="12"/>
      <c r="P13" s="12"/>
      <c r="Q13" s="12"/>
      <c r="R13" s="12"/>
      <c r="S13" s="12"/>
    </row>
    <row r="14" spans="1:28" ht="28.8" x14ac:dyDescent="0.3">
      <c r="A14" s="34" t="s">
        <v>218</v>
      </c>
      <c r="B14" s="1">
        <f>125000</f>
        <v>125000</v>
      </c>
      <c r="C14" s="33"/>
      <c r="F14" s="10" t="s">
        <v>219</v>
      </c>
      <c r="G14" s="8">
        <f>35%</f>
        <v>0.35</v>
      </c>
      <c r="M14" s="11"/>
      <c r="N14" s="13"/>
      <c r="O14" s="23"/>
      <c r="P14" s="23"/>
      <c r="Q14" s="23"/>
      <c r="R14" s="23"/>
      <c r="S14" s="23"/>
    </row>
    <row r="15" spans="1:28" ht="15.6" x14ac:dyDescent="0.3">
      <c r="A15" s="34" t="s">
        <v>220</v>
      </c>
      <c r="B15" s="2">
        <v>20</v>
      </c>
      <c r="C15" s="33"/>
      <c r="M15" s="11"/>
      <c r="N15" s="13"/>
      <c r="O15" s="23"/>
      <c r="P15" s="23"/>
      <c r="Q15" s="23"/>
      <c r="R15" s="23"/>
      <c r="S15" s="23"/>
    </row>
    <row r="16" spans="1:28" ht="26.25" customHeight="1" x14ac:dyDescent="0.3">
      <c r="A16" s="34" t="s">
        <v>221</v>
      </c>
      <c r="B16" s="37" t="s">
        <v>222</v>
      </c>
      <c r="C16" s="33"/>
      <c r="M16" s="11"/>
      <c r="N16" s="30"/>
      <c r="O16" s="42"/>
      <c r="P16" s="42"/>
    </row>
    <row r="17" spans="1:28" ht="15" thickBot="1" x14ac:dyDescent="0.35">
      <c r="A17" s="34" t="s">
        <v>223</v>
      </c>
      <c r="B17" s="37" t="s">
        <v>224</v>
      </c>
      <c r="C17" s="33"/>
    </row>
    <row r="18" spans="1:28" ht="16.2" thickBot="1" x14ac:dyDescent="0.35">
      <c r="A18" s="34" t="s">
        <v>225</v>
      </c>
      <c r="B18" s="37" t="s">
        <v>226</v>
      </c>
      <c r="C18" s="33"/>
      <c r="G18" s="14"/>
      <c r="H18" s="494" t="s">
        <v>203</v>
      </c>
      <c r="I18" s="495"/>
      <c r="J18" s="495"/>
      <c r="K18" s="495"/>
      <c r="L18" s="495"/>
      <c r="M18" s="495"/>
      <c r="N18" s="495"/>
      <c r="O18" s="495"/>
      <c r="P18" s="495"/>
      <c r="Q18" s="495"/>
      <c r="R18" s="495"/>
      <c r="S18" s="495"/>
      <c r="T18" s="495"/>
      <c r="U18" s="495"/>
      <c r="V18" s="495"/>
      <c r="W18" s="495"/>
      <c r="X18" s="495"/>
      <c r="Y18" s="495"/>
      <c r="Z18" s="495"/>
      <c r="AA18" s="495"/>
      <c r="AB18" s="496"/>
    </row>
    <row r="19" spans="1:28" ht="16.2" thickBot="1" x14ac:dyDescent="0.35">
      <c r="A19" s="35" t="s">
        <v>227</v>
      </c>
      <c r="B19" s="38" t="s">
        <v>228</v>
      </c>
      <c r="C19" s="33"/>
      <c r="G19" s="14"/>
      <c r="H19" s="494" t="s">
        <v>229</v>
      </c>
      <c r="I19" s="495"/>
      <c r="J19" s="495"/>
      <c r="K19" s="495"/>
      <c r="L19" s="495"/>
      <c r="M19" s="495"/>
      <c r="N19" s="495"/>
      <c r="O19" s="495"/>
      <c r="P19" s="495"/>
      <c r="Q19" s="495"/>
      <c r="R19" s="495"/>
      <c r="S19" s="495"/>
      <c r="T19" s="495"/>
      <c r="U19" s="495"/>
      <c r="V19" s="495"/>
      <c r="W19" s="495"/>
      <c r="X19" s="495"/>
      <c r="Y19" s="495"/>
      <c r="Z19" s="495"/>
      <c r="AA19" s="495"/>
      <c r="AB19" s="496"/>
    </row>
    <row r="20" spans="1:28" ht="15" customHeight="1" thickBot="1" x14ac:dyDescent="0.35">
      <c r="A20" s="482" t="s">
        <v>230</v>
      </c>
      <c r="B20" s="483"/>
      <c r="C20" s="33"/>
      <c r="G20" s="16" t="s">
        <v>207</v>
      </c>
      <c r="H20" s="17">
        <v>0</v>
      </c>
      <c r="I20" s="18">
        <v>1</v>
      </c>
      <c r="J20" s="18">
        <v>2</v>
      </c>
      <c r="K20" s="18">
        <v>3</v>
      </c>
      <c r="L20" s="18">
        <v>4</v>
      </c>
      <c r="M20" s="18">
        <v>5</v>
      </c>
      <c r="N20" s="19">
        <v>6</v>
      </c>
      <c r="O20" s="19">
        <v>7</v>
      </c>
      <c r="P20" s="19">
        <v>8</v>
      </c>
      <c r="Q20" s="19">
        <v>9</v>
      </c>
      <c r="R20" s="20">
        <v>10</v>
      </c>
      <c r="S20" s="17">
        <v>11</v>
      </c>
      <c r="T20" s="18">
        <v>12</v>
      </c>
      <c r="U20" s="18">
        <v>13</v>
      </c>
      <c r="V20" s="18">
        <v>14</v>
      </c>
      <c r="W20" s="18">
        <v>15</v>
      </c>
      <c r="X20" s="18">
        <v>16</v>
      </c>
      <c r="Y20" s="19">
        <v>17</v>
      </c>
      <c r="Z20" s="19">
        <v>18</v>
      </c>
      <c r="AA20" s="19">
        <v>19</v>
      </c>
      <c r="AB20" s="20">
        <v>20</v>
      </c>
    </row>
    <row r="21" spans="1:28" ht="15.6" x14ac:dyDescent="0.3">
      <c r="A21" s="474"/>
      <c r="B21" s="475"/>
      <c r="C21" s="33"/>
      <c r="G21" s="21" t="s">
        <v>231</v>
      </c>
      <c r="H21" s="22"/>
      <c r="I21" s="25">
        <f t="shared" ref="I21:AB21" si="2">H$22*$F$25</f>
        <v>5000</v>
      </c>
      <c r="J21" s="25">
        <f t="shared" si="2"/>
        <v>4800</v>
      </c>
      <c r="K21" s="25">
        <f t="shared" si="2"/>
        <v>4608</v>
      </c>
      <c r="L21" s="25">
        <f t="shared" si="2"/>
        <v>4423.68</v>
      </c>
      <c r="M21" s="25">
        <f t="shared" si="2"/>
        <v>4246.7328000000007</v>
      </c>
      <c r="N21" s="25">
        <f t="shared" si="2"/>
        <v>4076.8634880000004</v>
      </c>
      <c r="O21" s="25">
        <f t="shared" si="2"/>
        <v>3913.7889484800003</v>
      </c>
      <c r="P21" s="25">
        <f t="shared" si="2"/>
        <v>3757.2373905408003</v>
      </c>
      <c r="Q21" s="25">
        <f t="shared" si="2"/>
        <v>3606.9478949191684</v>
      </c>
      <c r="R21" s="25">
        <f t="shared" si="2"/>
        <v>3462.6699791224019</v>
      </c>
      <c r="S21" s="25">
        <f t="shared" si="2"/>
        <v>3324.1631799575057</v>
      </c>
      <c r="T21" s="25">
        <f t="shared" si="2"/>
        <v>3191.1966527592053</v>
      </c>
      <c r="U21" s="25">
        <f t="shared" si="2"/>
        <v>3063.5487866488374</v>
      </c>
      <c r="V21" s="25">
        <f t="shared" si="2"/>
        <v>2941.0068351828836</v>
      </c>
      <c r="W21" s="25">
        <f t="shared" si="2"/>
        <v>2823.3665617755682</v>
      </c>
      <c r="X21" s="25">
        <f t="shared" si="2"/>
        <v>2710.4318993045458</v>
      </c>
      <c r="Y21" s="25">
        <f t="shared" si="2"/>
        <v>2602.0146233323644</v>
      </c>
      <c r="Z21" s="25">
        <f t="shared" si="2"/>
        <v>2497.9340383990698</v>
      </c>
      <c r="AA21" s="25">
        <f t="shared" si="2"/>
        <v>2398.016676863107</v>
      </c>
      <c r="AB21" s="26">
        <f t="shared" si="2"/>
        <v>2302.0960097885827</v>
      </c>
    </row>
    <row r="22" spans="1:28" ht="16.2" thickBot="1" x14ac:dyDescent="0.35">
      <c r="A22" s="474"/>
      <c r="B22" s="475"/>
      <c r="C22" s="33"/>
      <c r="G22" s="24" t="s">
        <v>232</v>
      </c>
      <c r="H22" s="27">
        <f>F24</f>
        <v>125000</v>
      </c>
      <c r="I22" s="28">
        <f>H$22-I21</f>
        <v>120000</v>
      </c>
      <c r="J22" s="28">
        <f t="shared" ref="J22:AB22" si="3">I$22-J21</f>
        <v>115200</v>
      </c>
      <c r="K22" s="28">
        <f t="shared" si="3"/>
        <v>110592</v>
      </c>
      <c r="L22" s="28">
        <f t="shared" si="3"/>
        <v>106168.32000000001</v>
      </c>
      <c r="M22" s="28">
        <f t="shared" si="3"/>
        <v>101921.58720000001</v>
      </c>
      <c r="N22" s="28">
        <f t="shared" si="3"/>
        <v>97844.723712000006</v>
      </c>
      <c r="O22" s="28">
        <f t="shared" si="3"/>
        <v>93930.93476352001</v>
      </c>
      <c r="P22" s="28">
        <f t="shared" si="3"/>
        <v>90173.697372979208</v>
      </c>
      <c r="Q22" s="28">
        <f t="shared" si="3"/>
        <v>86566.749478060039</v>
      </c>
      <c r="R22" s="28">
        <f t="shared" si="3"/>
        <v>83104.079498937645</v>
      </c>
      <c r="S22" s="28">
        <f t="shared" si="3"/>
        <v>79779.916318980133</v>
      </c>
      <c r="T22" s="28">
        <f t="shared" si="3"/>
        <v>76588.719666220932</v>
      </c>
      <c r="U22" s="28">
        <f t="shared" si="3"/>
        <v>73525.170879572092</v>
      </c>
      <c r="V22" s="28">
        <f t="shared" si="3"/>
        <v>70584.16404438921</v>
      </c>
      <c r="W22" s="28">
        <f t="shared" si="3"/>
        <v>67760.797482613649</v>
      </c>
      <c r="X22" s="28">
        <f t="shared" si="3"/>
        <v>65050.365583309103</v>
      </c>
      <c r="Y22" s="28">
        <f t="shared" si="3"/>
        <v>62448.350959976742</v>
      </c>
      <c r="Z22" s="28">
        <f t="shared" si="3"/>
        <v>59950.416921577671</v>
      </c>
      <c r="AA22" s="28">
        <f t="shared" si="3"/>
        <v>57552.400244714561</v>
      </c>
      <c r="AB22" s="28">
        <f t="shared" si="3"/>
        <v>55250.304234925978</v>
      </c>
    </row>
    <row r="23" spans="1:28" x14ac:dyDescent="0.3">
      <c r="A23" s="484"/>
      <c r="B23" s="485"/>
      <c r="C23" s="33"/>
    </row>
    <row r="24" spans="1:28" ht="45" customHeight="1" x14ac:dyDescent="0.3">
      <c r="A24" s="486" t="s">
        <v>233</v>
      </c>
      <c r="B24" s="487"/>
      <c r="C24" s="33"/>
      <c r="E24" s="29" t="s">
        <v>212</v>
      </c>
      <c r="F24" s="30">
        <f>B14</f>
        <v>125000</v>
      </c>
      <c r="M24" s="10" t="s">
        <v>219</v>
      </c>
      <c r="N24" s="8">
        <f>35%</f>
        <v>0.35</v>
      </c>
    </row>
    <row r="25" spans="1:28" ht="30" customHeight="1" x14ac:dyDescent="0.3">
      <c r="A25" s="488" t="s">
        <v>234</v>
      </c>
      <c r="B25" s="489"/>
      <c r="C25" s="33"/>
      <c r="E25" s="29" t="s">
        <v>235</v>
      </c>
      <c r="F25" s="8">
        <f>4%</f>
        <v>0.04</v>
      </c>
      <c r="G25" s="31" t="s">
        <v>236</v>
      </c>
      <c r="M25" s="11" t="s">
        <v>237</v>
      </c>
      <c r="N25" s="497" t="s">
        <v>238</v>
      </c>
      <c r="O25" s="497"/>
      <c r="P25" s="497"/>
      <c r="Q25" s="497"/>
      <c r="R25" s="12"/>
      <c r="S25" s="12"/>
      <c r="T25" s="12"/>
    </row>
    <row r="26" spans="1:28" ht="15.6" x14ac:dyDescent="0.3">
      <c r="A26" s="484"/>
      <c r="B26" s="485"/>
      <c r="C26" s="33"/>
      <c r="E26" s="29" t="s">
        <v>239</v>
      </c>
      <c r="F26" s="8">
        <f>32%</f>
        <v>0.32</v>
      </c>
      <c r="M26" s="11" t="s">
        <v>240</v>
      </c>
      <c r="N26" s="497" t="s">
        <v>241</v>
      </c>
      <c r="O26" s="497"/>
      <c r="P26" s="497"/>
      <c r="Q26" s="497"/>
      <c r="R26" s="12"/>
      <c r="S26" s="12"/>
      <c r="T26" s="12"/>
    </row>
    <row r="27" spans="1:28" ht="15.6" x14ac:dyDescent="0.3">
      <c r="A27" s="474" t="s">
        <v>242</v>
      </c>
      <c r="B27" s="475"/>
      <c r="C27" s="33"/>
      <c r="E27" s="29" t="s">
        <v>214</v>
      </c>
      <c r="F27" s="30">
        <f>F24*F26</f>
        <v>40000</v>
      </c>
      <c r="M27" s="11" t="s">
        <v>243</v>
      </c>
      <c r="N27" s="497" t="s">
        <v>244</v>
      </c>
      <c r="O27" s="497"/>
      <c r="P27" s="497"/>
      <c r="Q27" s="497"/>
      <c r="R27" s="12"/>
      <c r="S27" s="12"/>
      <c r="T27" s="12"/>
    </row>
    <row r="28" spans="1:28" ht="15.6" x14ac:dyDescent="0.3">
      <c r="A28" s="474"/>
      <c r="B28" s="475"/>
      <c r="C28" s="33"/>
      <c r="M28" s="11" t="s">
        <v>245</v>
      </c>
      <c r="N28" s="13">
        <f>AB22</f>
        <v>55250.304234925978</v>
      </c>
      <c r="O28" s="498" t="s">
        <v>246</v>
      </c>
      <c r="P28" s="498"/>
      <c r="Q28" s="498"/>
      <c r="R28" s="498"/>
      <c r="S28" s="498"/>
    </row>
    <row r="29" spans="1:28" ht="15.6" x14ac:dyDescent="0.3">
      <c r="A29" s="474"/>
      <c r="B29" s="475"/>
      <c r="C29" s="33"/>
      <c r="E29" s="29" t="s">
        <v>217</v>
      </c>
      <c r="F29" s="9">
        <f>1250</f>
        <v>1250</v>
      </c>
      <c r="M29" s="11" t="s">
        <v>214</v>
      </c>
      <c r="N29" s="13">
        <f>F27</f>
        <v>40000</v>
      </c>
      <c r="O29" s="498" t="s">
        <v>247</v>
      </c>
      <c r="P29" s="498"/>
      <c r="Q29" s="498"/>
      <c r="R29" s="498"/>
      <c r="S29" s="498"/>
    </row>
    <row r="30" spans="1:28" ht="15.6" x14ac:dyDescent="0.3">
      <c r="A30" s="476" t="s">
        <v>248</v>
      </c>
      <c r="B30" s="477"/>
      <c r="C30" s="33"/>
      <c r="M30" s="11" t="s">
        <v>249</v>
      </c>
      <c r="N30" s="13">
        <f>N24*(N28-N29)</f>
        <v>5337.6064822240915</v>
      </c>
      <c r="O30" s="439" t="s">
        <v>250</v>
      </c>
      <c r="P30" s="439"/>
    </row>
    <row r="31" spans="1:28" ht="15" customHeight="1" x14ac:dyDescent="0.3">
      <c r="A31" s="490" t="s">
        <v>251</v>
      </c>
      <c r="B31" s="491"/>
      <c r="C31" s="33"/>
    </row>
    <row r="32" spans="1:28" x14ac:dyDescent="0.3">
      <c r="A32" s="472"/>
      <c r="B32" s="473"/>
      <c r="C32" s="33"/>
    </row>
    <row r="33" spans="1:3" x14ac:dyDescent="0.3">
      <c r="A33" s="472"/>
      <c r="B33" s="473"/>
      <c r="C33" s="33"/>
    </row>
    <row r="34" spans="1:3" ht="15" customHeight="1" x14ac:dyDescent="0.3">
      <c r="A34" s="472" t="s">
        <v>252</v>
      </c>
      <c r="B34" s="473"/>
      <c r="C34" s="33"/>
    </row>
    <row r="35" spans="1:3" x14ac:dyDescent="0.3">
      <c r="A35" s="472"/>
      <c r="B35" s="473"/>
      <c r="C35" s="33"/>
    </row>
    <row r="36" spans="1:3" x14ac:dyDescent="0.3">
      <c r="A36" s="472"/>
      <c r="B36" s="473"/>
      <c r="C36" s="33"/>
    </row>
    <row r="37" spans="1:3" ht="15" customHeight="1" x14ac:dyDescent="0.3">
      <c r="A37" s="472" t="s">
        <v>253</v>
      </c>
      <c r="B37" s="473"/>
      <c r="C37" s="33"/>
    </row>
    <row r="38" spans="1:3" x14ac:dyDescent="0.3">
      <c r="A38" s="472"/>
      <c r="B38" s="473"/>
      <c r="C38" s="33"/>
    </row>
    <row r="39" spans="1:3" x14ac:dyDescent="0.3">
      <c r="A39" s="472"/>
      <c r="B39" s="473"/>
      <c r="C39" s="33"/>
    </row>
    <row r="40" spans="1:3" x14ac:dyDescent="0.3">
      <c r="A40" s="472"/>
      <c r="B40" s="473"/>
      <c r="C40" s="33"/>
    </row>
    <row r="41" spans="1:3" ht="15" thickBot="1" x14ac:dyDescent="0.35">
      <c r="A41" s="39"/>
      <c r="B41" s="40"/>
      <c r="C41" s="41"/>
    </row>
  </sheetData>
  <mergeCells count="22">
    <mergeCell ref="A1:B3"/>
    <mergeCell ref="A31:B33"/>
    <mergeCell ref="A34:B36"/>
    <mergeCell ref="A5:B5"/>
    <mergeCell ref="H6:AB6"/>
    <mergeCell ref="H7:AB7"/>
    <mergeCell ref="H18:AB18"/>
    <mergeCell ref="H19:AB19"/>
    <mergeCell ref="N25:Q25"/>
    <mergeCell ref="N26:Q26"/>
    <mergeCell ref="N27:Q27"/>
    <mergeCell ref="O29:S29"/>
    <mergeCell ref="O28:S28"/>
    <mergeCell ref="O30:P30"/>
    <mergeCell ref="A37:B40"/>
    <mergeCell ref="A27:B29"/>
    <mergeCell ref="A30:B30"/>
    <mergeCell ref="A6:B6"/>
    <mergeCell ref="A12:B12"/>
    <mergeCell ref="A20:B23"/>
    <mergeCell ref="A24:B24"/>
    <mergeCell ref="A25:B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7918-524C-4574-8ECE-09EC43708162}">
  <sheetPr>
    <tabColor theme="6" tint="0.39997558519241921"/>
    <pageSetUpPr fitToPage="1"/>
  </sheetPr>
  <dimension ref="A1:AE148"/>
  <sheetViews>
    <sheetView topLeftCell="B78" zoomScale="73" zoomScaleNormal="70" workbookViewId="0">
      <selection activeCell="G97" sqref="G97:AB136"/>
    </sheetView>
  </sheetViews>
  <sheetFormatPr baseColWidth="10" defaultColWidth="9.109375" defaultRowHeight="14.4" x14ac:dyDescent="0.3"/>
  <cols>
    <col min="1" max="1" width="54.6640625" bestFit="1" customWidth="1"/>
    <col min="2" max="2" width="34.33203125" bestFit="1" customWidth="1"/>
    <col min="3" max="3" width="4" customWidth="1"/>
    <col min="4" max="4" width="22" bestFit="1" customWidth="1"/>
    <col min="5" max="5" width="22.88671875" bestFit="1" customWidth="1"/>
    <col min="6" max="6" width="20.33203125" bestFit="1" customWidth="1"/>
    <col min="7" max="7" width="64.6640625" bestFit="1" customWidth="1"/>
    <col min="8" max="8" width="23.33203125" bestFit="1" customWidth="1"/>
    <col min="9" max="9" width="15.6640625" bestFit="1" customWidth="1"/>
    <col min="10" max="10" width="15.88671875" customWidth="1"/>
    <col min="11" max="12" width="15.6640625" bestFit="1" customWidth="1"/>
    <col min="13" max="13" width="16.33203125" bestFit="1" customWidth="1"/>
    <col min="14" max="14" width="26.33203125" customWidth="1"/>
    <col min="15" max="15" width="16.44140625" customWidth="1"/>
    <col min="16" max="28" width="17.109375" bestFit="1" customWidth="1"/>
    <col min="30" max="30" width="13.109375" bestFit="1" customWidth="1"/>
    <col min="31" max="31" width="18.33203125" bestFit="1" customWidth="1"/>
  </cols>
  <sheetData>
    <row r="1" spans="1:28" x14ac:dyDescent="0.3">
      <c r="A1" s="482" t="s">
        <v>200</v>
      </c>
      <c r="B1" s="483"/>
      <c r="C1" s="32"/>
    </row>
    <row r="2" spans="1:28" x14ac:dyDescent="0.3">
      <c r="A2" s="474"/>
      <c r="B2" s="475"/>
      <c r="C2" s="33"/>
    </row>
    <row r="3" spans="1:28" ht="57.75" customHeight="1" x14ac:dyDescent="0.3">
      <c r="A3" s="474"/>
      <c r="B3" s="475"/>
      <c r="C3" s="33"/>
    </row>
    <row r="4" spans="1:28" x14ac:dyDescent="0.3">
      <c r="A4" s="34"/>
      <c r="C4" s="33"/>
    </row>
    <row r="5" spans="1:28" ht="61.5" customHeight="1" thickBot="1" x14ac:dyDescent="0.35">
      <c r="A5" s="492" t="s">
        <v>201</v>
      </c>
      <c r="B5" s="493"/>
      <c r="C5" s="33"/>
    </row>
    <row r="6" spans="1:28" ht="16.2" thickBot="1" x14ac:dyDescent="0.35">
      <c r="A6" s="478" t="s">
        <v>202</v>
      </c>
      <c r="B6" s="479"/>
      <c r="C6" s="33"/>
      <c r="G6" s="14"/>
      <c r="H6" s="494" t="s">
        <v>203</v>
      </c>
      <c r="I6" s="495"/>
      <c r="J6" s="495"/>
      <c r="K6" s="495"/>
      <c r="L6" s="495"/>
      <c r="M6" s="495"/>
      <c r="N6" s="495"/>
      <c r="O6" s="495"/>
      <c r="P6" s="495"/>
      <c r="Q6" s="495"/>
      <c r="R6" s="495"/>
      <c r="S6" s="495"/>
      <c r="T6" s="495"/>
      <c r="U6" s="495"/>
      <c r="V6" s="495"/>
      <c r="W6" s="495"/>
      <c r="X6" s="495"/>
      <c r="Y6" s="495"/>
      <c r="Z6" s="495"/>
      <c r="AA6" s="495"/>
      <c r="AB6" s="496"/>
    </row>
    <row r="7" spans="1:28" ht="16.2" thickBot="1" x14ac:dyDescent="0.35">
      <c r="A7" s="34" t="s">
        <v>204</v>
      </c>
      <c r="B7" s="1">
        <f>350000</f>
        <v>350000</v>
      </c>
      <c r="C7" s="33"/>
      <c r="G7" s="14"/>
      <c r="H7" s="494" t="s">
        <v>205</v>
      </c>
      <c r="I7" s="495"/>
      <c r="J7" s="495"/>
      <c r="K7" s="495"/>
      <c r="L7" s="495"/>
      <c r="M7" s="495"/>
      <c r="N7" s="495"/>
      <c r="O7" s="495"/>
      <c r="P7" s="495"/>
      <c r="Q7" s="495"/>
      <c r="R7" s="495"/>
      <c r="S7" s="495"/>
      <c r="T7" s="495"/>
      <c r="U7" s="495"/>
      <c r="V7" s="495"/>
      <c r="W7" s="495"/>
      <c r="X7" s="495"/>
      <c r="Y7" s="495"/>
      <c r="Z7" s="495"/>
      <c r="AA7" s="495"/>
      <c r="AB7" s="496"/>
    </row>
    <row r="8" spans="1:28" ht="16.2" thickBot="1" x14ac:dyDescent="0.35">
      <c r="A8" s="34" t="s">
        <v>206</v>
      </c>
      <c r="B8" s="1">
        <f>5000</f>
        <v>5000</v>
      </c>
      <c r="C8" s="33"/>
      <c r="G8" s="16" t="s">
        <v>207</v>
      </c>
      <c r="H8" s="17">
        <v>0</v>
      </c>
      <c r="I8" s="18">
        <v>1</v>
      </c>
      <c r="J8" s="18">
        <v>2</v>
      </c>
      <c r="K8" s="18">
        <v>3</v>
      </c>
      <c r="L8" s="18">
        <v>4</v>
      </c>
      <c r="M8" s="18">
        <v>5</v>
      </c>
      <c r="N8" s="19">
        <v>6</v>
      </c>
      <c r="O8" s="19">
        <v>7</v>
      </c>
      <c r="P8" s="19">
        <v>8</v>
      </c>
      <c r="Q8" s="19">
        <v>9</v>
      </c>
      <c r="R8" s="20">
        <v>10</v>
      </c>
      <c r="S8" s="17">
        <v>11</v>
      </c>
      <c r="T8" s="18">
        <v>12</v>
      </c>
      <c r="U8" s="18">
        <v>13</v>
      </c>
      <c r="V8" s="18">
        <v>14</v>
      </c>
      <c r="W8" s="18">
        <v>15</v>
      </c>
      <c r="X8" s="18">
        <v>16</v>
      </c>
      <c r="Y8" s="19">
        <v>17</v>
      </c>
      <c r="Z8" s="19">
        <v>18</v>
      </c>
      <c r="AA8" s="19">
        <v>19</v>
      </c>
      <c r="AB8" s="20">
        <v>20</v>
      </c>
    </row>
    <row r="9" spans="1:28" ht="15.6" x14ac:dyDescent="0.3">
      <c r="A9" s="34" t="s">
        <v>208</v>
      </c>
      <c r="B9" s="1">
        <f>35000</f>
        <v>35000</v>
      </c>
      <c r="C9" s="33"/>
      <c r="G9" s="21" t="s">
        <v>68</v>
      </c>
      <c r="H9" s="22"/>
      <c r="I9" s="25">
        <f t="shared" ref="I9:AB9" si="0">($H$10-$G$12)/20</f>
        <v>16000</v>
      </c>
      <c r="J9" s="25">
        <f t="shared" si="0"/>
        <v>16000</v>
      </c>
      <c r="K9" s="25">
        <f t="shared" si="0"/>
        <v>16000</v>
      </c>
      <c r="L9" s="25">
        <f t="shared" si="0"/>
        <v>16000</v>
      </c>
      <c r="M9" s="25">
        <f t="shared" si="0"/>
        <v>16000</v>
      </c>
      <c r="N9" s="25">
        <f t="shared" si="0"/>
        <v>16000</v>
      </c>
      <c r="O9" s="25">
        <f t="shared" si="0"/>
        <v>16000</v>
      </c>
      <c r="P9" s="25">
        <f t="shared" si="0"/>
        <v>16000</v>
      </c>
      <c r="Q9" s="25">
        <f t="shared" si="0"/>
        <v>16000</v>
      </c>
      <c r="R9" s="25">
        <f t="shared" si="0"/>
        <v>16000</v>
      </c>
      <c r="S9" s="25">
        <f t="shared" si="0"/>
        <v>16000</v>
      </c>
      <c r="T9" s="25">
        <f t="shared" si="0"/>
        <v>16000</v>
      </c>
      <c r="U9" s="25">
        <f t="shared" si="0"/>
        <v>16000</v>
      </c>
      <c r="V9" s="25">
        <f t="shared" si="0"/>
        <v>16000</v>
      </c>
      <c r="W9" s="25">
        <f t="shared" si="0"/>
        <v>16000</v>
      </c>
      <c r="X9" s="25">
        <f t="shared" si="0"/>
        <v>16000</v>
      </c>
      <c r="Y9" s="25">
        <f t="shared" si="0"/>
        <v>16000</v>
      </c>
      <c r="Z9" s="25">
        <f t="shared" si="0"/>
        <v>16000</v>
      </c>
      <c r="AA9" s="25">
        <f t="shared" si="0"/>
        <v>16000</v>
      </c>
      <c r="AB9" s="25">
        <f t="shared" si="0"/>
        <v>16000</v>
      </c>
    </row>
    <row r="10" spans="1:28" ht="16.2" thickBot="1" x14ac:dyDescent="0.35">
      <c r="A10" s="34" t="s">
        <v>209</v>
      </c>
      <c r="B10" s="1">
        <f>10000</f>
        <v>10000</v>
      </c>
      <c r="C10" s="33"/>
      <c r="G10" s="24" t="s">
        <v>210</v>
      </c>
      <c r="H10" s="27">
        <f>G11+$B$8</f>
        <v>355000</v>
      </c>
      <c r="I10" s="28">
        <f>H10-I9</f>
        <v>339000</v>
      </c>
      <c r="J10" s="28">
        <f t="shared" ref="J10:AB10" si="1">I10-J9</f>
        <v>323000</v>
      </c>
      <c r="K10" s="28">
        <f t="shared" si="1"/>
        <v>307000</v>
      </c>
      <c r="L10" s="28">
        <f t="shared" si="1"/>
        <v>291000</v>
      </c>
      <c r="M10" s="28">
        <f t="shared" si="1"/>
        <v>275000</v>
      </c>
      <c r="N10" s="28">
        <f t="shared" si="1"/>
        <v>259000</v>
      </c>
      <c r="O10" s="28">
        <f t="shared" si="1"/>
        <v>243000</v>
      </c>
      <c r="P10" s="28">
        <f t="shared" si="1"/>
        <v>227000</v>
      </c>
      <c r="Q10" s="28">
        <f t="shared" si="1"/>
        <v>211000</v>
      </c>
      <c r="R10" s="28">
        <f t="shared" si="1"/>
        <v>195000</v>
      </c>
      <c r="S10" s="28">
        <f t="shared" si="1"/>
        <v>179000</v>
      </c>
      <c r="T10" s="28">
        <f t="shared" si="1"/>
        <v>163000</v>
      </c>
      <c r="U10" s="28">
        <f t="shared" si="1"/>
        <v>147000</v>
      </c>
      <c r="V10" s="28">
        <f t="shared" si="1"/>
        <v>131000</v>
      </c>
      <c r="W10" s="28">
        <f t="shared" si="1"/>
        <v>115000</v>
      </c>
      <c r="X10" s="28">
        <f t="shared" si="1"/>
        <v>99000</v>
      </c>
      <c r="Y10" s="28">
        <f t="shared" si="1"/>
        <v>83000</v>
      </c>
      <c r="Z10" s="28">
        <f t="shared" si="1"/>
        <v>67000</v>
      </c>
      <c r="AA10" s="28">
        <f t="shared" si="1"/>
        <v>51000</v>
      </c>
      <c r="AB10" s="28">
        <f t="shared" si="1"/>
        <v>35000</v>
      </c>
    </row>
    <row r="11" spans="1:28" ht="16.2" thickBot="1" x14ac:dyDescent="0.35">
      <c r="A11" s="35" t="s">
        <v>211</v>
      </c>
      <c r="B11" s="36">
        <f>20</f>
        <v>20</v>
      </c>
      <c r="C11" s="33"/>
      <c r="F11" s="29" t="s">
        <v>212</v>
      </c>
      <c r="G11" s="30">
        <f>B7</f>
        <v>350000</v>
      </c>
      <c r="M11" s="11"/>
      <c r="N11" s="12"/>
      <c r="O11" s="12"/>
      <c r="P11" s="12"/>
      <c r="Q11" s="12"/>
      <c r="R11" s="12"/>
      <c r="S11" s="12"/>
    </row>
    <row r="12" spans="1:28" ht="16.2" thickBot="1" x14ac:dyDescent="0.35">
      <c r="A12" s="480" t="s">
        <v>213</v>
      </c>
      <c r="B12" s="481"/>
      <c r="C12" s="33"/>
      <c r="F12" s="29" t="s">
        <v>214</v>
      </c>
      <c r="G12" s="30">
        <f>B9</f>
        <v>35000</v>
      </c>
      <c r="J12" s="31"/>
      <c r="M12" s="11"/>
      <c r="N12" s="12"/>
      <c r="O12" s="12"/>
      <c r="P12" s="12"/>
      <c r="Q12" s="12"/>
      <c r="R12" s="12"/>
      <c r="S12" s="12"/>
    </row>
    <row r="13" spans="1:28" ht="15.6" x14ac:dyDescent="0.3">
      <c r="A13" s="3" t="s">
        <v>215</v>
      </c>
      <c r="B13" s="4" t="s">
        <v>216</v>
      </c>
      <c r="C13" s="33"/>
      <c r="F13" s="29" t="s">
        <v>217</v>
      </c>
      <c r="G13" s="13">
        <f>B10</f>
        <v>10000</v>
      </c>
      <c r="M13" s="11"/>
      <c r="N13" s="12"/>
      <c r="O13" s="12"/>
      <c r="P13" s="12"/>
      <c r="Q13" s="12"/>
      <c r="R13" s="12"/>
      <c r="S13" s="12"/>
    </row>
    <row r="14" spans="1:28" ht="15.6" x14ac:dyDescent="0.3">
      <c r="A14" s="34" t="s">
        <v>218</v>
      </c>
      <c r="B14" s="1">
        <f>125000</f>
        <v>125000</v>
      </c>
      <c r="C14" s="33"/>
      <c r="F14" s="10" t="s">
        <v>219</v>
      </c>
      <c r="G14" s="8">
        <f>35%</f>
        <v>0.35</v>
      </c>
      <c r="M14" s="11"/>
      <c r="N14" s="13"/>
      <c r="O14" s="23"/>
      <c r="P14" s="23"/>
      <c r="Q14" s="23"/>
      <c r="R14" s="23"/>
      <c r="S14" s="23"/>
    </row>
    <row r="15" spans="1:28" ht="15.6" x14ac:dyDescent="0.3">
      <c r="A15" s="34" t="s">
        <v>220</v>
      </c>
      <c r="B15" s="2">
        <v>20</v>
      </c>
      <c r="C15" s="33"/>
      <c r="D15" s="13"/>
      <c r="M15" s="11"/>
      <c r="N15" s="13"/>
      <c r="O15" s="23"/>
      <c r="P15" s="23"/>
      <c r="Q15" s="23"/>
      <c r="R15" s="23"/>
      <c r="S15" s="23"/>
    </row>
    <row r="16" spans="1:28" ht="26.25" customHeight="1" x14ac:dyDescent="0.3">
      <c r="A16" s="34" t="s">
        <v>221</v>
      </c>
      <c r="B16" s="37" t="s">
        <v>222</v>
      </c>
      <c r="C16" s="33"/>
      <c r="M16" s="11"/>
      <c r="N16" s="30"/>
      <c r="O16" s="42"/>
      <c r="P16" s="42"/>
    </row>
    <row r="17" spans="1:28" ht="15" thickBot="1" x14ac:dyDescent="0.35">
      <c r="A17" s="34" t="s">
        <v>223</v>
      </c>
      <c r="B17" s="37" t="s">
        <v>224</v>
      </c>
      <c r="C17" s="33"/>
    </row>
    <row r="18" spans="1:28" ht="16.2" thickBot="1" x14ac:dyDescent="0.35">
      <c r="A18" s="34" t="s">
        <v>225</v>
      </c>
      <c r="B18" s="37" t="s">
        <v>226</v>
      </c>
      <c r="C18" s="33"/>
      <c r="G18" s="14"/>
      <c r="H18" s="494" t="s">
        <v>203</v>
      </c>
      <c r="I18" s="495"/>
      <c r="J18" s="495"/>
      <c r="K18" s="495"/>
      <c r="L18" s="495"/>
      <c r="M18" s="495"/>
      <c r="N18" s="495"/>
      <c r="O18" s="495"/>
      <c r="P18" s="495"/>
      <c r="Q18" s="495"/>
      <c r="R18" s="495"/>
      <c r="S18" s="495"/>
      <c r="T18" s="495"/>
      <c r="U18" s="495"/>
      <c r="V18" s="495"/>
      <c r="W18" s="495"/>
      <c r="X18" s="495"/>
      <c r="Y18" s="495"/>
      <c r="Z18" s="495"/>
      <c r="AA18" s="495"/>
      <c r="AB18" s="496"/>
    </row>
    <row r="19" spans="1:28" ht="16.2" thickBot="1" x14ac:dyDescent="0.35">
      <c r="A19" s="35" t="s">
        <v>454</v>
      </c>
      <c r="B19" s="318">
        <f>1250</f>
        <v>1250</v>
      </c>
      <c r="C19" s="33"/>
      <c r="G19" s="14"/>
      <c r="H19" s="494" t="s">
        <v>229</v>
      </c>
      <c r="I19" s="495"/>
      <c r="J19" s="495"/>
      <c r="K19" s="495"/>
      <c r="L19" s="495"/>
      <c r="M19" s="495"/>
      <c r="N19" s="495"/>
      <c r="O19" s="495"/>
      <c r="P19" s="495"/>
      <c r="Q19" s="495"/>
      <c r="R19" s="495"/>
      <c r="S19" s="495"/>
      <c r="T19" s="495"/>
      <c r="U19" s="495"/>
      <c r="V19" s="495"/>
      <c r="W19" s="495"/>
      <c r="X19" s="495"/>
      <c r="Y19" s="495"/>
      <c r="Z19" s="495"/>
      <c r="AA19" s="495"/>
      <c r="AB19" s="496"/>
    </row>
    <row r="20" spans="1:28" ht="15" customHeight="1" thickBot="1" x14ac:dyDescent="0.35">
      <c r="A20" s="482" t="s">
        <v>230</v>
      </c>
      <c r="B20" s="483"/>
      <c r="C20" s="33"/>
      <c r="G20" s="16" t="s">
        <v>207</v>
      </c>
      <c r="H20" s="17">
        <v>0</v>
      </c>
      <c r="I20" s="18">
        <v>1</v>
      </c>
      <c r="J20" s="18">
        <v>2</v>
      </c>
      <c r="K20" s="18">
        <v>3</v>
      </c>
      <c r="L20" s="18">
        <v>4</v>
      </c>
      <c r="M20" s="18">
        <v>5</v>
      </c>
      <c r="N20" s="19">
        <v>6</v>
      </c>
      <c r="O20" s="19">
        <v>7</v>
      </c>
      <c r="P20" s="19">
        <v>8</v>
      </c>
      <c r="Q20" s="19">
        <v>9</v>
      </c>
      <c r="R20" s="20">
        <v>10</v>
      </c>
      <c r="S20" s="17">
        <v>11</v>
      </c>
      <c r="T20" s="18">
        <v>12</v>
      </c>
      <c r="U20" s="18">
        <v>13</v>
      </c>
      <c r="V20" s="18">
        <v>14</v>
      </c>
      <c r="W20" s="18">
        <v>15</v>
      </c>
      <c r="X20" s="18">
        <v>16</v>
      </c>
      <c r="Y20" s="19">
        <v>17</v>
      </c>
      <c r="Z20" s="19">
        <v>18</v>
      </c>
      <c r="AA20" s="19">
        <v>19</v>
      </c>
      <c r="AB20" s="20">
        <v>20</v>
      </c>
    </row>
    <row r="21" spans="1:28" ht="15.6" x14ac:dyDescent="0.3">
      <c r="A21" s="474"/>
      <c r="B21" s="475"/>
      <c r="C21" s="33"/>
      <c r="G21" s="21" t="s">
        <v>231</v>
      </c>
      <c r="H21" s="22"/>
      <c r="I21" s="25">
        <f>H$22*$F$25/2</f>
        <v>2500</v>
      </c>
      <c r="J21" s="25">
        <f t="shared" ref="J21:AB21" si="2">I$22*$F$25</f>
        <v>4900</v>
      </c>
      <c r="K21" s="25">
        <f t="shared" si="2"/>
        <v>4704</v>
      </c>
      <c r="L21" s="25">
        <f t="shared" si="2"/>
        <v>4515.84</v>
      </c>
      <c r="M21" s="25">
        <f t="shared" si="2"/>
        <v>4335.2064</v>
      </c>
      <c r="N21" s="25">
        <f t="shared" si="2"/>
        <v>4161.7981440000003</v>
      </c>
      <c r="O21" s="25">
        <f t="shared" si="2"/>
        <v>3995.3262182400003</v>
      </c>
      <c r="P21" s="25">
        <f t="shared" si="2"/>
        <v>3835.5131695104001</v>
      </c>
      <c r="Q21" s="25">
        <f t="shared" si="2"/>
        <v>3682.0926427299837</v>
      </c>
      <c r="R21" s="25">
        <f t="shared" si="2"/>
        <v>3534.8089370207845</v>
      </c>
      <c r="S21" s="25">
        <f t="shared" si="2"/>
        <v>3393.4165795399531</v>
      </c>
      <c r="T21" s="25">
        <f t="shared" si="2"/>
        <v>3257.6799163583551</v>
      </c>
      <c r="U21" s="25">
        <f t="shared" si="2"/>
        <v>3127.3727197040212</v>
      </c>
      <c r="V21" s="25">
        <f t="shared" si="2"/>
        <v>3002.2778109158598</v>
      </c>
      <c r="W21" s="25">
        <f t="shared" si="2"/>
        <v>2882.1866984792259</v>
      </c>
      <c r="X21" s="25">
        <f t="shared" si="2"/>
        <v>2766.8992305400566</v>
      </c>
      <c r="Y21" s="25">
        <f t="shared" si="2"/>
        <v>2656.2232613184542</v>
      </c>
      <c r="Z21" s="25">
        <f t="shared" si="2"/>
        <v>2549.9743308657162</v>
      </c>
      <c r="AA21" s="25">
        <f t="shared" si="2"/>
        <v>2447.9753576310877</v>
      </c>
      <c r="AB21" s="26">
        <f t="shared" si="2"/>
        <v>2350.056343325844</v>
      </c>
    </row>
    <row r="22" spans="1:28" ht="16.2" thickBot="1" x14ac:dyDescent="0.35">
      <c r="A22" s="474"/>
      <c r="B22" s="475"/>
      <c r="C22" s="33"/>
      <c r="G22" s="24" t="s">
        <v>232</v>
      </c>
      <c r="H22" s="27">
        <f>F24</f>
        <v>125000</v>
      </c>
      <c r="I22" s="28">
        <f>H$22-I21</f>
        <v>122500</v>
      </c>
      <c r="J22" s="28">
        <f t="shared" ref="J22:AB22" si="3">I$22-J21</f>
        <v>117600</v>
      </c>
      <c r="K22" s="28">
        <f t="shared" si="3"/>
        <v>112896</v>
      </c>
      <c r="L22" s="28">
        <f t="shared" si="3"/>
        <v>108380.16</v>
      </c>
      <c r="M22" s="28">
        <f t="shared" si="3"/>
        <v>104044.95360000001</v>
      </c>
      <c r="N22" s="28">
        <f t="shared" si="3"/>
        <v>99883.155456000008</v>
      </c>
      <c r="O22" s="28">
        <f t="shared" si="3"/>
        <v>95887.829237760001</v>
      </c>
      <c r="P22" s="28">
        <f t="shared" si="3"/>
        <v>92052.316068249595</v>
      </c>
      <c r="Q22" s="28">
        <f t="shared" si="3"/>
        <v>88370.223425519609</v>
      </c>
      <c r="R22" s="28">
        <f t="shared" si="3"/>
        <v>84835.41448849882</v>
      </c>
      <c r="S22" s="28">
        <f t="shared" si="3"/>
        <v>81441.997908958874</v>
      </c>
      <c r="T22" s="28">
        <f t="shared" si="3"/>
        <v>78184.317992600525</v>
      </c>
      <c r="U22" s="28">
        <f t="shared" si="3"/>
        <v>75056.945272896497</v>
      </c>
      <c r="V22" s="28">
        <f t="shared" si="3"/>
        <v>72054.667461980644</v>
      </c>
      <c r="W22" s="28">
        <f t="shared" si="3"/>
        <v>69172.480763501415</v>
      </c>
      <c r="X22" s="28">
        <f t="shared" si="3"/>
        <v>66405.581532961354</v>
      </c>
      <c r="Y22" s="28">
        <f t="shared" si="3"/>
        <v>63749.358271642901</v>
      </c>
      <c r="Z22" s="28">
        <f t="shared" si="3"/>
        <v>61199.383940777188</v>
      </c>
      <c r="AA22" s="28">
        <f t="shared" si="3"/>
        <v>58751.408583146098</v>
      </c>
      <c r="AB22" s="28">
        <f t="shared" si="3"/>
        <v>56401.352239820255</v>
      </c>
    </row>
    <row r="23" spans="1:28" x14ac:dyDescent="0.3">
      <c r="A23" s="484"/>
      <c r="B23" s="485"/>
      <c r="C23" s="33"/>
      <c r="I23" t="s">
        <v>460</v>
      </c>
    </row>
    <row r="24" spans="1:28" ht="45" customHeight="1" x14ac:dyDescent="0.3">
      <c r="A24" s="486" t="s">
        <v>233</v>
      </c>
      <c r="B24" s="487"/>
      <c r="C24" s="33"/>
      <c r="E24" s="29" t="s">
        <v>212</v>
      </c>
      <c r="F24" s="30">
        <f>B14</f>
        <v>125000</v>
      </c>
      <c r="M24" s="10" t="s">
        <v>219</v>
      </c>
      <c r="N24" s="8">
        <f>35%</f>
        <v>0.35</v>
      </c>
    </row>
    <row r="25" spans="1:28" ht="30" customHeight="1" x14ac:dyDescent="0.3">
      <c r="A25" s="488" t="s">
        <v>234</v>
      </c>
      <c r="B25" s="489"/>
      <c r="C25" s="33"/>
      <c r="E25" s="29" t="s">
        <v>235</v>
      </c>
      <c r="F25" s="8">
        <f>4%</f>
        <v>0.04</v>
      </c>
      <c r="G25" s="31" t="s">
        <v>236</v>
      </c>
      <c r="M25" s="11" t="s">
        <v>237</v>
      </c>
      <c r="N25" s="12" t="s">
        <v>238</v>
      </c>
      <c r="O25" s="12"/>
      <c r="P25" s="12"/>
      <c r="Q25" s="12"/>
      <c r="R25" s="12"/>
      <c r="S25" s="12"/>
      <c r="T25" s="12"/>
    </row>
    <row r="26" spans="1:28" ht="46.8" x14ac:dyDescent="0.3">
      <c r="A26" s="484"/>
      <c r="B26" s="485"/>
      <c r="C26" s="33"/>
      <c r="E26" s="29" t="s">
        <v>239</v>
      </c>
      <c r="F26" s="8">
        <f>32%</f>
        <v>0.32</v>
      </c>
      <c r="M26" s="11" t="s">
        <v>240</v>
      </c>
      <c r="N26" s="65" t="s">
        <v>254</v>
      </c>
      <c r="O26" s="12"/>
      <c r="P26" s="12"/>
      <c r="Q26" s="12"/>
      <c r="R26" s="12"/>
      <c r="S26" s="12"/>
      <c r="T26" s="12"/>
    </row>
    <row r="27" spans="1:28" ht="31.2" x14ac:dyDescent="0.3">
      <c r="A27" s="474" t="s">
        <v>242</v>
      </c>
      <c r="B27" s="475"/>
      <c r="C27" s="33"/>
      <c r="E27" s="29" t="s">
        <v>214</v>
      </c>
      <c r="F27" s="30">
        <f>F24*F26</f>
        <v>40000</v>
      </c>
      <c r="M27" s="11" t="s">
        <v>243</v>
      </c>
      <c r="N27" s="65" t="s">
        <v>244</v>
      </c>
      <c r="O27" s="12"/>
      <c r="P27" s="12"/>
      <c r="Q27" s="12"/>
      <c r="R27" s="12"/>
      <c r="S27" s="12"/>
      <c r="T27" s="12"/>
    </row>
    <row r="28" spans="1:28" ht="15.6" x14ac:dyDescent="0.3">
      <c r="A28" s="474"/>
      <c r="B28" s="475"/>
      <c r="C28" s="33"/>
      <c r="M28" s="11" t="s">
        <v>245</v>
      </c>
      <c r="N28" s="13">
        <f>AB22</f>
        <v>56401.352239820255</v>
      </c>
      <c r="O28" s="23" t="s">
        <v>246</v>
      </c>
      <c r="P28" s="23"/>
      <c r="Q28" s="23"/>
      <c r="R28" s="23"/>
      <c r="S28" s="23"/>
    </row>
    <row r="29" spans="1:28" ht="15.6" x14ac:dyDescent="0.3">
      <c r="A29" s="474"/>
      <c r="B29" s="475"/>
      <c r="C29" s="33"/>
      <c r="E29" s="29" t="s">
        <v>217</v>
      </c>
      <c r="F29" s="9">
        <f>1250</f>
        <v>1250</v>
      </c>
      <c r="M29" s="11" t="s">
        <v>214</v>
      </c>
      <c r="N29" s="13">
        <f>F27</f>
        <v>40000</v>
      </c>
      <c r="O29" s="23" t="s">
        <v>247</v>
      </c>
      <c r="P29" s="23"/>
      <c r="Q29" s="23"/>
      <c r="R29" s="23"/>
      <c r="S29" s="23"/>
    </row>
    <row r="30" spans="1:28" ht="15.6" x14ac:dyDescent="0.3">
      <c r="A30" s="476" t="s">
        <v>248</v>
      </c>
      <c r="B30" s="477"/>
      <c r="C30" s="33"/>
      <c r="M30" s="11" t="s">
        <v>249</v>
      </c>
      <c r="N30" s="13">
        <f>N24*(N28-N29)</f>
        <v>5740.473283937089</v>
      </c>
      <c r="O30" t="s">
        <v>250</v>
      </c>
    </row>
    <row r="31" spans="1:28" ht="15" customHeight="1" x14ac:dyDescent="0.3">
      <c r="A31" s="490" t="s">
        <v>251</v>
      </c>
      <c r="B31" s="491"/>
      <c r="C31" s="33"/>
    </row>
    <row r="32" spans="1:28" x14ac:dyDescent="0.3">
      <c r="A32" s="472"/>
      <c r="B32" s="473"/>
      <c r="C32" s="33"/>
    </row>
    <row r="33" spans="1:28" x14ac:dyDescent="0.3">
      <c r="A33" s="472"/>
      <c r="B33" s="473"/>
      <c r="C33" s="33"/>
    </row>
    <row r="34" spans="1:28" ht="15" customHeight="1" x14ac:dyDescent="0.3">
      <c r="A34" s="472" t="s">
        <v>252</v>
      </c>
      <c r="B34" s="473"/>
      <c r="C34" s="33"/>
    </row>
    <row r="35" spans="1:28" x14ac:dyDescent="0.3">
      <c r="A35" s="472"/>
      <c r="B35" s="473"/>
      <c r="C35" s="33"/>
    </row>
    <row r="36" spans="1:28" x14ac:dyDescent="0.3">
      <c r="A36" s="472"/>
      <c r="B36" s="473"/>
      <c r="C36" s="33"/>
    </row>
    <row r="37" spans="1:28" ht="15" customHeight="1" x14ac:dyDescent="0.3">
      <c r="A37" s="472" t="s">
        <v>253</v>
      </c>
      <c r="B37" s="473"/>
      <c r="C37" s="33"/>
    </row>
    <row r="38" spans="1:28" x14ac:dyDescent="0.3">
      <c r="A38" s="472"/>
      <c r="B38" s="473"/>
      <c r="C38" s="33"/>
    </row>
    <row r="39" spans="1:28" x14ac:dyDescent="0.3">
      <c r="A39" s="472"/>
      <c r="B39" s="473"/>
      <c r="C39" s="33"/>
    </row>
    <row r="40" spans="1:28" x14ac:dyDescent="0.3">
      <c r="A40" s="472"/>
      <c r="B40" s="473"/>
      <c r="C40" s="33"/>
    </row>
    <row r="41" spans="1:28" ht="15" thickBot="1" x14ac:dyDescent="0.35">
      <c r="A41" s="39"/>
      <c r="B41" s="40"/>
      <c r="C41" s="41"/>
    </row>
    <row r="43" spans="1:28" ht="15.6" x14ac:dyDescent="0.3">
      <c r="G43" s="23"/>
      <c r="I43" s="43"/>
      <c r="J43" s="43"/>
      <c r="K43" s="43"/>
      <c r="L43" s="43"/>
      <c r="M43" s="43"/>
    </row>
    <row r="44" spans="1:28" ht="15.6" x14ac:dyDescent="0.3">
      <c r="G44" s="23"/>
      <c r="J44" s="43"/>
      <c r="L44" s="43"/>
      <c r="M44" s="43"/>
    </row>
    <row r="45" spans="1:28" ht="15.6" x14ac:dyDescent="0.3">
      <c r="G45" s="14"/>
      <c r="H45" s="14"/>
      <c r="I45" s="43"/>
      <c r="J45" s="43"/>
      <c r="K45" s="43"/>
      <c r="L45" s="43"/>
      <c r="M45" s="43"/>
    </row>
    <row r="46" spans="1:28" ht="15.6" x14ac:dyDescent="0.3">
      <c r="A46" s="56" t="s">
        <v>256</v>
      </c>
      <c r="B46" s="57"/>
      <c r="D46" s="49" t="s">
        <v>444</v>
      </c>
      <c r="G46" s="23"/>
      <c r="H46" s="14"/>
      <c r="I46" s="43"/>
      <c r="J46" s="43"/>
      <c r="K46" s="43"/>
      <c r="L46" s="43"/>
      <c r="M46" s="43"/>
    </row>
    <row r="47" spans="1:28" x14ac:dyDescent="0.3">
      <c r="A47" t="s">
        <v>257</v>
      </c>
      <c r="B47" s="119">
        <v>250</v>
      </c>
      <c r="D47" s="9">
        <f>B47*12</f>
        <v>3000</v>
      </c>
    </row>
    <row r="48" spans="1:28" ht="15.6" x14ac:dyDescent="0.3">
      <c r="A48" t="s">
        <v>258</v>
      </c>
      <c r="B48" s="120">
        <v>500</v>
      </c>
      <c r="D48" s="9">
        <f>B48*12</f>
        <v>6000</v>
      </c>
      <c r="G48" s="14" t="s">
        <v>255</v>
      </c>
      <c r="H48" s="44">
        <f>G14</f>
        <v>0.35</v>
      </c>
      <c r="I48" s="61"/>
      <c r="J48" s="61"/>
      <c r="K48" s="61"/>
      <c r="L48" s="61"/>
      <c r="M48" s="61"/>
      <c r="N48" s="61"/>
      <c r="O48" s="61"/>
      <c r="P48" s="61"/>
      <c r="Q48" s="61"/>
      <c r="R48" s="61"/>
      <c r="S48" s="61"/>
      <c r="T48" s="61"/>
      <c r="U48" s="61"/>
      <c r="V48" s="61"/>
      <c r="W48" s="61"/>
      <c r="X48" s="61"/>
      <c r="Y48" s="61"/>
      <c r="Z48" s="61"/>
      <c r="AA48" s="61"/>
      <c r="AB48" s="61"/>
    </row>
    <row r="49" spans="1:28" ht="18.600000000000001" thickBot="1" x14ac:dyDescent="0.4">
      <c r="A49" t="s">
        <v>259</v>
      </c>
      <c r="B49" s="51">
        <v>125</v>
      </c>
      <c r="G49" s="60" t="s">
        <v>483</v>
      </c>
      <c r="H49" s="64">
        <f>EFFECT(14.5%, 12)</f>
        <v>0.1550353528039834</v>
      </c>
      <c r="I49" s="509" t="s">
        <v>260</v>
      </c>
      <c r="J49" s="509"/>
      <c r="K49" s="509"/>
      <c r="L49" s="509"/>
      <c r="M49" s="509"/>
      <c r="N49" s="509"/>
    </row>
    <row r="50" spans="1:28" ht="15.6" x14ac:dyDescent="0.3">
      <c r="A50" t="s">
        <v>261</v>
      </c>
      <c r="B50" s="51">
        <v>8</v>
      </c>
      <c r="G50" s="503" t="s">
        <v>262</v>
      </c>
      <c r="H50" s="504"/>
      <c r="I50" s="46"/>
      <c r="J50" s="46"/>
      <c r="K50" s="46"/>
      <c r="L50" s="46"/>
      <c r="M50" s="46"/>
    </row>
    <row r="51" spans="1:28" ht="16.2" thickBot="1" x14ac:dyDescent="0.35">
      <c r="A51" t="s">
        <v>263</v>
      </c>
      <c r="B51" s="51">
        <v>1000</v>
      </c>
      <c r="D51" s="13">
        <f>B51*12</f>
        <v>12000</v>
      </c>
      <c r="G51" s="505"/>
      <c r="H51" s="506"/>
      <c r="I51" s="46"/>
      <c r="J51" s="46"/>
      <c r="K51" s="46"/>
      <c r="L51" s="46"/>
      <c r="M51" s="46"/>
    </row>
    <row r="52" spans="1:28" ht="16.2" thickBot="1" x14ac:dyDescent="0.35">
      <c r="A52" s="56" t="s">
        <v>264</v>
      </c>
      <c r="B52" s="58"/>
      <c r="G52" s="52" t="s">
        <v>265</v>
      </c>
      <c r="H52" s="365">
        <v>0</v>
      </c>
      <c r="I52" s="45">
        <v>1</v>
      </c>
      <c r="J52" s="45">
        <v>2</v>
      </c>
      <c r="K52" s="45">
        <v>3</v>
      </c>
      <c r="L52" s="45">
        <v>4</v>
      </c>
      <c r="M52" s="45">
        <v>5</v>
      </c>
      <c r="N52" s="15">
        <v>6</v>
      </c>
      <c r="O52" s="45">
        <v>7</v>
      </c>
      <c r="P52" s="45">
        <v>8</v>
      </c>
      <c r="Q52" s="45">
        <v>9</v>
      </c>
      <c r="R52" s="45">
        <v>10</v>
      </c>
      <c r="S52" s="45">
        <v>11</v>
      </c>
      <c r="T52" s="15">
        <v>12</v>
      </c>
      <c r="U52" s="45">
        <v>13</v>
      </c>
      <c r="V52" s="45">
        <v>14</v>
      </c>
      <c r="W52" s="45">
        <v>15</v>
      </c>
      <c r="X52" s="45">
        <v>16</v>
      </c>
      <c r="Y52" s="45">
        <v>17</v>
      </c>
      <c r="Z52" s="15">
        <v>18</v>
      </c>
      <c r="AA52" s="45">
        <v>19</v>
      </c>
      <c r="AB52" s="48">
        <v>20</v>
      </c>
    </row>
    <row r="53" spans="1:28" ht="15.6" x14ac:dyDescent="0.3">
      <c r="A53" t="s">
        <v>468</v>
      </c>
      <c r="B53" s="51">
        <f>35000</f>
        <v>35000</v>
      </c>
      <c r="G53" s="329" t="s">
        <v>450</v>
      </c>
      <c r="H53" s="499"/>
      <c r="I53" s="499"/>
      <c r="J53" s="499"/>
      <c r="K53" s="499"/>
      <c r="L53" s="499"/>
      <c r="M53" s="499"/>
      <c r="N53" s="499"/>
      <c r="O53" s="499"/>
      <c r="P53" s="499"/>
      <c r="Q53" s="499"/>
      <c r="R53" s="499"/>
      <c r="S53" s="499"/>
      <c r="T53" s="499"/>
      <c r="U53" s="499"/>
      <c r="V53" s="499"/>
      <c r="W53" s="499"/>
      <c r="X53" s="499"/>
      <c r="Y53" s="499"/>
      <c r="Z53" s="499"/>
      <c r="AA53" s="499"/>
      <c r="AB53" s="500"/>
    </row>
    <row r="54" spans="1:28" x14ac:dyDescent="0.3">
      <c r="A54" t="s">
        <v>469</v>
      </c>
      <c r="B54" s="9">
        <f>65000</f>
        <v>65000</v>
      </c>
      <c r="G54" s="330" t="s">
        <v>445</v>
      </c>
      <c r="H54" s="501"/>
      <c r="I54" s="501"/>
      <c r="J54" s="501"/>
      <c r="K54" s="501"/>
      <c r="L54" s="501"/>
      <c r="M54" s="501"/>
      <c r="N54" s="501"/>
      <c r="O54" s="501"/>
      <c r="P54" s="501"/>
      <c r="Q54" s="501"/>
      <c r="R54" s="501"/>
      <c r="S54" s="501"/>
      <c r="T54" s="501"/>
      <c r="U54" s="501"/>
      <c r="V54" s="501"/>
      <c r="W54" s="501"/>
      <c r="X54" s="501"/>
      <c r="Y54" s="501"/>
      <c r="Z54" s="501"/>
      <c r="AA54" s="501"/>
      <c r="AB54" s="502"/>
    </row>
    <row r="55" spans="1:28" x14ac:dyDescent="0.3">
      <c r="A55" s="54" t="s">
        <v>266</v>
      </c>
      <c r="B55" s="55">
        <v>10</v>
      </c>
      <c r="G55" s="34" t="s">
        <v>446</v>
      </c>
      <c r="H55" s="13"/>
      <c r="I55" s="13">
        <f t="shared" ref="I55:AB55" si="4">$B$49</f>
        <v>125</v>
      </c>
      <c r="J55" s="13">
        <f t="shared" si="4"/>
        <v>125</v>
      </c>
      <c r="K55" s="13">
        <f t="shared" si="4"/>
        <v>125</v>
      </c>
      <c r="L55" s="13">
        <f t="shared" si="4"/>
        <v>125</v>
      </c>
      <c r="M55" s="13">
        <f t="shared" si="4"/>
        <v>125</v>
      </c>
      <c r="N55" s="13">
        <f t="shared" si="4"/>
        <v>125</v>
      </c>
      <c r="O55" s="13">
        <f t="shared" si="4"/>
        <v>125</v>
      </c>
      <c r="P55" s="13">
        <f t="shared" si="4"/>
        <v>125</v>
      </c>
      <c r="Q55" s="13">
        <f t="shared" si="4"/>
        <v>125</v>
      </c>
      <c r="R55" s="13">
        <f t="shared" si="4"/>
        <v>125</v>
      </c>
      <c r="S55" s="13">
        <f t="shared" si="4"/>
        <v>125</v>
      </c>
      <c r="T55" s="13">
        <f t="shared" si="4"/>
        <v>125</v>
      </c>
      <c r="U55" s="13">
        <f t="shared" si="4"/>
        <v>125</v>
      </c>
      <c r="V55" s="13">
        <f t="shared" si="4"/>
        <v>125</v>
      </c>
      <c r="W55" s="13">
        <f t="shared" si="4"/>
        <v>125</v>
      </c>
      <c r="X55" s="13">
        <f t="shared" si="4"/>
        <v>125</v>
      </c>
      <c r="Y55" s="13">
        <f t="shared" si="4"/>
        <v>125</v>
      </c>
      <c r="Z55" s="13">
        <f t="shared" si="4"/>
        <v>125</v>
      </c>
      <c r="AA55" s="13">
        <f t="shared" si="4"/>
        <v>125</v>
      </c>
      <c r="AB55" s="267">
        <f t="shared" si="4"/>
        <v>125</v>
      </c>
    </row>
    <row r="56" spans="1:28" ht="15" thickBot="1" x14ac:dyDescent="0.35">
      <c r="G56" s="34" t="s">
        <v>447</v>
      </c>
      <c r="I56">
        <f>$B$47*12</f>
        <v>3000</v>
      </c>
      <c r="J56">
        <f>$B$47*12</f>
        <v>3000</v>
      </c>
      <c r="K56">
        <f>$B$47*12</f>
        <v>3000</v>
      </c>
      <c r="L56">
        <f>$B$47*12</f>
        <v>3000</v>
      </c>
      <c r="M56">
        <f>$B$47*12</f>
        <v>3000</v>
      </c>
      <c r="N56">
        <f t="shared" ref="N56:AB56" si="5">$B$48*12</f>
        <v>6000</v>
      </c>
      <c r="O56">
        <f t="shared" si="5"/>
        <v>6000</v>
      </c>
      <c r="P56">
        <f t="shared" si="5"/>
        <v>6000</v>
      </c>
      <c r="Q56">
        <f t="shared" si="5"/>
        <v>6000</v>
      </c>
      <c r="R56">
        <f t="shared" si="5"/>
        <v>6000</v>
      </c>
      <c r="S56">
        <f t="shared" si="5"/>
        <v>6000</v>
      </c>
      <c r="T56">
        <f t="shared" si="5"/>
        <v>6000</v>
      </c>
      <c r="U56">
        <f t="shared" si="5"/>
        <v>6000</v>
      </c>
      <c r="V56">
        <f t="shared" si="5"/>
        <v>6000</v>
      </c>
      <c r="W56">
        <f t="shared" si="5"/>
        <v>6000</v>
      </c>
      <c r="X56">
        <f t="shared" si="5"/>
        <v>6000</v>
      </c>
      <c r="Y56">
        <f t="shared" si="5"/>
        <v>6000</v>
      </c>
      <c r="Z56">
        <f t="shared" si="5"/>
        <v>6000</v>
      </c>
      <c r="AA56">
        <f t="shared" si="5"/>
        <v>6000</v>
      </c>
      <c r="AB56" s="184">
        <f t="shared" si="5"/>
        <v>6000</v>
      </c>
    </row>
    <row r="57" spans="1:28" ht="15" thickBot="1" x14ac:dyDescent="0.35">
      <c r="A57" s="62" t="s">
        <v>267</v>
      </c>
      <c r="B57" s="63"/>
      <c r="G57" s="34" t="s">
        <v>448</v>
      </c>
      <c r="I57" s="13">
        <f t="shared" ref="I57:AB57" si="6">I$55*I$56</f>
        <v>375000</v>
      </c>
      <c r="J57" s="13">
        <f t="shared" si="6"/>
        <v>375000</v>
      </c>
      <c r="K57" s="13">
        <f t="shared" si="6"/>
        <v>375000</v>
      </c>
      <c r="L57" s="13">
        <f t="shared" si="6"/>
        <v>375000</v>
      </c>
      <c r="M57" s="13">
        <f t="shared" si="6"/>
        <v>375000</v>
      </c>
      <c r="N57" s="13">
        <f t="shared" si="6"/>
        <v>750000</v>
      </c>
      <c r="O57" s="13">
        <f t="shared" si="6"/>
        <v>750000</v>
      </c>
      <c r="P57" s="13">
        <f t="shared" si="6"/>
        <v>750000</v>
      </c>
      <c r="Q57" s="13">
        <f t="shared" si="6"/>
        <v>750000</v>
      </c>
      <c r="R57" s="13">
        <f t="shared" si="6"/>
        <v>750000</v>
      </c>
      <c r="S57" s="13">
        <f t="shared" si="6"/>
        <v>750000</v>
      </c>
      <c r="T57" s="13">
        <f t="shared" si="6"/>
        <v>750000</v>
      </c>
      <c r="U57" s="13">
        <f t="shared" si="6"/>
        <v>750000</v>
      </c>
      <c r="V57" s="13">
        <f t="shared" si="6"/>
        <v>750000</v>
      </c>
      <c r="W57" s="13">
        <f t="shared" si="6"/>
        <v>750000</v>
      </c>
      <c r="X57" s="13">
        <f t="shared" si="6"/>
        <v>750000</v>
      </c>
      <c r="Y57" s="13">
        <f t="shared" si="6"/>
        <v>750000</v>
      </c>
      <c r="Z57" s="13">
        <f t="shared" si="6"/>
        <v>750000</v>
      </c>
      <c r="AA57" s="13">
        <f t="shared" si="6"/>
        <v>750000</v>
      </c>
      <c r="AB57" s="267">
        <f t="shared" si="6"/>
        <v>750000</v>
      </c>
    </row>
    <row r="58" spans="1:28" x14ac:dyDescent="0.3">
      <c r="A58" s="34" t="s">
        <v>268</v>
      </c>
      <c r="B58" s="50">
        <f>12500*12</f>
        <v>150000</v>
      </c>
      <c r="G58" s="330" t="s">
        <v>449</v>
      </c>
      <c r="H58" s="501"/>
      <c r="I58" s="501"/>
      <c r="J58" s="501"/>
      <c r="K58" s="501"/>
      <c r="L58" s="501"/>
      <c r="M58" s="501"/>
      <c r="N58" s="501"/>
      <c r="O58" s="501"/>
      <c r="P58" s="501"/>
      <c r="Q58" s="501"/>
      <c r="R58" s="501"/>
      <c r="S58" s="501"/>
      <c r="T58" s="501"/>
      <c r="U58" s="501"/>
      <c r="V58" s="501"/>
      <c r="W58" s="501"/>
      <c r="X58" s="501"/>
      <c r="Y58" s="501"/>
      <c r="Z58" s="501"/>
      <c r="AA58" s="501"/>
      <c r="AB58" s="502"/>
    </row>
    <row r="59" spans="1:28" ht="15" thickBot="1" x14ac:dyDescent="0.35">
      <c r="A59" s="35" t="s">
        <v>269</v>
      </c>
      <c r="B59" s="53">
        <f>75000</f>
        <v>75000</v>
      </c>
      <c r="G59" s="34" t="s">
        <v>451</v>
      </c>
      <c r="I59" s="13">
        <f t="shared" ref="I59:AB59" si="7">-$B$10</f>
        <v>-10000</v>
      </c>
      <c r="J59" s="13">
        <f t="shared" si="7"/>
        <v>-10000</v>
      </c>
      <c r="K59" s="13">
        <f t="shared" si="7"/>
        <v>-10000</v>
      </c>
      <c r="L59" s="13">
        <f t="shared" si="7"/>
        <v>-10000</v>
      </c>
      <c r="M59" s="13">
        <f t="shared" si="7"/>
        <v>-10000</v>
      </c>
      <c r="N59" s="13">
        <f t="shared" si="7"/>
        <v>-10000</v>
      </c>
      <c r="O59" s="13">
        <f t="shared" si="7"/>
        <v>-10000</v>
      </c>
      <c r="P59" s="13">
        <f t="shared" si="7"/>
        <v>-10000</v>
      </c>
      <c r="Q59" s="13">
        <f t="shared" si="7"/>
        <v>-10000</v>
      </c>
      <c r="R59" s="13">
        <f t="shared" si="7"/>
        <v>-10000</v>
      </c>
      <c r="S59" s="13">
        <f t="shared" si="7"/>
        <v>-10000</v>
      </c>
      <c r="T59" s="13">
        <f t="shared" si="7"/>
        <v>-10000</v>
      </c>
      <c r="U59" s="13">
        <f t="shared" si="7"/>
        <v>-10000</v>
      </c>
      <c r="V59" s="13">
        <f t="shared" si="7"/>
        <v>-10000</v>
      </c>
      <c r="W59" s="13">
        <f t="shared" si="7"/>
        <v>-10000</v>
      </c>
      <c r="X59" s="13">
        <f t="shared" si="7"/>
        <v>-10000</v>
      </c>
      <c r="Y59" s="13">
        <f t="shared" si="7"/>
        <v>-10000</v>
      </c>
      <c r="Z59" s="13">
        <f t="shared" si="7"/>
        <v>-10000</v>
      </c>
      <c r="AA59" s="13">
        <f t="shared" si="7"/>
        <v>-10000</v>
      </c>
      <c r="AB59" s="267">
        <f t="shared" si="7"/>
        <v>-10000</v>
      </c>
    </row>
    <row r="60" spans="1:28" x14ac:dyDescent="0.3">
      <c r="G60" s="34" t="s">
        <v>452</v>
      </c>
      <c r="I60" s="13">
        <f t="shared" ref="I60:AB60" si="8">-$B$19</f>
        <v>-1250</v>
      </c>
      <c r="J60" s="13">
        <f t="shared" si="8"/>
        <v>-1250</v>
      </c>
      <c r="K60" s="13">
        <f t="shared" si="8"/>
        <v>-1250</v>
      </c>
      <c r="L60" s="13">
        <f t="shared" si="8"/>
        <v>-1250</v>
      </c>
      <c r="M60" s="13">
        <f t="shared" si="8"/>
        <v>-1250</v>
      </c>
      <c r="N60" s="13">
        <f t="shared" si="8"/>
        <v>-1250</v>
      </c>
      <c r="O60" s="13">
        <f t="shared" si="8"/>
        <v>-1250</v>
      </c>
      <c r="P60" s="13">
        <f t="shared" si="8"/>
        <v>-1250</v>
      </c>
      <c r="Q60" s="13">
        <f t="shared" si="8"/>
        <v>-1250</v>
      </c>
      <c r="R60" s="13">
        <f t="shared" si="8"/>
        <v>-1250</v>
      </c>
      <c r="S60" s="13">
        <f t="shared" si="8"/>
        <v>-1250</v>
      </c>
      <c r="T60" s="13">
        <f t="shared" si="8"/>
        <v>-1250</v>
      </c>
      <c r="U60" s="13">
        <f t="shared" si="8"/>
        <v>-1250</v>
      </c>
      <c r="V60" s="13">
        <f t="shared" si="8"/>
        <v>-1250</v>
      </c>
      <c r="W60" s="13">
        <f t="shared" si="8"/>
        <v>-1250</v>
      </c>
      <c r="X60" s="13">
        <f t="shared" si="8"/>
        <v>-1250</v>
      </c>
      <c r="Y60" s="13">
        <f t="shared" si="8"/>
        <v>-1250</v>
      </c>
      <c r="Z60" s="13">
        <f t="shared" si="8"/>
        <v>-1250</v>
      </c>
      <c r="AA60" s="13">
        <f t="shared" si="8"/>
        <v>-1250</v>
      </c>
      <c r="AB60" s="267">
        <f t="shared" si="8"/>
        <v>-1250</v>
      </c>
    </row>
    <row r="61" spans="1:28" x14ac:dyDescent="0.3">
      <c r="G61" s="34" t="s">
        <v>455</v>
      </c>
      <c r="H61" s="13">
        <f>-H$9</f>
        <v>0</v>
      </c>
      <c r="I61" s="13">
        <f t="shared" ref="I61:AB61" si="9">-I9</f>
        <v>-16000</v>
      </c>
      <c r="J61" s="13">
        <f t="shared" si="9"/>
        <v>-16000</v>
      </c>
      <c r="K61" s="13">
        <f t="shared" si="9"/>
        <v>-16000</v>
      </c>
      <c r="L61" s="13">
        <f t="shared" si="9"/>
        <v>-16000</v>
      </c>
      <c r="M61" s="13">
        <f t="shared" si="9"/>
        <v>-16000</v>
      </c>
      <c r="N61" s="13">
        <f t="shared" si="9"/>
        <v>-16000</v>
      </c>
      <c r="O61" s="13">
        <f t="shared" si="9"/>
        <v>-16000</v>
      </c>
      <c r="P61" s="13">
        <f t="shared" si="9"/>
        <v>-16000</v>
      </c>
      <c r="Q61" s="13">
        <f t="shared" si="9"/>
        <v>-16000</v>
      </c>
      <c r="R61" s="13">
        <f t="shared" si="9"/>
        <v>-16000</v>
      </c>
      <c r="S61" s="13">
        <f t="shared" si="9"/>
        <v>-16000</v>
      </c>
      <c r="T61" s="13">
        <f t="shared" si="9"/>
        <v>-16000</v>
      </c>
      <c r="U61" s="13">
        <f t="shared" si="9"/>
        <v>-16000</v>
      </c>
      <c r="V61" s="13">
        <f t="shared" si="9"/>
        <v>-16000</v>
      </c>
      <c r="W61" s="13">
        <f t="shared" si="9"/>
        <v>-16000</v>
      </c>
      <c r="X61" s="13">
        <f t="shared" si="9"/>
        <v>-16000</v>
      </c>
      <c r="Y61" s="13">
        <f t="shared" si="9"/>
        <v>-16000</v>
      </c>
      <c r="Z61" s="13">
        <f t="shared" si="9"/>
        <v>-16000</v>
      </c>
      <c r="AA61" s="13">
        <f t="shared" si="9"/>
        <v>-16000</v>
      </c>
      <c r="AB61" s="267">
        <f t="shared" si="9"/>
        <v>-16000</v>
      </c>
    </row>
    <row r="62" spans="1:28" x14ac:dyDescent="0.3">
      <c r="G62" s="34" t="s">
        <v>456</v>
      </c>
      <c r="H62" s="51">
        <f t="shared" ref="H62:AB62" si="10">-H$21</f>
        <v>0</v>
      </c>
      <c r="I62" s="51">
        <f t="shared" si="10"/>
        <v>-2500</v>
      </c>
      <c r="J62" s="51">
        <f t="shared" si="10"/>
        <v>-4900</v>
      </c>
      <c r="K62" s="51">
        <f t="shared" si="10"/>
        <v>-4704</v>
      </c>
      <c r="L62" s="51">
        <f t="shared" si="10"/>
        <v>-4515.84</v>
      </c>
      <c r="M62" s="51">
        <f t="shared" si="10"/>
        <v>-4335.2064</v>
      </c>
      <c r="N62" s="51">
        <f t="shared" si="10"/>
        <v>-4161.7981440000003</v>
      </c>
      <c r="O62" s="51">
        <f t="shared" si="10"/>
        <v>-3995.3262182400003</v>
      </c>
      <c r="P62" s="51">
        <f t="shared" si="10"/>
        <v>-3835.5131695104001</v>
      </c>
      <c r="Q62" s="51">
        <f t="shared" si="10"/>
        <v>-3682.0926427299837</v>
      </c>
      <c r="R62" s="51">
        <f t="shared" si="10"/>
        <v>-3534.8089370207845</v>
      </c>
      <c r="S62" s="51">
        <f t="shared" si="10"/>
        <v>-3393.4165795399531</v>
      </c>
      <c r="T62" s="51">
        <f t="shared" si="10"/>
        <v>-3257.6799163583551</v>
      </c>
      <c r="U62" s="51">
        <f t="shared" si="10"/>
        <v>-3127.3727197040212</v>
      </c>
      <c r="V62" s="51">
        <f t="shared" si="10"/>
        <v>-3002.2778109158598</v>
      </c>
      <c r="W62" s="51">
        <f t="shared" si="10"/>
        <v>-2882.1866984792259</v>
      </c>
      <c r="X62" s="51">
        <f t="shared" si="10"/>
        <v>-2766.8992305400566</v>
      </c>
      <c r="Y62" s="51">
        <f t="shared" si="10"/>
        <v>-2656.2232613184542</v>
      </c>
      <c r="Z62" s="51">
        <f t="shared" si="10"/>
        <v>-2549.9743308657162</v>
      </c>
      <c r="AA62" s="51">
        <f t="shared" si="10"/>
        <v>-2447.9753576310877</v>
      </c>
      <c r="AB62" s="50">
        <f t="shared" si="10"/>
        <v>-2350.056343325844</v>
      </c>
    </row>
    <row r="63" spans="1:28" x14ac:dyDescent="0.3">
      <c r="G63" s="331" t="s">
        <v>461</v>
      </c>
      <c r="H63" s="501"/>
      <c r="I63" s="501"/>
      <c r="J63" s="501"/>
      <c r="K63" s="501"/>
      <c r="L63" s="501"/>
      <c r="M63" s="501"/>
      <c r="N63" s="501"/>
      <c r="O63" s="501"/>
      <c r="P63" s="501"/>
      <c r="Q63" s="501"/>
      <c r="R63" s="501"/>
      <c r="S63" s="501"/>
      <c r="T63" s="501"/>
      <c r="U63" s="501"/>
      <c r="V63" s="501"/>
      <c r="W63" s="501"/>
      <c r="X63" s="501"/>
      <c r="Y63" s="501"/>
      <c r="Z63" s="501"/>
      <c r="AA63" s="501"/>
      <c r="AB63" s="502"/>
    </row>
    <row r="64" spans="1:28" x14ac:dyDescent="0.3">
      <c r="G64" s="34" t="s">
        <v>462</v>
      </c>
      <c r="I64" s="51">
        <f>0</f>
        <v>0</v>
      </c>
      <c r="J64" s="13">
        <f t="shared" ref="J64:AB64" si="11">-$D$51</f>
        <v>-12000</v>
      </c>
      <c r="K64" s="13">
        <f t="shared" si="11"/>
        <v>-12000</v>
      </c>
      <c r="L64" s="13">
        <f t="shared" si="11"/>
        <v>-12000</v>
      </c>
      <c r="M64" s="13">
        <f t="shared" si="11"/>
        <v>-12000</v>
      </c>
      <c r="N64" s="13">
        <f t="shared" si="11"/>
        <v>-12000</v>
      </c>
      <c r="O64" s="13">
        <f t="shared" si="11"/>
        <v>-12000</v>
      </c>
      <c r="P64" s="13">
        <f t="shared" si="11"/>
        <v>-12000</v>
      </c>
      <c r="Q64" s="13">
        <f t="shared" si="11"/>
        <v>-12000</v>
      </c>
      <c r="R64" s="13">
        <f t="shared" si="11"/>
        <v>-12000</v>
      </c>
      <c r="S64" s="13">
        <f t="shared" si="11"/>
        <v>-12000</v>
      </c>
      <c r="T64" s="13">
        <f t="shared" si="11"/>
        <v>-12000</v>
      </c>
      <c r="U64" s="13">
        <f t="shared" si="11"/>
        <v>-12000</v>
      </c>
      <c r="V64" s="13">
        <f t="shared" si="11"/>
        <v>-12000</v>
      </c>
      <c r="W64" s="13">
        <f t="shared" si="11"/>
        <v>-12000</v>
      </c>
      <c r="X64" s="13">
        <f t="shared" si="11"/>
        <v>-12000</v>
      </c>
      <c r="Y64" s="13">
        <f t="shared" si="11"/>
        <v>-12000</v>
      </c>
      <c r="Z64" s="13">
        <f t="shared" si="11"/>
        <v>-12000</v>
      </c>
      <c r="AA64" s="13">
        <f t="shared" si="11"/>
        <v>-12000</v>
      </c>
      <c r="AB64" s="267">
        <f t="shared" si="11"/>
        <v>-12000</v>
      </c>
    </row>
    <row r="65" spans="7:28" x14ac:dyDescent="0.3">
      <c r="G65" s="34" t="s">
        <v>465</v>
      </c>
      <c r="I65" s="13">
        <f t="shared" ref="I65:AB65" si="12">-I$56*$B$50</f>
        <v>-24000</v>
      </c>
      <c r="J65" s="13">
        <f t="shared" si="12"/>
        <v>-24000</v>
      </c>
      <c r="K65" s="13">
        <f t="shared" si="12"/>
        <v>-24000</v>
      </c>
      <c r="L65" s="13">
        <f t="shared" si="12"/>
        <v>-24000</v>
      </c>
      <c r="M65" s="13">
        <f t="shared" si="12"/>
        <v>-24000</v>
      </c>
      <c r="N65" s="13">
        <f t="shared" si="12"/>
        <v>-48000</v>
      </c>
      <c r="O65" s="13">
        <f t="shared" si="12"/>
        <v>-48000</v>
      </c>
      <c r="P65" s="13">
        <f t="shared" si="12"/>
        <v>-48000</v>
      </c>
      <c r="Q65" s="13">
        <f t="shared" si="12"/>
        <v>-48000</v>
      </c>
      <c r="R65" s="13">
        <f t="shared" si="12"/>
        <v>-48000</v>
      </c>
      <c r="S65" s="13">
        <f t="shared" si="12"/>
        <v>-48000</v>
      </c>
      <c r="T65" s="13">
        <f t="shared" si="12"/>
        <v>-48000</v>
      </c>
      <c r="U65" s="13">
        <f t="shared" si="12"/>
        <v>-48000</v>
      </c>
      <c r="V65" s="13">
        <f t="shared" si="12"/>
        <v>-48000</v>
      </c>
      <c r="W65" s="13">
        <f t="shared" si="12"/>
        <v>-48000</v>
      </c>
      <c r="X65" s="13">
        <f t="shared" si="12"/>
        <v>-48000</v>
      </c>
      <c r="Y65" s="13">
        <f t="shared" si="12"/>
        <v>-48000</v>
      </c>
      <c r="Z65" s="13">
        <f t="shared" si="12"/>
        <v>-48000</v>
      </c>
      <c r="AA65" s="13">
        <f t="shared" si="12"/>
        <v>-48000</v>
      </c>
      <c r="AB65" s="267">
        <f t="shared" si="12"/>
        <v>-48000</v>
      </c>
    </row>
    <row r="66" spans="7:28" x14ac:dyDescent="0.3">
      <c r="G66" s="331" t="s">
        <v>466</v>
      </c>
      <c r="H66" s="501"/>
      <c r="I66" s="501"/>
      <c r="J66" s="501"/>
      <c r="K66" s="501"/>
      <c r="L66" s="501"/>
      <c r="M66" s="501"/>
      <c r="N66" s="501"/>
      <c r="O66" s="501"/>
      <c r="P66" s="501"/>
      <c r="Q66" s="501"/>
      <c r="R66" s="501"/>
      <c r="S66" s="501"/>
      <c r="T66" s="501"/>
      <c r="U66" s="501"/>
      <c r="V66" s="501"/>
      <c r="W66" s="501"/>
      <c r="X66" s="501"/>
      <c r="Y66" s="501"/>
      <c r="Z66" s="501"/>
      <c r="AA66" s="501"/>
      <c r="AB66" s="502"/>
    </row>
    <row r="67" spans="7:28" x14ac:dyDescent="0.3">
      <c r="G67" s="34" t="s">
        <v>467</v>
      </c>
      <c r="I67" s="13">
        <f t="shared" ref="I67:AB67" si="13">-$B$53</f>
        <v>-35000</v>
      </c>
      <c r="J67" s="13">
        <f t="shared" si="13"/>
        <v>-35000</v>
      </c>
      <c r="K67" s="13">
        <f t="shared" si="13"/>
        <v>-35000</v>
      </c>
      <c r="L67" s="13">
        <f t="shared" si="13"/>
        <v>-35000</v>
      </c>
      <c r="M67" s="13">
        <f t="shared" si="13"/>
        <v>-35000</v>
      </c>
      <c r="N67" s="13">
        <f t="shared" si="13"/>
        <v>-35000</v>
      </c>
      <c r="O67" s="13">
        <f t="shared" si="13"/>
        <v>-35000</v>
      </c>
      <c r="P67" s="13">
        <f t="shared" si="13"/>
        <v>-35000</v>
      </c>
      <c r="Q67" s="13">
        <f t="shared" si="13"/>
        <v>-35000</v>
      </c>
      <c r="R67" s="13">
        <f t="shared" si="13"/>
        <v>-35000</v>
      </c>
      <c r="S67" s="13">
        <f t="shared" si="13"/>
        <v>-35000</v>
      </c>
      <c r="T67" s="13">
        <f t="shared" si="13"/>
        <v>-35000</v>
      </c>
      <c r="U67" s="13">
        <f t="shared" si="13"/>
        <v>-35000</v>
      </c>
      <c r="V67" s="13">
        <f t="shared" si="13"/>
        <v>-35000</v>
      </c>
      <c r="W67" s="13">
        <f t="shared" si="13"/>
        <v>-35000</v>
      </c>
      <c r="X67" s="13">
        <f t="shared" si="13"/>
        <v>-35000</v>
      </c>
      <c r="Y67" s="13">
        <f t="shared" si="13"/>
        <v>-35000</v>
      </c>
      <c r="Z67" s="13">
        <f t="shared" si="13"/>
        <v>-35000</v>
      </c>
      <c r="AA67" s="13">
        <f t="shared" si="13"/>
        <v>-35000</v>
      </c>
      <c r="AB67" s="267">
        <f t="shared" si="13"/>
        <v>-35000</v>
      </c>
    </row>
    <row r="68" spans="7:28" x14ac:dyDescent="0.3">
      <c r="G68" s="34" t="s">
        <v>470</v>
      </c>
      <c r="I68" s="13">
        <f t="shared" ref="I68:AB68" si="14">-$B$54</f>
        <v>-65000</v>
      </c>
      <c r="J68" s="13">
        <f t="shared" si="14"/>
        <v>-65000</v>
      </c>
      <c r="K68" s="13">
        <f t="shared" si="14"/>
        <v>-65000</v>
      </c>
      <c r="L68" s="13">
        <f t="shared" si="14"/>
        <v>-65000</v>
      </c>
      <c r="M68" s="13">
        <f t="shared" si="14"/>
        <v>-65000</v>
      </c>
      <c r="N68" s="13">
        <f t="shared" si="14"/>
        <v>-65000</v>
      </c>
      <c r="O68" s="13">
        <f t="shared" si="14"/>
        <v>-65000</v>
      </c>
      <c r="P68" s="13">
        <f t="shared" si="14"/>
        <v>-65000</v>
      </c>
      <c r="Q68" s="13">
        <f t="shared" si="14"/>
        <v>-65000</v>
      </c>
      <c r="R68" s="13">
        <f t="shared" si="14"/>
        <v>-65000</v>
      </c>
      <c r="S68" s="13">
        <f t="shared" si="14"/>
        <v>-65000</v>
      </c>
      <c r="T68" s="13">
        <f t="shared" si="14"/>
        <v>-65000</v>
      </c>
      <c r="U68" s="13">
        <f t="shared" si="14"/>
        <v>-65000</v>
      </c>
      <c r="V68" s="13">
        <f t="shared" si="14"/>
        <v>-65000</v>
      </c>
      <c r="W68" s="13">
        <f t="shared" si="14"/>
        <v>-65000</v>
      </c>
      <c r="X68" s="13">
        <f t="shared" si="14"/>
        <v>-65000</v>
      </c>
      <c r="Y68" s="13">
        <f t="shared" si="14"/>
        <v>-65000</v>
      </c>
      <c r="Z68" s="13">
        <f t="shared" si="14"/>
        <v>-65000</v>
      </c>
      <c r="AA68" s="13">
        <f t="shared" si="14"/>
        <v>-65000</v>
      </c>
      <c r="AB68" s="267">
        <f t="shared" si="14"/>
        <v>-65000</v>
      </c>
    </row>
    <row r="69" spans="7:28" x14ac:dyDescent="0.3">
      <c r="G69" s="34" t="s">
        <v>471</v>
      </c>
      <c r="I69" s="51">
        <f t="shared" ref="I69:AB69" si="15">-$B$55*I$56</f>
        <v>-30000</v>
      </c>
      <c r="J69" s="51">
        <f t="shared" si="15"/>
        <v>-30000</v>
      </c>
      <c r="K69" s="51">
        <f t="shared" si="15"/>
        <v>-30000</v>
      </c>
      <c r="L69" s="51">
        <f t="shared" si="15"/>
        <v>-30000</v>
      </c>
      <c r="M69" s="51">
        <f t="shared" si="15"/>
        <v>-30000</v>
      </c>
      <c r="N69" s="51">
        <f t="shared" si="15"/>
        <v>-60000</v>
      </c>
      <c r="O69" s="51">
        <f t="shared" si="15"/>
        <v>-60000</v>
      </c>
      <c r="P69" s="51">
        <f t="shared" si="15"/>
        <v>-60000</v>
      </c>
      <c r="Q69" s="51">
        <f t="shared" si="15"/>
        <v>-60000</v>
      </c>
      <c r="R69" s="51">
        <f t="shared" si="15"/>
        <v>-60000</v>
      </c>
      <c r="S69" s="51">
        <f t="shared" si="15"/>
        <v>-60000</v>
      </c>
      <c r="T69" s="51">
        <f t="shared" si="15"/>
        <v>-60000</v>
      </c>
      <c r="U69" s="51">
        <f t="shared" si="15"/>
        <v>-60000</v>
      </c>
      <c r="V69" s="51">
        <f t="shared" si="15"/>
        <v>-60000</v>
      </c>
      <c r="W69" s="51">
        <f t="shared" si="15"/>
        <v>-60000</v>
      </c>
      <c r="X69" s="51">
        <f t="shared" si="15"/>
        <v>-60000</v>
      </c>
      <c r="Y69" s="51">
        <f t="shared" si="15"/>
        <v>-60000</v>
      </c>
      <c r="Z69" s="51">
        <f t="shared" si="15"/>
        <v>-60000</v>
      </c>
      <c r="AA69" s="51">
        <f t="shared" si="15"/>
        <v>-60000</v>
      </c>
      <c r="AB69" s="50">
        <f t="shared" si="15"/>
        <v>-60000</v>
      </c>
    </row>
    <row r="70" spans="7:28" x14ac:dyDescent="0.3">
      <c r="G70" s="330" t="s">
        <v>472</v>
      </c>
      <c r="I70" s="13">
        <f t="shared" ref="I70:AB70" si="16">SUM(I57,I59:I62,I64:I65,I67:I69)</f>
        <v>191250</v>
      </c>
      <c r="J70" s="13">
        <f t="shared" si="16"/>
        <v>176850</v>
      </c>
      <c r="K70" s="13">
        <f t="shared" si="16"/>
        <v>177046</v>
      </c>
      <c r="L70" s="13">
        <f t="shared" si="16"/>
        <v>177234.15999999997</v>
      </c>
      <c r="M70" s="13">
        <f t="shared" si="16"/>
        <v>177414.79359999998</v>
      </c>
      <c r="N70" s="13">
        <f t="shared" si="16"/>
        <v>498588.201856</v>
      </c>
      <c r="O70" s="13">
        <f t="shared" si="16"/>
        <v>498754.67378176004</v>
      </c>
      <c r="P70" s="13">
        <f t="shared" si="16"/>
        <v>498914.48683048959</v>
      </c>
      <c r="Q70" s="13">
        <f t="shared" si="16"/>
        <v>499067.90735727001</v>
      </c>
      <c r="R70" s="13">
        <f t="shared" si="16"/>
        <v>499215.19106297917</v>
      </c>
      <c r="S70" s="13">
        <f t="shared" si="16"/>
        <v>499356.58342046</v>
      </c>
      <c r="T70" s="13">
        <f t="shared" si="16"/>
        <v>499492.32008364168</v>
      </c>
      <c r="U70" s="13">
        <f t="shared" si="16"/>
        <v>499622.62728029594</v>
      </c>
      <c r="V70" s="13">
        <f t="shared" si="16"/>
        <v>499747.72218908416</v>
      </c>
      <c r="W70" s="13">
        <f t="shared" si="16"/>
        <v>499867.81330152077</v>
      </c>
      <c r="X70" s="13">
        <f t="shared" si="16"/>
        <v>499983.10076945997</v>
      </c>
      <c r="Y70" s="13">
        <f t="shared" si="16"/>
        <v>500093.7767386816</v>
      </c>
      <c r="Z70" s="13">
        <f t="shared" si="16"/>
        <v>500200.02566913434</v>
      </c>
      <c r="AA70" s="13">
        <f t="shared" si="16"/>
        <v>500302.0246423689</v>
      </c>
      <c r="AB70" s="267">
        <f t="shared" si="16"/>
        <v>500399.94365667412</v>
      </c>
    </row>
    <row r="71" spans="7:28" x14ac:dyDescent="0.3">
      <c r="G71" s="34" t="s">
        <v>473</v>
      </c>
      <c r="I71" s="13">
        <f t="shared" ref="I71:AB71" si="17">I$70*$H$48</f>
        <v>66937.5</v>
      </c>
      <c r="J71" s="13">
        <f t="shared" si="17"/>
        <v>61897.499999999993</v>
      </c>
      <c r="K71" s="13">
        <f t="shared" si="17"/>
        <v>61966.1</v>
      </c>
      <c r="L71" s="13">
        <f t="shared" si="17"/>
        <v>62031.955999999984</v>
      </c>
      <c r="M71" s="13">
        <f t="shared" si="17"/>
        <v>62095.177759999984</v>
      </c>
      <c r="N71" s="13">
        <f t="shared" si="17"/>
        <v>174505.87064959999</v>
      </c>
      <c r="O71" s="13">
        <f t="shared" si="17"/>
        <v>174564.135823616</v>
      </c>
      <c r="P71" s="13">
        <f t="shared" si="17"/>
        <v>174620.07039067135</v>
      </c>
      <c r="Q71" s="13">
        <f t="shared" si="17"/>
        <v>174673.76757504451</v>
      </c>
      <c r="R71" s="13">
        <f t="shared" si="17"/>
        <v>174725.31687204269</v>
      </c>
      <c r="S71" s="13">
        <f t="shared" si="17"/>
        <v>174774.80419716099</v>
      </c>
      <c r="T71" s="13">
        <f t="shared" si="17"/>
        <v>174822.31202927459</v>
      </c>
      <c r="U71" s="13">
        <f t="shared" si="17"/>
        <v>174867.91954810356</v>
      </c>
      <c r="V71" s="13">
        <f t="shared" si="17"/>
        <v>174911.70276617946</v>
      </c>
      <c r="W71" s="13">
        <f t="shared" si="17"/>
        <v>174953.73465553226</v>
      </c>
      <c r="X71" s="13">
        <f t="shared" si="17"/>
        <v>174994.08526931098</v>
      </c>
      <c r="Y71" s="13">
        <f t="shared" si="17"/>
        <v>175032.82185853855</v>
      </c>
      <c r="Z71" s="13">
        <f t="shared" si="17"/>
        <v>175070.00898419702</v>
      </c>
      <c r="AA71" s="13">
        <f t="shared" si="17"/>
        <v>175105.7086248291</v>
      </c>
      <c r="AB71" s="267">
        <f t="shared" si="17"/>
        <v>175139.98027983593</v>
      </c>
    </row>
    <row r="72" spans="7:28" ht="15" thickBot="1" x14ac:dyDescent="0.35">
      <c r="G72" s="35" t="s">
        <v>57</v>
      </c>
      <c r="H72" s="133"/>
      <c r="I72" s="332">
        <f t="shared" ref="I72:AB72" si="18">I$70-I$71</f>
        <v>124312.5</v>
      </c>
      <c r="J72" s="332">
        <f t="shared" si="18"/>
        <v>114952.5</v>
      </c>
      <c r="K72" s="332">
        <f t="shared" si="18"/>
        <v>115079.9</v>
      </c>
      <c r="L72" s="332">
        <f t="shared" si="18"/>
        <v>115202.204</v>
      </c>
      <c r="M72" s="332">
        <f t="shared" si="18"/>
        <v>115319.61583999998</v>
      </c>
      <c r="N72" s="332">
        <f t="shared" si="18"/>
        <v>324082.33120640001</v>
      </c>
      <c r="O72" s="332">
        <f t="shared" si="18"/>
        <v>324190.53795814404</v>
      </c>
      <c r="P72" s="332">
        <f t="shared" si="18"/>
        <v>324294.41643981822</v>
      </c>
      <c r="Q72" s="332">
        <f t="shared" si="18"/>
        <v>324394.13978222548</v>
      </c>
      <c r="R72" s="332">
        <f t="shared" si="18"/>
        <v>324489.87419093645</v>
      </c>
      <c r="S72" s="332">
        <f t="shared" si="18"/>
        <v>324581.779223299</v>
      </c>
      <c r="T72" s="332">
        <f t="shared" si="18"/>
        <v>324670.00805436709</v>
      </c>
      <c r="U72" s="332">
        <f t="shared" si="18"/>
        <v>324754.70773219236</v>
      </c>
      <c r="V72" s="332">
        <f t="shared" si="18"/>
        <v>324836.0194229047</v>
      </c>
      <c r="W72" s="332">
        <f t="shared" si="18"/>
        <v>324914.07864598848</v>
      </c>
      <c r="X72" s="332">
        <f t="shared" si="18"/>
        <v>324989.01550014899</v>
      </c>
      <c r="Y72" s="332">
        <f t="shared" si="18"/>
        <v>325060.95488014305</v>
      </c>
      <c r="Z72" s="332">
        <f t="shared" si="18"/>
        <v>325130.01668493729</v>
      </c>
      <c r="AA72" s="332">
        <f t="shared" si="18"/>
        <v>325196.31601753982</v>
      </c>
      <c r="AB72" s="333">
        <f t="shared" si="18"/>
        <v>325259.96337683819</v>
      </c>
    </row>
    <row r="73" spans="7:28" ht="15" thickBot="1" x14ac:dyDescent="0.35"/>
    <row r="74" spans="7:28" ht="15" thickBot="1" x14ac:dyDescent="0.35">
      <c r="G74" s="317" t="str">
        <f t="shared" ref="G74:AB74" si="19">G52</f>
        <v xml:space="preserve">Année </v>
      </c>
      <c r="H74" s="334">
        <f t="shared" si="19"/>
        <v>0</v>
      </c>
      <c r="I74" s="334">
        <f t="shared" si="19"/>
        <v>1</v>
      </c>
      <c r="J74" s="334">
        <f t="shared" si="19"/>
        <v>2</v>
      </c>
      <c r="K74" s="334">
        <f t="shared" si="19"/>
        <v>3</v>
      </c>
      <c r="L74" s="334">
        <f t="shared" si="19"/>
        <v>4</v>
      </c>
      <c r="M74" s="334">
        <f t="shared" si="19"/>
        <v>5</v>
      </c>
      <c r="N74" s="334">
        <f t="shared" si="19"/>
        <v>6</v>
      </c>
      <c r="O74" s="334">
        <f t="shared" si="19"/>
        <v>7</v>
      </c>
      <c r="P74" s="334">
        <f t="shared" si="19"/>
        <v>8</v>
      </c>
      <c r="Q74" s="334">
        <f t="shared" si="19"/>
        <v>9</v>
      </c>
      <c r="R74" s="334">
        <f t="shared" si="19"/>
        <v>10</v>
      </c>
      <c r="S74" s="334">
        <f t="shared" si="19"/>
        <v>11</v>
      </c>
      <c r="T74" s="334">
        <f t="shared" si="19"/>
        <v>12</v>
      </c>
      <c r="U74" s="334">
        <f t="shared" si="19"/>
        <v>13</v>
      </c>
      <c r="V74" s="334">
        <f t="shared" si="19"/>
        <v>14</v>
      </c>
      <c r="W74" s="334">
        <f t="shared" si="19"/>
        <v>15</v>
      </c>
      <c r="X74" s="334">
        <f t="shared" si="19"/>
        <v>16</v>
      </c>
      <c r="Y74" s="334">
        <f t="shared" si="19"/>
        <v>17</v>
      </c>
      <c r="Z74" s="334">
        <f t="shared" si="19"/>
        <v>18</v>
      </c>
      <c r="AA74" s="334">
        <f t="shared" si="19"/>
        <v>19</v>
      </c>
      <c r="AB74" s="335">
        <f t="shared" si="19"/>
        <v>20</v>
      </c>
    </row>
    <row r="75" spans="7:28" x14ac:dyDescent="0.3">
      <c r="G75" s="357" t="s">
        <v>474</v>
      </c>
      <c r="H75" s="499"/>
      <c r="I75" s="499"/>
      <c r="J75" s="499"/>
      <c r="K75" s="499"/>
      <c r="L75" s="499"/>
      <c r="M75" s="499"/>
      <c r="N75" s="499"/>
      <c r="O75" s="499"/>
      <c r="P75" s="499"/>
      <c r="Q75" s="499"/>
      <c r="R75" s="499"/>
      <c r="S75" s="499"/>
      <c r="T75" s="499"/>
      <c r="U75" s="499"/>
      <c r="V75" s="499"/>
      <c r="W75" s="499"/>
      <c r="X75" s="499"/>
      <c r="Y75" s="499"/>
      <c r="Z75" s="499"/>
      <c r="AA75" s="499"/>
      <c r="AB75" s="500"/>
    </row>
    <row r="76" spans="7:28" x14ac:dyDescent="0.3">
      <c r="G76" s="34" t="str">
        <f>G72</f>
        <v>Bénéfice Net</v>
      </c>
      <c r="I76" s="13">
        <f t="shared" ref="I76:AB76" si="20">I$72</f>
        <v>124312.5</v>
      </c>
      <c r="J76" s="13">
        <f>J$72</f>
        <v>114952.5</v>
      </c>
      <c r="K76" s="13">
        <f t="shared" si="20"/>
        <v>115079.9</v>
      </c>
      <c r="L76" s="13">
        <f t="shared" si="20"/>
        <v>115202.204</v>
      </c>
      <c r="M76" s="13">
        <f t="shared" si="20"/>
        <v>115319.61583999998</v>
      </c>
      <c r="N76" s="13">
        <f t="shared" si="20"/>
        <v>324082.33120640001</v>
      </c>
      <c r="O76" s="13">
        <f t="shared" si="20"/>
        <v>324190.53795814404</v>
      </c>
      <c r="P76" s="13">
        <f t="shared" si="20"/>
        <v>324294.41643981822</v>
      </c>
      <c r="Q76" s="13">
        <f t="shared" si="20"/>
        <v>324394.13978222548</v>
      </c>
      <c r="R76" s="13">
        <f t="shared" si="20"/>
        <v>324489.87419093645</v>
      </c>
      <c r="S76" s="13">
        <f t="shared" si="20"/>
        <v>324581.779223299</v>
      </c>
      <c r="T76" s="13">
        <f t="shared" si="20"/>
        <v>324670.00805436709</v>
      </c>
      <c r="U76" s="13">
        <f t="shared" si="20"/>
        <v>324754.70773219236</v>
      </c>
      <c r="V76" s="13">
        <f t="shared" si="20"/>
        <v>324836.0194229047</v>
      </c>
      <c r="W76" s="13">
        <f t="shared" si="20"/>
        <v>324914.07864598848</v>
      </c>
      <c r="X76" s="13">
        <f t="shared" si="20"/>
        <v>324989.01550014899</v>
      </c>
      <c r="Y76" s="13">
        <f t="shared" si="20"/>
        <v>325060.95488014305</v>
      </c>
      <c r="Z76" s="13">
        <f t="shared" si="20"/>
        <v>325130.01668493729</v>
      </c>
      <c r="AA76" s="13">
        <f t="shared" si="20"/>
        <v>325196.31601753982</v>
      </c>
      <c r="AB76" s="267">
        <f t="shared" si="20"/>
        <v>325259.96337683819</v>
      </c>
    </row>
    <row r="77" spans="7:28" x14ac:dyDescent="0.3">
      <c r="G77" s="34" t="str">
        <f>G61</f>
        <v>Amortissement de l'équipement (linéaire)</v>
      </c>
      <c r="I77" s="13">
        <f t="shared" ref="I77:AB77" si="21">I$9</f>
        <v>16000</v>
      </c>
      <c r="J77" s="13">
        <f t="shared" si="21"/>
        <v>16000</v>
      </c>
      <c r="K77" s="13">
        <f t="shared" si="21"/>
        <v>16000</v>
      </c>
      <c r="L77" s="13">
        <f t="shared" si="21"/>
        <v>16000</v>
      </c>
      <c r="M77" s="13">
        <f t="shared" si="21"/>
        <v>16000</v>
      </c>
      <c r="N77" s="13">
        <f t="shared" si="21"/>
        <v>16000</v>
      </c>
      <c r="O77" s="13">
        <f t="shared" si="21"/>
        <v>16000</v>
      </c>
      <c r="P77" s="13">
        <f t="shared" si="21"/>
        <v>16000</v>
      </c>
      <c r="Q77" s="13">
        <f t="shared" si="21"/>
        <v>16000</v>
      </c>
      <c r="R77" s="13">
        <f t="shared" si="21"/>
        <v>16000</v>
      </c>
      <c r="S77" s="13">
        <f t="shared" si="21"/>
        <v>16000</v>
      </c>
      <c r="T77" s="13">
        <f t="shared" si="21"/>
        <v>16000</v>
      </c>
      <c r="U77" s="13">
        <f t="shared" si="21"/>
        <v>16000</v>
      </c>
      <c r="V77" s="13">
        <f t="shared" si="21"/>
        <v>16000</v>
      </c>
      <c r="W77" s="13">
        <f t="shared" si="21"/>
        <v>16000</v>
      </c>
      <c r="X77" s="13">
        <f t="shared" si="21"/>
        <v>16000</v>
      </c>
      <c r="Y77" s="13">
        <f t="shared" si="21"/>
        <v>16000</v>
      </c>
      <c r="Z77" s="13">
        <f t="shared" si="21"/>
        <v>16000</v>
      </c>
      <c r="AA77" s="13">
        <f t="shared" si="21"/>
        <v>16000</v>
      </c>
      <c r="AB77" s="267">
        <f t="shared" si="21"/>
        <v>16000</v>
      </c>
    </row>
    <row r="78" spans="7:28" x14ac:dyDescent="0.3">
      <c r="G78" s="34" t="str">
        <f>G62</f>
        <v>Amortissement du bâtiment (DPA)</v>
      </c>
      <c r="I78" s="13">
        <f t="shared" ref="I78:AB78" si="22">I$21</f>
        <v>2500</v>
      </c>
      <c r="J78" s="13">
        <f t="shared" si="22"/>
        <v>4900</v>
      </c>
      <c r="K78" s="13">
        <f t="shared" si="22"/>
        <v>4704</v>
      </c>
      <c r="L78" s="13">
        <f t="shared" si="22"/>
        <v>4515.84</v>
      </c>
      <c r="M78" s="13">
        <f t="shared" si="22"/>
        <v>4335.2064</v>
      </c>
      <c r="N78" s="13">
        <f t="shared" si="22"/>
        <v>4161.7981440000003</v>
      </c>
      <c r="O78" s="13">
        <f t="shared" si="22"/>
        <v>3995.3262182400003</v>
      </c>
      <c r="P78" s="13">
        <f t="shared" si="22"/>
        <v>3835.5131695104001</v>
      </c>
      <c r="Q78" s="13">
        <f t="shared" si="22"/>
        <v>3682.0926427299837</v>
      </c>
      <c r="R78" s="13">
        <f t="shared" si="22"/>
        <v>3534.8089370207845</v>
      </c>
      <c r="S78" s="13">
        <f t="shared" si="22"/>
        <v>3393.4165795399531</v>
      </c>
      <c r="T78" s="13">
        <f t="shared" si="22"/>
        <v>3257.6799163583551</v>
      </c>
      <c r="U78" s="13">
        <f t="shared" si="22"/>
        <v>3127.3727197040212</v>
      </c>
      <c r="V78" s="13">
        <f t="shared" si="22"/>
        <v>3002.2778109158598</v>
      </c>
      <c r="W78" s="13">
        <f t="shared" si="22"/>
        <v>2882.1866984792259</v>
      </c>
      <c r="X78" s="13">
        <f t="shared" si="22"/>
        <v>2766.8992305400566</v>
      </c>
      <c r="Y78" s="13">
        <f t="shared" si="22"/>
        <v>2656.2232613184542</v>
      </c>
      <c r="Z78" s="13">
        <f t="shared" si="22"/>
        <v>2549.9743308657162</v>
      </c>
      <c r="AA78" s="13">
        <f t="shared" si="22"/>
        <v>2447.9753576310877</v>
      </c>
      <c r="AB78" s="267">
        <f t="shared" si="22"/>
        <v>2350.056343325844</v>
      </c>
    </row>
    <row r="79" spans="7:28" x14ac:dyDescent="0.3">
      <c r="G79" s="331" t="s">
        <v>475</v>
      </c>
      <c r="H79" s="501"/>
      <c r="I79" s="501"/>
      <c r="J79" s="501"/>
      <c r="K79" s="501"/>
      <c r="L79" s="501"/>
      <c r="M79" s="501"/>
      <c r="N79" s="501"/>
      <c r="O79" s="501"/>
      <c r="P79" s="501"/>
      <c r="Q79" s="501"/>
      <c r="R79" s="501"/>
      <c r="S79" s="501"/>
      <c r="T79" s="501"/>
      <c r="U79" s="501"/>
      <c r="V79" s="501"/>
      <c r="W79" s="501"/>
      <c r="X79" s="501"/>
      <c r="Y79" s="501"/>
      <c r="Z79" s="501"/>
      <c r="AA79" s="501"/>
      <c r="AB79" s="502"/>
    </row>
    <row r="80" spans="7:28" x14ac:dyDescent="0.3">
      <c r="G80" s="34" t="s">
        <v>476</v>
      </c>
      <c r="H80" s="13">
        <f>-H10</f>
        <v>-355000</v>
      </c>
      <c r="AB80" s="184"/>
    </row>
    <row r="81" spans="7:28" x14ac:dyDescent="0.3">
      <c r="G81" s="34" t="s">
        <v>479</v>
      </c>
      <c r="AB81" s="267">
        <f>B9</f>
        <v>35000</v>
      </c>
    </row>
    <row r="82" spans="7:28" x14ac:dyDescent="0.3">
      <c r="G82" s="34" t="s">
        <v>477</v>
      </c>
      <c r="H82" s="13">
        <f>-$H$22</f>
        <v>-125000</v>
      </c>
      <c r="AB82" s="184"/>
    </row>
    <row r="83" spans="7:28" x14ac:dyDescent="0.3">
      <c r="G83" s="34" t="s">
        <v>478</v>
      </c>
      <c r="AB83" s="267">
        <f>$B$14*0.32</f>
        <v>40000</v>
      </c>
    </row>
    <row r="84" spans="7:28" x14ac:dyDescent="0.3">
      <c r="G84" s="34" t="s">
        <v>480</v>
      </c>
      <c r="AB84" s="267">
        <f>($AB$22-$AB$83)*$H$48</f>
        <v>5740.473283937089</v>
      </c>
    </row>
    <row r="85" spans="7:28" x14ac:dyDescent="0.3">
      <c r="G85" s="330" t="s">
        <v>270</v>
      </c>
      <c r="H85" s="13">
        <f t="shared" ref="H85:AB85" si="23">SUM(H76:H78,H80:H84)</f>
        <v>-480000</v>
      </c>
      <c r="I85" s="13">
        <f t="shared" si="23"/>
        <v>142812.5</v>
      </c>
      <c r="J85" s="13">
        <f t="shared" si="23"/>
        <v>135852.5</v>
      </c>
      <c r="K85" s="13">
        <f t="shared" si="23"/>
        <v>135783.9</v>
      </c>
      <c r="L85" s="13">
        <f t="shared" si="23"/>
        <v>135718.04399999999</v>
      </c>
      <c r="M85" s="13">
        <f t="shared" si="23"/>
        <v>135654.82223999998</v>
      </c>
      <c r="N85" s="13">
        <f t="shared" si="23"/>
        <v>344244.12935040001</v>
      </c>
      <c r="O85" s="13">
        <f t="shared" si="23"/>
        <v>344185.86417638406</v>
      </c>
      <c r="P85" s="13">
        <f t="shared" si="23"/>
        <v>344129.92960932862</v>
      </c>
      <c r="Q85" s="13">
        <f t="shared" si="23"/>
        <v>344076.23242495547</v>
      </c>
      <c r="R85" s="13">
        <f t="shared" si="23"/>
        <v>344024.68312795722</v>
      </c>
      <c r="S85" s="13">
        <f t="shared" si="23"/>
        <v>343975.19580283895</v>
      </c>
      <c r="T85" s="13">
        <f t="shared" si="23"/>
        <v>343927.68797072547</v>
      </c>
      <c r="U85" s="13">
        <f t="shared" si="23"/>
        <v>343882.08045189636</v>
      </c>
      <c r="V85" s="13">
        <f t="shared" si="23"/>
        <v>343838.29723382054</v>
      </c>
      <c r="W85" s="13">
        <f t="shared" si="23"/>
        <v>343796.26534446771</v>
      </c>
      <c r="X85" s="13">
        <f t="shared" si="23"/>
        <v>343755.91473068902</v>
      </c>
      <c r="Y85" s="13">
        <f t="shared" si="23"/>
        <v>343717.17814146151</v>
      </c>
      <c r="Z85" s="13">
        <f t="shared" si="23"/>
        <v>343679.99101580301</v>
      </c>
      <c r="AA85" s="13">
        <f t="shared" si="23"/>
        <v>343644.29137517093</v>
      </c>
      <c r="AB85" s="267">
        <f t="shared" si="23"/>
        <v>424350.4930041011</v>
      </c>
    </row>
    <row r="86" spans="7:28" ht="28.8" x14ac:dyDescent="0.3">
      <c r="G86" s="358" t="s">
        <v>271</v>
      </c>
      <c r="H86" s="359">
        <f>ROUND((1+TRAM)^-H$74,2)</f>
        <v>1</v>
      </c>
      <c r="I86" s="360">
        <f>(1+TRAM)^-I$74</f>
        <v>0.86577436575632338</v>
      </c>
      <c r="J86" s="360">
        <f t="shared" ref="J86:AB86" si="24">(1+TRAM)^-J$74</f>
        <v>0.7495652524007641</v>
      </c>
      <c r="K86" s="360">
        <f t="shared" si="24"/>
        <v>0.64895438099025005</v>
      </c>
      <c r="L86" s="360">
        <f t="shared" si="24"/>
        <v>0.56184806760662109</v>
      </c>
      <c r="M86" s="360">
        <f t="shared" si="24"/>
        <v>0.48643365438353831</v>
      </c>
      <c r="N86" s="360">
        <f t="shared" si="24"/>
        <v>0.42114178860643858</v>
      </c>
      <c r="O86" s="360">
        <f t="shared" si="24"/>
        <v>0.36461376492422298</v>
      </c>
      <c r="P86" s="360">
        <f t="shared" si="24"/>
        <v>0.3156732510732943</v>
      </c>
      <c r="Q86" s="360">
        <f t="shared" si="24"/>
        <v>0.27330180873421805</v>
      </c>
      <c r="R86" s="360">
        <f t="shared" si="24"/>
        <v>0.23661770011692362</v>
      </c>
      <c r="S86" s="360">
        <f t="shared" si="24"/>
        <v>0.2048575392454495</v>
      </c>
      <c r="T86" s="360">
        <f t="shared" si="24"/>
        <v>0.17736040611063017</v>
      </c>
      <c r="U86" s="360">
        <f t="shared" si="24"/>
        <v>0.15355409311071477</v>
      </c>
      <c r="V86" s="360">
        <f t="shared" si="24"/>
        <v>0.13294319757221654</v>
      </c>
      <c r="W86" s="360">
        <f t="shared" si="24"/>
        <v>0.11509881255970336</v>
      </c>
      <c r="X86" s="360">
        <f t="shared" si="24"/>
        <v>9.964960144318312E-2</v>
      </c>
      <c r="Y86" s="360">
        <f t="shared" si="24"/>
        <v>8.6274070487342272E-2</v>
      </c>
      <c r="Z86" s="360">
        <f t="shared" si="24"/>
        <v>7.4693878657395102E-2</v>
      </c>
      <c r="AA86" s="360">
        <f t="shared" si="24"/>
        <v>6.4668045420486028E-2</v>
      </c>
      <c r="AB86" s="361">
        <f t="shared" si="24"/>
        <v>5.5987936008622403E-2</v>
      </c>
    </row>
    <row r="87" spans="7:28" ht="15" thickBot="1" x14ac:dyDescent="0.35">
      <c r="G87" s="362" t="s">
        <v>272</v>
      </c>
      <c r="H87" s="332">
        <f t="shared" ref="H87:AB87" si="25">H$85*H$86</f>
        <v>-480000</v>
      </c>
      <c r="I87" s="332">
        <f t="shared" si="25"/>
        <v>123643.40160957494</v>
      </c>
      <c r="J87" s="332">
        <f t="shared" si="25"/>
        <v>101830.31345177481</v>
      </c>
      <c r="K87" s="332">
        <f t="shared" si="25"/>
        <v>88117.556772942015</v>
      </c>
      <c r="L87" s="332">
        <f t="shared" si="25"/>
        <v>76252.920760750378</v>
      </c>
      <c r="M87" s="332">
        <f t="shared" si="25"/>
        <v>65987.070916952478</v>
      </c>
      <c r="N87" s="332">
        <f t="shared" si="25"/>
        <v>144975.58835189365</v>
      </c>
      <c r="O87" s="332">
        <f t="shared" si="25"/>
        <v>125494.90377104863</v>
      </c>
      <c r="P87" s="332">
        <f t="shared" si="25"/>
        <v>108632.61367140069</v>
      </c>
      <c r="Q87" s="332">
        <f t="shared" si="25"/>
        <v>94036.656664195529</v>
      </c>
      <c r="R87" s="332">
        <f t="shared" si="25"/>
        <v>81402.329305190651</v>
      </c>
      <c r="S87" s="332">
        <f t="shared" si="25"/>
        <v>70465.912173641249</v>
      </c>
      <c r="T87" s="332">
        <f t="shared" si="25"/>
        <v>60999.154411177966</v>
      </c>
      <c r="U87" s="332">
        <f t="shared" si="25"/>
        <v>52804.501000816803</v>
      </c>
      <c r="V87" s="332">
        <f t="shared" si="25"/>
        <v>45710.962682050318</v>
      </c>
      <c r="W87" s="332">
        <f t="shared" si="25"/>
        <v>39570.54190360893</v>
      </c>
      <c r="X87" s="332">
        <f t="shared" si="25"/>
        <v>34255.139896650006</v>
      </c>
      <c r="Y87" s="332">
        <f t="shared" si="25"/>
        <v>29653.88005468683</v>
      </c>
      <c r="Z87" s="332">
        <f t="shared" si="25"/>
        <v>25670.791545909029</v>
      </c>
      <c r="AA87" s="332">
        <f t="shared" si="25"/>
        <v>22222.804643140287</v>
      </c>
      <c r="AB87" s="333">
        <f t="shared" si="25"/>
        <v>23758.50824754098</v>
      </c>
    </row>
    <row r="88" spans="7:28" x14ac:dyDescent="0.3">
      <c r="G88" s="59" t="s">
        <v>273</v>
      </c>
      <c r="H88" s="363">
        <f>SUM(H87:AB87)</f>
        <v>935485.55183494615</v>
      </c>
    </row>
    <row r="89" spans="7:28" x14ac:dyDescent="0.3">
      <c r="G89" s="34" t="s">
        <v>274</v>
      </c>
      <c r="H89" s="166">
        <f>IRR(H85:AB85)</f>
        <v>0.3742713027756519</v>
      </c>
    </row>
    <row r="90" spans="7:28" ht="15" thickBot="1" x14ac:dyDescent="0.35">
      <c r="G90" s="35" t="s">
        <v>275</v>
      </c>
      <c r="H90" s="333">
        <f>H85+NPV($H$49,I85:AB85)</f>
        <v>935485.55183494673</v>
      </c>
    </row>
    <row r="96" spans="7:28" ht="15" thickBot="1" x14ac:dyDescent="0.35"/>
    <row r="97" spans="7:28" ht="15.6" x14ac:dyDescent="0.3">
      <c r="G97" s="503" t="s">
        <v>276</v>
      </c>
      <c r="H97" s="504"/>
      <c r="I97" s="43"/>
      <c r="J97" s="43"/>
      <c r="K97" s="43"/>
      <c r="L97" s="43"/>
      <c r="M97" s="43"/>
    </row>
    <row r="98" spans="7:28" ht="16.2" thickBot="1" x14ac:dyDescent="0.35">
      <c r="G98" s="505"/>
      <c r="H98" s="506"/>
      <c r="I98" s="43"/>
      <c r="J98" s="43"/>
      <c r="K98" s="43"/>
      <c r="L98" s="43"/>
      <c r="M98" s="43"/>
    </row>
    <row r="99" spans="7:28" ht="16.2" thickBot="1" x14ac:dyDescent="0.35">
      <c r="G99" s="47" t="s">
        <v>265</v>
      </c>
      <c r="H99" s="135">
        <v>0</v>
      </c>
      <c r="I99" s="136">
        <v>1</v>
      </c>
      <c r="J99" s="136">
        <v>2</v>
      </c>
      <c r="K99" s="136">
        <v>3</v>
      </c>
      <c r="L99" s="136">
        <v>4</v>
      </c>
      <c r="M99" s="136">
        <v>5</v>
      </c>
      <c r="N99" s="135">
        <v>6</v>
      </c>
      <c r="O99" s="136">
        <v>7</v>
      </c>
      <c r="P99" s="136">
        <v>8</v>
      </c>
      <c r="Q99" s="136">
        <v>9</v>
      </c>
      <c r="R99" s="136">
        <v>10</v>
      </c>
      <c r="S99" s="136">
        <v>11</v>
      </c>
      <c r="T99" s="135">
        <v>12</v>
      </c>
      <c r="U99" s="136">
        <v>13</v>
      </c>
      <c r="V99" s="136">
        <v>14</v>
      </c>
      <c r="W99" s="136">
        <v>15</v>
      </c>
      <c r="X99" s="136">
        <v>16</v>
      </c>
      <c r="Y99" s="136">
        <v>17</v>
      </c>
      <c r="Z99" s="135">
        <v>18</v>
      </c>
      <c r="AA99" s="136">
        <v>19</v>
      </c>
      <c r="AB99" s="137">
        <v>20</v>
      </c>
    </row>
    <row r="100" spans="7:28" ht="15.6" x14ac:dyDescent="0.3">
      <c r="G100" s="329" t="s">
        <v>450</v>
      </c>
      <c r="H100" s="499"/>
      <c r="I100" s="499"/>
      <c r="J100" s="499"/>
      <c r="K100" s="499"/>
      <c r="L100" s="499"/>
      <c r="M100" s="499"/>
      <c r="N100" s="499"/>
      <c r="O100" s="499"/>
      <c r="P100" s="499"/>
      <c r="Q100" s="499"/>
      <c r="R100" s="499"/>
      <c r="S100" s="499"/>
      <c r="T100" s="499"/>
      <c r="U100" s="499"/>
      <c r="V100" s="499"/>
      <c r="W100" s="499"/>
      <c r="X100" s="499"/>
      <c r="Y100" s="499"/>
      <c r="Z100" s="499"/>
      <c r="AA100" s="499"/>
      <c r="AB100" s="500"/>
    </row>
    <row r="101" spans="7:28" x14ac:dyDescent="0.3">
      <c r="G101" s="330" t="s">
        <v>445</v>
      </c>
      <c r="H101" s="501"/>
      <c r="I101" s="501"/>
      <c r="J101" s="501"/>
      <c r="K101" s="501"/>
      <c r="L101" s="501"/>
      <c r="M101" s="501"/>
      <c r="N101" s="501"/>
      <c r="O101" s="501"/>
      <c r="P101" s="501"/>
      <c r="Q101" s="501"/>
      <c r="R101" s="501"/>
      <c r="S101" s="501"/>
      <c r="T101" s="501"/>
      <c r="U101" s="501"/>
      <c r="V101" s="501"/>
      <c r="W101" s="501"/>
      <c r="X101" s="501"/>
      <c r="Y101" s="501"/>
      <c r="Z101" s="501"/>
      <c r="AA101" s="501"/>
      <c r="AB101" s="502"/>
    </row>
    <row r="102" spans="7:28" x14ac:dyDescent="0.3">
      <c r="G102" s="34" t="s">
        <v>446</v>
      </c>
      <c r="H102" s="13"/>
      <c r="I102" s="13">
        <f t="shared" ref="I102:AB102" si="26">$B$49</f>
        <v>125</v>
      </c>
      <c r="J102" s="13">
        <f t="shared" si="26"/>
        <v>125</v>
      </c>
      <c r="K102" s="13">
        <f t="shared" si="26"/>
        <v>125</v>
      </c>
      <c r="L102" s="13">
        <f t="shared" si="26"/>
        <v>125</v>
      </c>
      <c r="M102" s="13">
        <f t="shared" si="26"/>
        <v>125</v>
      </c>
      <c r="N102" s="13">
        <f t="shared" si="26"/>
        <v>125</v>
      </c>
      <c r="O102" s="13">
        <f t="shared" si="26"/>
        <v>125</v>
      </c>
      <c r="P102" s="13">
        <f t="shared" si="26"/>
        <v>125</v>
      </c>
      <c r="Q102" s="13">
        <f t="shared" si="26"/>
        <v>125</v>
      </c>
      <c r="R102" s="13">
        <f t="shared" si="26"/>
        <v>125</v>
      </c>
      <c r="S102" s="13">
        <f t="shared" si="26"/>
        <v>125</v>
      </c>
      <c r="T102" s="13">
        <f t="shared" si="26"/>
        <v>125</v>
      </c>
      <c r="U102" s="13">
        <f t="shared" si="26"/>
        <v>125</v>
      </c>
      <c r="V102" s="13">
        <f t="shared" si="26"/>
        <v>125</v>
      </c>
      <c r="W102" s="13">
        <f t="shared" si="26"/>
        <v>125</v>
      </c>
      <c r="X102" s="13">
        <f t="shared" si="26"/>
        <v>125</v>
      </c>
      <c r="Y102" s="13">
        <f t="shared" si="26"/>
        <v>125</v>
      </c>
      <c r="Z102" s="13">
        <f t="shared" si="26"/>
        <v>125</v>
      </c>
      <c r="AA102" s="13">
        <f t="shared" si="26"/>
        <v>125</v>
      </c>
      <c r="AB102" s="267">
        <f t="shared" si="26"/>
        <v>125</v>
      </c>
    </row>
    <row r="103" spans="7:28" x14ac:dyDescent="0.3">
      <c r="G103" s="34" t="s">
        <v>447</v>
      </c>
      <c r="I103">
        <f>$B$47*12</f>
        <v>3000</v>
      </c>
      <c r="J103">
        <f>$B$47*12</f>
        <v>3000</v>
      </c>
      <c r="K103">
        <f>$B$47*12</f>
        <v>3000</v>
      </c>
      <c r="L103">
        <f>$B$47*12</f>
        <v>3000</v>
      </c>
      <c r="M103">
        <f>$B$47*12</f>
        <v>3000</v>
      </c>
      <c r="N103">
        <f t="shared" ref="N103:AB103" si="27">$B$48*12</f>
        <v>6000</v>
      </c>
      <c r="O103">
        <f t="shared" si="27"/>
        <v>6000</v>
      </c>
      <c r="P103">
        <f t="shared" si="27"/>
        <v>6000</v>
      </c>
      <c r="Q103">
        <f t="shared" si="27"/>
        <v>6000</v>
      </c>
      <c r="R103">
        <f t="shared" si="27"/>
        <v>6000</v>
      </c>
      <c r="S103">
        <f t="shared" si="27"/>
        <v>6000</v>
      </c>
      <c r="T103">
        <f t="shared" si="27"/>
        <v>6000</v>
      </c>
      <c r="U103">
        <f t="shared" si="27"/>
        <v>6000</v>
      </c>
      <c r="V103">
        <f t="shared" si="27"/>
        <v>6000</v>
      </c>
      <c r="W103">
        <f t="shared" si="27"/>
        <v>6000</v>
      </c>
      <c r="X103">
        <f t="shared" si="27"/>
        <v>6000</v>
      </c>
      <c r="Y103">
        <f t="shared" si="27"/>
        <v>6000</v>
      </c>
      <c r="Z103">
        <f t="shared" si="27"/>
        <v>6000</v>
      </c>
      <c r="AA103">
        <f t="shared" si="27"/>
        <v>6000</v>
      </c>
      <c r="AB103" s="184">
        <f t="shared" si="27"/>
        <v>6000</v>
      </c>
    </row>
    <row r="104" spans="7:28" x14ac:dyDescent="0.3">
      <c r="G104" s="34" t="s">
        <v>448</v>
      </c>
      <c r="I104" s="13">
        <f t="shared" ref="I104:AB104" si="28">I$55*I$56</f>
        <v>375000</v>
      </c>
      <c r="J104" s="13">
        <f t="shared" si="28"/>
        <v>375000</v>
      </c>
      <c r="K104" s="13">
        <f t="shared" si="28"/>
        <v>375000</v>
      </c>
      <c r="L104" s="13">
        <f t="shared" si="28"/>
        <v>375000</v>
      </c>
      <c r="M104" s="13">
        <f t="shared" si="28"/>
        <v>375000</v>
      </c>
      <c r="N104" s="13">
        <f t="shared" si="28"/>
        <v>750000</v>
      </c>
      <c r="O104" s="13">
        <f t="shared" si="28"/>
        <v>750000</v>
      </c>
      <c r="P104" s="13">
        <f t="shared" si="28"/>
        <v>750000</v>
      </c>
      <c r="Q104" s="13">
        <f t="shared" si="28"/>
        <v>750000</v>
      </c>
      <c r="R104" s="13">
        <f t="shared" si="28"/>
        <v>750000</v>
      </c>
      <c r="S104" s="13">
        <f t="shared" si="28"/>
        <v>750000</v>
      </c>
      <c r="T104" s="13">
        <f t="shared" si="28"/>
        <v>750000</v>
      </c>
      <c r="U104" s="13">
        <f t="shared" si="28"/>
        <v>750000</v>
      </c>
      <c r="V104" s="13">
        <f t="shared" si="28"/>
        <v>750000</v>
      </c>
      <c r="W104" s="13">
        <f t="shared" si="28"/>
        <v>750000</v>
      </c>
      <c r="X104" s="13">
        <f t="shared" si="28"/>
        <v>750000</v>
      </c>
      <c r="Y104" s="13">
        <f t="shared" si="28"/>
        <v>750000</v>
      </c>
      <c r="Z104" s="13">
        <f t="shared" si="28"/>
        <v>750000</v>
      </c>
      <c r="AA104" s="13">
        <f t="shared" si="28"/>
        <v>750000</v>
      </c>
      <c r="AB104" s="267">
        <f t="shared" si="28"/>
        <v>750000</v>
      </c>
    </row>
    <row r="105" spans="7:28" x14ac:dyDescent="0.3">
      <c r="G105" s="330" t="s">
        <v>449</v>
      </c>
      <c r="H105" s="501"/>
      <c r="I105" s="501"/>
      <c r="J105" s="501"/>
      <c r="K105" s="501"/>
      <c r="L105" s="501"/>
      <c r="M105" s="501"/>
      <c r="N105" s="501"/>
      <c r="O105" s="501"/>
      <c r="P105" s="501"/>
      <c r="Q105" s="501"/>
      <c r="R105" s="501"/>
      <c r="S105" s="501"/>
      <c r="T105" s="501"/>
      <c r="U105" s="501"/>
      <c r="V105" s="501"/>
      <c r="W105" s="501"/>
      <c r="X105" s="501"/>
      <c r="Y105" s="501"/>
      <c r="Z105" s="501"/>
      <c r="AA105" s="501"/>
      <c r="AB105" s="502"/>
    </row>
    <row r="106" spans="7:28" x14ac:dyDescent="0.3">
      <c r="G106" s="34" t="s">
        <v>482</v>
      </c>
      <c r="I106" s="13">
        <f t="shared" ref="I106:AB106" si="29">-$B$58</f>
        <v>-150000</v>
      </c>
      <c r="J106" s="13">
        <f t="shared" si="29"/>
        <v>-150000</v>
      </c>
      <c r="K106" s="13">
        <f t="shared" si="29"/>
        <v>-150000</v>
      </c>
      <c r="L106" s="13">
        <f t="shared" si="29"/>
        <v>-150000</v>
      </c>
      <c r="M106" s="13">
        <f t="shared" si="29"/>
        <v>-150000</v>
      </c>
      <c r="N106" s="13">
        <f t="shared" si="29"/>
        <v>-150000</v>
      </c>
      <c r="O106" s="13">
        <f t="shared" si="29"/>
        <v>-150000</v>
      </c>
      <c r="P106" s="13">
        <f t="shared" si="29"/>
        <v>-150000</v>
      </c>
      <c r="Q106" s="13">
        <f t="shared" si="29"/>
        <v>-150000</v>
      </c>
      <c r="R106" s="13">
        <f t="shared" si="29"/>
        <v>-150000</v>
      </c>
      <c r="S106" s="13">
        <f t="shared" si="29"/>
        <v>-150000</v>
      </c>
      <c r="T106" s="13">
        <f t="shared" si="29"/>
        <v>-150000</v>
      </c>
      <c r="U106" s="13">
        <f t="shared" si="29"/>
        <v>-150000</v>
      </c>
      <c r="V106" s="13">
        <f t="shared" si="29"/>
        <v>-150000</v>
      </c>
      <c r="W106" s="13">
        <f t="shared" si="29"/>
        <v>-150000</v>
      </c>
      <c r="X106" s="13">
        <f t="shared" si="29"/>
        <v>-150000</v>
      </c>
      <c r="Y106" s="13">
        <f t="shared" si="29"/>
        <v>-150000</v>
      </c>
      <c r="Z106" s="13">
        <f t="shared" si="29"/>
        <v>-150000</v>
      </c>
      <c r="AA106" s="13">
        <f t="shared" si="29"/>
        <v>-150000</v>
      </c>
      <c r="AB106" s="267">
        <f t="shared" si="29"/>
        <v>-150000</v>
      </c>
    </row>
    <row r="107" spans="7:28" x14ac:dyDescent="0.3">
      <c r="G107" s="34" t="s">
        <v>452</v>
      </c>
      <c r="I107" s="13">
        <f t="shared" ref="I107:AB107" si="30">-$B$19</f>
        <v>-1250</v>
      </c>
      <c r="J107" s="13">
        <f t="shared" si="30"/>
        <v>-1250</v>
      </c>
      <c r="K107" s="13">
        <f t="shared" si="30"/>
        <v>-1250</v>
      </c>
      <c r="L107" s="13">
        <f t="shared" si="30"/>
        <v>-1250</v>
      </c>
      <c r="M107" s="13">
        <f t="shared" si="30"/>
        <v>-1250</v>
      </c>
      <c r="N107" s="13">
        <f t="shared" si="30"/>
        <v>-1250</v>
      </c>
      <c r="O107" s="13">
        <f t="shared" si="30"/>
        <v>-1250</v>
      </c>
      <c r="P107" s="13">
        <f t="shared" si="30"/>
        <v>-1250</v>
      </c>
      <c r="Q107" s="13">
        <f t="shared" si="30"/>
        <v>-1250</v>
      </c>
      <c r="R107" s="13">
        <f t="shared" si="30"/>
        <v>-1250</v>
      </c>
      <c r="S107" s="13">
        <f t="shared" si="30"/>
        <v>-1250</v>
      </c>
      <c r="T107" s="13">
        <f t="shared" si="30"/>
        <v>-1250</v>
      </c>
      <c r="U107" s="13">
        <f t="shared" si="30"/>
        <v>-1250</v>
      </c>
      <c r="V107" s="13">
        <f t="shared" si="30"/>
        <v>-1250</v>
      </c>
      <c r="W107" s="13">
        <f t="shared" si="30"/>
        <v>-1250</v>
      </c>
      <c r="X107" s="13">
        <f t="shared" si="30"/>
        <v>-1250</v>
      </c>
      <c r="Y107" s="13">
        <f t="shared" si="30"/>
        <v>-1250</v>
      </c>
      <c r="Z107" s="13">
        <f t="shared" si="30"/>
        <v>-1250</v>
      </c>
      <c r="AA107" s="13">
        <f t="shared" si="30"/>
        <v>-1250</v>
      </c>
      <c r="AB107" s="267">
        <f t="shared" si="30"/>
        <v>-1250</v>
      </c>
    </row>
    <row r="108" spans="7:28" x14ac:dyDescent="0.3">
      <c r="G108" s="34"/>
      <c r="H108" s="13"/>
      <c r="I108" s="13"/>
      <c r="J108" s="13"/>
      <c r="K108" s="13"/>
      <c r="L108" s="13"/>
      <c r="M108" s="13"/>
      <c r="N108" s="13"/>
      <c r="O108" s="13"/>
      <c r="P108" s="13"/>
      <c r="Q108" s="13"/>
      <c r="R108" s="13"/>
      <c r="S108" s="13"/>
      <c r="T108" s="13"/>
      <c r="U108" s="13"/>
      <c r="V108" s="13"/>
      <c r="W108" s="13"/>
      <c r="X108" s="13"/>
      <c r="Y108" s="13"/>
      <c r="Z108" s="13"/>
      <c r="AA108" s="13"/>
      <c r="AB108" s="267"/>
    </row>
    <row r="109" spans="7:28" x14ac:dyDescent="0.3">
      <c r="G109" s="34" t="s">
        <v>456</v>
      </c>
      <c r="H109" s="51">
        <f t="shared" ref="H109:AB109" si="31">-H$21</f>
        <v>0</v>
      </c>
      <c r="I109" s="51">
        <f t="shared" si="31"/>
        <v>-2500</v>
      </c>
      <c r="J109" s="51">
        <f t="shared" si="31"/>
        <v>-4900</v>
      </c>
      <c r="K109" s="51">
        <f t="shared" si="31"/>
        <v>-4704</v>
      </c>
      <c r="L109" s="51">
        <f t="shared" si="31"/>
        <v>-4515.84</v>
      </c>
      <c r="M109" s="51">
        <f t="shared" si="31"/>
        <v>-4335.2064</v>
      </c>
      <c r="N109" s="51">
        <f t="shared" si="31"/>
        <v>-4161.7981440000003</v>
      </c>
      <c r="O109" s="51">
        <f t="shared" si="31"/>
        <v>-3995.3262182400003</v>
      </c>
      <c r="P109" s="51">
        <f t="shared" si="31"/>
        <v>-3835.5131695104001</v>
      </c>
      <c r="Q109" s="51">
        <f t="shared" si="31"/>
        <v>-3682.0926427299837</v>
      </c>
      <c r="R109" s="51">
        <f t="shared" si="31"/>
        <v>-3534.8089370207845</v>
      </c>
      <c r="S109" s="51">
        <f t="shared" si="31"/>
        <v>-3393.4165795399531</v>
      </c>
      <c r="T109" s="51">
        <f t="shared" si="31"/>
        <v>-3257.6799163583551</v>
      </c>
      <c r="U109" s="51">
        <f t="shared" si="31"/>
        <v>-3127.3727197040212</v>
      </c>
      <c r="V109" s="51">
        <f t="shared" si="31"/>
        <v>-3002.2778109158598</v>
      </c>
      <c r="W109" s="51">
        <f t="shared" si="31"/>
        <v>-2882.1866984792259</v>
      </c>
      <c r="X109" s="51">
        <f t="shared" si="31"/>
        <v>-2766.8992305400566</v>
      </c>
      <c r="Y109" s="51">
        <f t="shared" si="31"/>
        <v>-2656.2232613184542</v>
      </c>
      <c r="Z109" s="51">
        <f t="shared" si="31"/>
        <v>-2549.9743308657162</v>
      </c>
      <c r="AA109" s="51">
        <f t="shared" si="31"/>
        <v>-2447.9753576310877</v>
      </c>
      <c r="AB109" s="50">
        <f t="shared" si="31"/>
        <v>-2350.056343325844</v>
      </c>
    </row>
    <row r="110" spans="7:28" x14ac:dyDescent="0.3">
      <c r="G110" s="331" t="s">
        <v>461</v>
      </c>
      <c r="H110" s="501"/>
      <c r="I110" s="501"/>
      <c r="J110" s="501"/>
      <c r="K110" s="501"/>
      <c r="L110" s="501"/>
      <c r="M110" s="501"/>
      <c r="N110" s="501"/>
      <c r="O110" s="501"/>
      <c r="P110" s="501"/>
      <c r="Q110" s="501"/>
      <c r="R110" s="501"/>
      <c r="S110" s="501"/>
      <c r="T110" s="501"/>
      <c r="U110" s="501"/>
      <c r="V110" s="501"/>
      <c r="W110" s="501"/>
      <c r="X110" s="501"/>
      <c r="Y110" s="501"/>
      <c r="Z110" s="501"/>
      <c r="AA110" s="501"/>
      <c r="AB110" s="502"/>
    </row>
    <row r="111" spans="7:28" x14ac:dyDescent="0.3">
      <c r="G111" s="34" t="s">
        <v>462</v>
      </c>
      <c r="I111" s="51">
        <f>0</f>
        <v>0</v>
      </c>
      <c r="J111" s="13">
        <f t="shared" ref="J111:AB111" si="32">-$D$51</f>
        <v>-12000</v>
      </c>
      <c r="K111" s="13">
        <f t="shared" si="32"/>
        <v>-12000</v>
      </c>
      <c r="L111" s="13">
        <f t="shared" si="32"/>
        <v>-12000</v>
      </c>
      <c r="M111" s="13">
        <f t="shared" si="32"/>
        <v>-12000</v>
      </c>
      <c r="N111" s="13">
        <f t="shared" si="32"/>
        <v>-12000</v>
      </c>
      <c r="O111" s="13">
        <f t="shared" si="32"/>
        <v>-12000</v>
      </c>
      <c r="P111" s="13">
        <f t="shared" si="32"/>
        <v>-12000</v>
      </c>
      <c r="Q111" s="13">
        <f t="shared" si="32"/>
        <v>-12000</v>
      </c>
      <c r="R111" s="13">
        <f t="shared" si="32"/>
        <v>-12000</v>
      </c>
      <c r="S111" s="13">
        <f t="shared" si="32"/>
        <v>-12000</v>
      </c>
      <c r="T111" s="13">
        <f t="shared" si="32"/>
        <v>-12000</v>
      </c>
      <c r="U111" s="13">
        <f t="shared" si="32"/>
        <v>-12000</v>
      </c>
      <c r="V111" s="13">
        <f t="shared" si="32"/>
        <v>-12000</v>
      </c>
      <c r="W111" s="13">
        <f t="shared" si="32"/>
        <v>-12000</v>
      </c>
      <c r="X111" s="13">
        <f t="shared" si="32"/>
        <v>-12000</v>
      </c>
      <c r="Y111" s="13">
        <f t="shared" si="32"/>
        <v>-12000</v>
      </c>
      <c r="Z111" s="13">
        <f t="shared" si="32"/>
        <v>-12000</v>
      </c>
      <c r="AA111" s="13">
        <f t="shared" si="32"/>
        <v>-12000</v>
      </c>
      <c r="AB111" s="267">
        <f t="shared" si="32"/>
        <v>-12000</v>
      </c>
    </row>
    <row r="112" spans="7:28" x14ac:dyDescent="0.3">
      <c r="G112" s="34" t="s">
        <v>465</v>
      </c>
      <c r="I112" s="13">
        <f t="shared" ref="I112:AB112" si="33">-I$56*$B$50</f>
        <v>-24000</v>
      </c>
      <c r="J112" s="13">
        <f t="shared" si="33"/>
        <v>-24000</v>
      </c>
      <c r="K112" s="13">
        <f t="shared" si="33"/>
        <v>-24000</v>
      </c>
      <c r="L112" s="13">
        <f t="shared" si="33"/>
        <v>-24000</v>
      </c>
      <c r="M112" s="13">
        <f t="shared" si="33"/>
        <v>-24000</v>
      </c>
      <c r="N112" s="13">
        <f t="shared" si="33"/>
        <v>-48000</v>
      </c>
      <c r="O112" s="13">
        <f t="shared" si="33"/>
        <v>-48000</v>
      </c>
      <c r="P112" s="13">
        <f t="shared" si="33"/>
        <v>-48000</v>
      </c>
      <c r="Q112" s="13">
        <f t="shared" si="33"/>
        <v>-48000</v>
      </c>
      <c r="R112" s="13">
        <f t="shared" si="33"/>
        <v>-48000</v>
      </c>
      <c r="S112" s="13">
        <f t="shared" si="33"/>
        <v>-48000</v>
      </c>
      <c r="T112" s="13">
        <f t="shared" si="33"/>
        <v>-48000</v>
      </c>
      <c r="U112" s="13">
        <f t="shared" si="33"/>
        <v>-48000</v>
      </c>
      <c r="V112" s="13">
        <f t="shared" si="33"/>
        <v>-48000</v>
      </c>
      <c r="W112" s="13">
        <f t="shared" si="33"/>
        <v>-48000</v>
      </c>
      <c r="X112" s="13">
        <f t="shared" si="33"/>
        <v>-48000</v>
      </c>
      <c r="Y112" s="13">
        <f t="shared" si="33"/>
        <v>-48000</v>
      </c>
      <c r="Z112" s="13">
        <f t="shared" si="33"/>
        <v>-48000</v>
      </c>
      <c r="AA112" s="13">
        <f t="shared" si="33"/>
        <v>-48000</v>
      </c>
      <c r="AB112" s="267">
        <f t="shared" si="33"/>
        <v>-48000</v>
      </c>
    </row>
    <row r="113" spans="7:28" x14ac:dyDescent="0.3">
      <c r="G113" s="331" t="s">
        <v>466</v>
      </c>
      <c r="H113" s="501"/>
      <c r="I113" s="501"/>
      <c r="J113" s="501"/>
      <c r="K113" s="501"/>
      <c r="L113" s="501"/>
      <c r="M113" s="501"/>
      <c r="N113" s="501"/>
      <c r="O113" s="501"/>
      <c r="P113" s="501"/>
      <c r="Q113" s="501"/>
      <c r="R113" s="501"/>
      <c r="S113" s="501"/>
      <c r="T113" s="501"/>
      <c r="U113" s="501"/>
      <c r="V113" s="501"/>
      <c r="W113" s="501"/>
      <c r="X113" s="501"/>
      <c r="Y113" s="501"/>
      <c r="Z113" s="501"/>
      <c r="AA113" s="501"/>
      <c r="AB113" s="502"/>
    </row>
    <row r="114" spans="7:28" x14ac:dyDescent="0.3">
      <c r="G114" s="34" t="s">
        <v>467</v>
      </c>
      <c r="I114" s="13">
        <f t="shared" ref="I114:AB114" si="34">-$B$53</f>
        <v>-35000</v>
      </c>
      <c r="J114" s="13">
        <f t="shared" si="34"/>
        <v>-35000</v>
      </c>
      <c r="K114" s="13">
        <f t="shared" si="34"/>
        <v>-35000</v>
      </c>
      <c r="L114" s="13">
        <f t="shared" si="34"/>
        <v>-35000</v>
      </c>
      <c r="M114" s="13">
        <f t="shared" si="34"/>
        <v>-35000</v>
      </c>
      <c r="N114" s="13">
        <f t="shared" si="34"/>
        <v>-35000</v>
      </c>
      <c r="O114" s="13">
        <f t="shared" si="34"/>
        <v>-35000</v>
      </c>
      <c r="P114" s="13">
        <f t="shared" si="34"/>
        <v>-35000</v>
      </c>
      <c r="Q114" s="13">
        <f t="shared" si="34"/>
        <v>-35000</v>
      </c>
      <c r="R114" s="13">
        <f t="shared" si="34"/>
        <v>-35000</v>
      </c>
      <c r="S114" s="13">
        <f t="shared" si="34"/>
        <v>-35000</v>
      </c>
      <c r="T114" s="13">
        <f t="shared" si="34"/>
        <v>-35000</v>
      </c>
      <c r="U114" s="13">
        <f t="shared" si="34"/>
        <v>-35000</v>
      </c>
      <c r="V114" s="13">
        <f t="shared" si="34"/>
        <v>-35000</v>
      </c>
      <c r="W114" s="13">
        <f t="shared" si="34"/>
        <v>-35000</v>
      </c>
      <c r="X114" s="13">
        <f t="shared" si="34"/>
        <v>-35000</v>
      </c>
      <c r="Y114" s="13">
        <f t="shared" si="34"/>
        <v>-35000</v>
      </c>
      <c r="Z114" s="13">
        <f t="shared" si="34"/>
        <v>-35000</v>
      </c>
      <c r="AA114" s="13">
        <f t="shared" si="34"/>
        <v>-35000</v>
      </c>
      <c r="AB114" s="267">
        <f t="shared" si="34"/>
        <v>-35000</v>
      </c>
    </row>
    <row r="115" spans="7:28" x14ac:dyDescent="0.3">
      <c r="G115" s="34" t="s">
        <v>470</v>
      </c>
      <c r="I115" s="13">
        <f t="shared" ref="I115:AB115" si="35">-$B$54</f>
        <v>-65000</v>
      </c>
      <c r="J115" s="13">
        <f t="shared" si="35"/>
        <v>-65000</v>
      </c>
      <c r="K115" s="13">
        <f t="shared" si="35"/>
        <v>-65000</v>
      </c>
      <c r="L115" s="13">
        <f t="shared" si="35"/>
        <v>-65000</v>
      </c>
      <c r="M115" s="13">
        <f t="shared" si="35"/>
        <v>-65000</v>
      </c>
      <c r="N115" s="13">
        <f t="shared" si="35"/>
        <v>-65000</v>
      </c>
      <c r="O115" s="13">
        <f t="shared" si="35"/>
        <v>-65000</v>
      </c>
      <c r="P115" s="13">
        <f t="shared" si="35"/>
        <v>-65000</v>
      </c>
      <c r="Q115" s="13">
        <f t="shared" si="35"/>
        <v>-65000</v>
      </c>
      <c r="R115" s="13">
        <f t="shared" si="35"/>
        <v>-65000</v>
      </c>
      <c r="S115" s="13">
        <f t="shared" si="35"/>
        <v>-65000</v>
      </c>
      <c r="T115" s="13">
        <f t="shared" si="35"/>
        <v>-65000</v>
      </c>
      <c r="U115" s="13">
        <f t="shared" si="35"/>
        <v>-65000</v>
      </c>
      <c r="V115" s="13">
        <f t="shared" si="35"/>
        <v>-65000</v>
      </c>
      <c r="W115" s="13">
        <f t="shared" si="35"/>
        <v>-65000</v>
      </c>
      <c r="X115" s="13">
        <f t="shared" si="35"/>
        <v>-65000</v>
      </c>
      <c r="Y115" s="13">
        <f t="shared" si="35"/>
        <v>-65000</v>
      </c>
      <c r="Z115" s="13">
        <f t="shared" si="35"/>
        <v>-65000</v>
      </c>
      <c r="AA115" s="13">
        <f t="shared" si="35"/>
        <v>-65000</v>
      </c>
      <c r="AB115" s="267">
        <f t="shared" si="35"/>
        <v>-65000</v>
      </c>
    </row>
    <row r="116" spans="7:28" x14ac:dyDescent="0.3">
      <c r="G116" s="34" t="s">
        <v>471</v>
      </c>
      <c r="I116" s="51">
        <f t="shared" ref="I116:AB116" si="36">-$B$55*I$56</f>
        <v>-30000</v>
      </c>
      <c r="J116" s="51">
        <f t="shared" si="36"/>
        <v>-30000</v>
      </c>
      <c r="K116" s="51">
        <f t="shared" si="36"/>
        <v>-30000</v>
      </c>
      <c r="L116" s="51">
        <f t="shared" si="36"/>
        <v>-30000</v>
      </c>
      <c r="M116" s="51">
        <f t="shared" si="36"/>
        <v>-30000</v>
      </c>
      <c r="N116" s="51">
        <f t="shared" si="36"/>
        <v>-60000</v>
      </c>
      <c r="O116" s="51">
        <f t="shared" si="36"/>
        <v>-60000</v>
      </c>
      <c r="P116" s="51">
        <f t="shared" si="36"/>
        <v>-60000</v>
      </c>
      <c r="Q116" s="51">
        <f t="shared" si="36"/>
        <v>-60000</v>
      </c>
      <c r="R116" s="51">
        <f t="shared" si="36"/>
        <v>-60000</v>
      </c>
      <c r="S116" s="51">
        <f t="shared" si="36"/>
        <v>-60000</v>
      </c>
      <c r="T116" s="51">
        <f t="shared" si="36"/>
        <v>-60000</v>
      </c>
      <c r="U116" s="51">
        <f t="shared" si="36"/>
        <v>-60000</v>
      </c>
      <c r="V116" s="51">
        <f t="shared" si="36"/>
        <v>-60000</v>
      </c>
      <c r="W116" s="51">
        <f t="shared" si="36"/>
        <v>-60000</v>
      </c>
      <c r="X116" s="51">
        <f t="shared" si="36"/>
        <v>-60000</v>
      </c>
      <c r="Y116" s="51">
        <f t="shared" si="36"/>
        <v>-60000</v>
      </c>
      <c r="Z116" s="51">
        <f t="shared" si="36"/>
        <v>-60000</v>
      </c>
      <c r="AA116" s="51">
        <f t="shared" si="36"/>
        <v>-60000</v>
      </c>
      <c r="AB116" s="50">
        <f t="shared" si="36"/>
        <v>-60000</v>
      </c>
    </row>
    <row r="117" spans="7:28" x14ac:dyDescent="0.3">
      <c r="G117" s="330" t="s">
        <v>472</v>
      </c>
      <c r="I117" s="13">
        <f t="shared" ref="I117:AB117" si="37">SUM(I104,I106:I109,I111:I112,I114:I116)</f>
        <v>67250</v>
      </c>
      <c r="J117" s="13">
        <f t="shared" si="37"/>
        <v>52850</v>
      </c>
      <c r="K117" s="13">
        <f t="shared" si="37"/>
        <v>53046</v>
      </c>
      <c r="L117" s="13">
        <f t="shared" si="37"/>
        <v>53234.16</v>
      </c>
      <c r="M117" s="13">
        <f t="shared" si="37"/>
        <v>53414.793600000005</v>
      </c>
      <c r="N117" s="13">
        <f t="shared" si="37"/>
        <v>374588.201856</v>
      </c>
      <c r="O117" s="13">
        <f t="shared" si="37"/>
        <v>374754.67378176004</v>
      </c>
      <c r="P117" s="13">
        <f t="shared" si="37"/>
        <v>374914.48683048959</v>
      </c>
      <c r="Q117" s="13">
        <f t="shared" si="37"/>
        <v>375067.90735727001</v>
      </c>
      <c r="R117" s="13">
        <f t="shared" si="37"/>
        <v>375215.19106297917</v>
      </c>
      <c r="S117" s="13">
        <f t="shared" si="37"/>
        <v>375356.58342046</v>
      </c>
      <c r="T117" s="13">
        <f t="shared" si="37"/>
        <v>375492.32008364168</v>
      </c>
      <c r="U117" s="13">
        <f t="shared" si="37"/>
        <v>375622.62728029594</v>
      </c>
      <c r="V117" s="13">
        <f t="shared" si="37"/>
        <v>375747.72218908416</v>
      </c>
      <c r="W117" s="13">
        <f t="shared" si="37"/>
        <v>375867.81330152077</v>
      </c>
      <c r="X117" s="13">
        <f t="shared" si="37"/>
        <v>375983.10076945997</v>
      </c>
      <c r="Y117" s="13">
        <f t="shared" si="37"/>
        <v>376093.7767386816</v>
      </c>
      <c r="Z117" s="13">
        <f t="shared" si="37"/>
        <v>376200.02566913434</v>
      </c>
      <c r="AA117" s="13">
        <f t="shared" si="37"/>
        <v>376302.0246423689</v>
      </c>
      <c r="AB117" s="267">
        <f t="shared" si="37"/>
        <v>376399.94365667412</v>
      </c>
    </row>
    <row r="118" spans="7:28" x14ac:dyDescent="0.3">
      <c r="G118" s="34" t="s">
        <v>473</v>
      </c>
      <c r="I118" s="13">
        <f t="shared" ref="I118:AB118" si="38">I$117*$H$48</f>
        <v>23537.5</v>
      </c>
      <c r="J118" s="13">
        <f t="shared" si="38"/>
        <v>18497.5</v>
      </c>
      <c r="K118" s="13">
        <f t="shared" si="38"/>
        <v>18566.099999999999</v>
      </c>
      <c r="L118" s="13">
        <f t="shared" si="38"/>
        <v>18631.955999999998</v>
      </c>
      <c r="M118" s="13">
        <f t="shared" si="38"/>
        <v>18695.177759999999</v>
      </c>
      <c r="N118" s="13">
        <f t="shared" si="38"/>
        <v>131105.87064959999</v>
      </c>
      <c r="O118" s="13">
        <f t="shared" si="38"/>
        <v>131164.135823616</v>
      </c>
      <c r="P118" s="13">
        <f t="shared" si="38"/>
        <v>131220.07039067135</v>
      </c>
      <c r="Q118" s="13">
        <f t="shared" si="38"/>
        <v>131273.76757504451</v>
      </c>
      <c r="R118" s="13">
        <f t="shared" si="38"/>
        <v>131325.31687204269</v>
      </c>
      <c r="S118" s="13">
        <f t="shared" si="38"/>
        <v>131374.80419716099</v>
      </c>
      <c r="T118" s="13">
        <f t="shared" si="38"/>
        <v>131422.31202927459</v>
      </c>
      <c r="U118" s="13">
        <f t="shared" si="38"/>
        <v>131467.91954810359</v>
      </c>
      <c r="V118" s="13">
        <f t="shared" si="38"/>
        <v>131511.70276617946</v>
      </c>
      <c r="W118" s="13">
        <f t="shared" si="38"/>
        <v>131553.73465553226</v>
      </c>
      <c r="X118" s="13">
        <f t="shared" si="38"/>
        <v>131594.08526931098</v>
      </c>
      <c r="Y118" s="13">
        <f t="shared" si="38"/>
        <v>131632.82185853855</v>
      </c>
      <c r="Z118" s="13">
        <f t="shared" si="38"/>
        <v>131670.00898419702</v>
      </c>
      <c r="AA118" s="13">
        <f t="shared" si="38"/>
        <v>131705.7086248291</v>
      </c>
      <c r="AB118" s="267">
        <f t="shared" si="38"/>
        <v>131739.98027983593</v>
      </c>
    </row>
    <row r="119" spans="7:28" ht="15" thickBot="1" x14ac:dyDescent="0.35">
      <c r="G119" s="35" t="s">
        <v>57</v>
      </c>
      <c r="H119" s="133"/>
      <c r="I119" s="332">
        <f t="shared" ref="I119:AB119" si="39">I117-I118</f>
        <v>43712.5</v>
      </c>
      <c r="J119" s="332">
        <f t="shared" si="39"/>
        <v>34352.5</v>
      </c>
      <c r="K119" s="332">
        <f t="shared" si="39"/>
        <v>34479.9</v>
      </c>
      <c r="L119" s="332">
        <f t="shared" si="39"/>
        <v>34602.204000000005</v>
      </c>
      <c r="M119" s="332">
        <f t="shared" si="39"/>
        <v>34719.615840000006</v>
      </c>
      <c r="N119" s="332">
        <f t="shared" si="39"/>
        <v>243482.33120640001</v>
      </c>
      <c r="O119" s="332">
        <f t="shared" si="39"/>
        <v>243590.53795814404</v>
      </c>
      <c r="P119" s="332">
        <f t="shared" si="39"/>
        <v>243694.41643981825</v>
      </c>
      <c r="Q119" s="332">
        <f t="shared" si="39"/>
        <v>243794.13978222551</v>
      </c>
      <c r="R119" s="332">
        <f t="shared" si="39"/>
        <v>243889.87419093648</v>
      </c>
      <c r="S119" s="332">
        <f t="shared" si="39"/>
        <v>243981.779223299</v>
      </c>
      <c r="T119" s="332">
        <f t="shared" si="39"/>
        <v>244070.00805436709</v>
      </c>
      <c r="U119" s="332">
        <f t="shared" si="39"/>
        <v>244154.70773219236</v>
      </c>
      <c r="V119" s="332">
        <f t="shared" si="39"/>
        <v>244236.0194229047</v>
      </c>
      <c r="W119" s="332">
        <f t="shared" si="39"/>
        <v>244314.07864598851</v>
      </c>
      <c r="X119" s="332">
        <f t="shared" si="39"/>
        <v>244389.01550014899</v>
      </c>
      <c r="Y119" s="332">
        <f t="shared" si="39"/>
        <v>244460.95488014305</v>
      </c>
      <c r="Z119" s="332">
        <f t="shared" si="39"/>
        <v>244530.01668493732</v>
      </c>
      <c r="AA119" s="332">
        <f t="shared" si="39"/>
        <v>244596.31601753979</v>
      </c>
      <c r="AB119" s="333">
        <f t="shared" si="39"/>
        <v>244659.96337683819</v>
      </c>
    </row>
    <row r="121" spans="7:28" ht="15" thickBot="1" x14ac:dyDescent="0.35"/>
    <row r="122" spans="7:28" ht="15" thickBot="1" x14ac:dyDescent="0.35">
      <c r="G122" s="317" t="str">
        <f t="shared" ref="G122:AB122" si="40">G99</f>
        <v xml:space="preserve">Année </v>
      </c>
      <c r="H122" s="334">
        <f t="shared" si="40"/>
        <v>0</v>
      </c>
      <c r="I122" s="334">
        <f t="shared" si="40"/>
        <v>1</v>
      </c>
      <c r="J122" s="334">
        <f t="shared" si="40"/>
        <v>2</v>
      </c>
      <c r="K122" s="334">
        <f t="shared" si="40"/>
        <v>3</v>
      </c>
      <c r="L122" s="334">
        <f t="shared" si="40"/>
        <v>4</v>
      </c>
      <c r="M122" s="334">
        <f t="shared" si="40"/>
        <v>5</v>
      </c>
      <c r="N122" s="334">
        <f t="shared" si="40"/>
        <v>6</v>
      </c>
      <c r="O122" s="334">
        <f t="shared" si="40"/>
        <v>7</v>
      </c>
      <c r="P122" s="334">
        <f t="shared" si="40"/>
        <v>8</v>
      </c>
      <c r="Q122" s="334">
        <f t="shared" si="40"/>
        <v>9</v>
      </c>
      <c r="R122" s="334">
        <f t="shared" si="40"/>
        <v>10</v>
      </c>
      <c r="S122" s="334">
        <f t="shared" si="40"/>
        <v>11</v>
      </c>
      <c r="T122" s="334">
        <f t="shared" si="40"/>
        <v>12</v>
      </c>
      <c r="U122" s="334">
        <f t="shared" si="40"/>
        <v>13</v>
      </c>
      <c r="V122" s="334">
        <f t="shared" si="40"/>
        <v>14</v>
      </c>
      <c r="W122" s="334">
        <f t="shared" si="40"/>
        <v>15</v>
      </c>
      <c r="X122" s="334">
        <f t="shared" si="40"/>
        <v>16</v>
      </c>
      <c r="Y122" s="334">
        <f t="shared" si="40"/>
        <v>17</v>
      </c>
      <c r="Z122" s="334">
        <f t="shared" si="40"/>
        <v>18</v>
      </c>
      <c r="AA122" s="334">
        <f t="shared" si="40"/>
        <v>19</v>
      </c>
      <c r="AB122" s="335">
        <f t="shared" si="40"/>
        <v>20</v>
      </c>
    </row>
    <row r="123" spans="7:28" x14ac:dyDescent="0.3">
      <c r="G123" s="357" t="s">
        <v>474</v>
      </c>
      <c r="H123" s="499"/>
      <c r="I123" s="499"/>
      <c r="J123" s="499"/>
      <c r="K123" s="499"/>
      <c r="L123" s="499"/>
      <c r="M123" s="499"/>
      <c r="N123" s="499"/>
      <c r="O123" s="499"/>
      <c r="P123" s="499"/>
      <c r="Q123" s="499"/>
      <c r="R123" s="499"/>
      <c r="S123" s="499"/>
      <c r="T123" s="499"/>
      <c r="U123" s="499"/>
      <c r="V123" s="499"/>
      <c r="W123" s="499"/>
      <c r="X123" s="499"/>
      <c r="Y123" s="499"/>
      <c r="Z123" s="499"/>
      <c r="AA123" s="499"/>
      <c r="AB123" s="500"/>
    </row>
    <row r="124" spans="7:28" x14ac:dyDescent="0.3">
      <c r="G124" s="34" t="str">
        <f>G119</f>
        <v>Bénéfice Net</v>
      </c>
      <c r="I124" s="13">
        <f t="shared" ref="I124:AB124" si="41">I$119</f>
        <v>43712.5</v>
      </c>
      <c r="J124" s="13">
        <f t="shared" si="41"/>
        <v>34352.5</v>
      </c>
      <c r="K124" s="13">
        <f t="shared" si="41"/>
        <v>34479.9</v>
      </c>
      <c r="L124" s="13">
        <f t="shared" si="41"/>
        <v>34602.204000000005</v>
      </c>
      <c r="M124" s="13">
        <f t="shared" si="41"/>
        <v>34719.615840000006</v>
      </c>
      <c r="N124" s="13">
        <f t="shared" si="41"/>
        <v>243482.33120640001</v>
      </c>
      <c r="O124" s="13">
        <f t="shared" si="41"/>
        <v>243590.53795814404</v>
      </c>
      <c r="P124" s="13">
        <f t="shared" si="41"/>
        <v>243694.41643981825</v>
      </c>
      <c r="Q124" s="13">
        <f t="shared" si="41"/>
        <v>243794.13978222551</v>
      </c>
      <c r="R124" s="13">
        <f t="shared" si="41"/>
        <v>243889.87419093648</v>
      </c>
      <c r="S124" s="13">
        <f t="shared" si="41"/>
        <v>243981.779223299</v>
      </c>
      <c r="T124" s="13">
        <f t="shared" si="41"/>
        <v>244070.00805436709</v>
      </c>
      <c r="U124" s="13">
        <f t="shared" si="41"/>
        <v>244154.70773219236</v>
      </c>
      <c r="V124" s="13">
        <f t="shared" si="41"/>
        <v>244236.0194229047</v>
      </c>
      <c r="W124" s="13">
        <f t="shared" si="41"/>
        <v>244314.07864598851</v>
      </c>
      <c r="X124" s="13">
        <f t="shared" si="41"/>
        <v>244389.01550014899</v>
      </c>
      <c r="Y124" s="13">
        <f t="shared" si="41"/>
        <v>244460.95488014305</v>
      </c>
      <c r="Z124" s="13">
        <f t="shared" si="41"/>
        <v>244530.01668493732</v>
      </c>
      <c r="AA124" s="13">
        <f t="shared" si="41"/>
        <v>244596.31601753979</v>
      </c>
      <c r="AB124" s="267">
        <f t="shared" si="41"/>
        <v>244659.96337683819</v>
      </c>
    </row>
    <row r="125" spans="7:28" x14ac:dyDescent="0.3">
      <c r="G125" s="34" t="str">
        <f>G109</f>
        <v>Amortissement du bâtiment (DPA)</v>
      </c>
      <c r="I125" s="13">
        <f t="shared" ref="I125:AB125" si="42">I$21</f>
        <v>2500</v>
      </c>
      <c r="J125" s="13">
        <f t="shared" si="42"/>
        <v>4900</v>
      </c>
      <c r="K125" s="13">
        <f t="shared" si="42"/>
        <v>4704</v>
      </c>
      <c r="L125" s="13">
        <f t="shared" si="42"/>
        <v>4515.84</v>
      </c>
      <c r="M125" s="13">
        <f t="shared" si="42"/>
        <v>4335.2064</v>
      </c>
      <c r="N125" s="13">
        <f t="shared" si="42"/>
        <v>4161.7981440000003</v>
      </c>
      <c r="O125" s="13">
        <f t="shared" si="42"/>
        <v>3995.3262182400003</v>
      </c>
      <c r="P125" s="13">
        <f t="shared" si="42"/>
        <v>3835.5131695104001</v>
      </c>
      <c r="Q125" s="13">
        <f t="shared" si="42"/>
        <v>3682.0926427299837</v>
      </c>
      <c r="R125" s="13">
        <f t="shared" si="42"/>
        <v>3534.8089370207845</v>
      </c>
      <c r="S125" s="13">
        <f t="shared" si="42"/>
        <v>3393.4165795399531</v>
      </c>
      <c r="T125" s="13">
        <f t="shared" si="42"/>
        <v>3257.6799163583551</v>
      </c>
      <c r="U125" s="13">
        <f t="shared" si="42"/>
        <v>3127.3727197040212</v>
      </c>
      <c r="V125" s="13">
        <f t="shared" si="42"/>
        <v>3002.2778109158598</v>
      </c>
      <c r="W125" s="13">
        <f t="shared" si="42"/>
        <v>2882.1866984792259</v>
      </c>
      <c r="X125" s="13">
        <f t="shared" si="42"/>
        <v>2766.8992305400566</v>
      </c>
      <c r="Y125" s="13">
        <f t="shared" si="42"/>
        <v>2656.2232613184542</v>
      </c>
      <c r="Z125" s="13">
        <f t="shared" si="42"/>
        <v>2549.9743308657162</v>
      </c>
      <c r="AA125" s="13">
        <f t="shared" si="42"/>
        <v>2447.9753576310877</v>
      </c>
      <c r="AB125" s="267">
        <f t="shared" si="42"/>
        <v>2350.056343325844</v>
      </c>
    </row>
    <row r="126" spans="7:28" x14ac:dyDescent="0.3">
      <c r="G126" s="331" t="s">
        <v>475</v>
      </c>
      <c r="H126" s="501"/>
      <c r="I126" s="501"/>
      <c r="J126" s="501"/>
      <c r="K126" s="501"/>
      <c r="L126" s="501"/>
      <c r="M126" s="501"/>
      <c r="N126" s="501"/>
      <c r="O126" s="501"/>
      <c r="P126" s="501"/>
      <c r="Q126" s="501"/>
      <c r="R126" s="501"/>
      <c r="S126" s="501"/>
      <c r="T126" s="501"/>
      <c r="U126" s="501"/>
      <c r="V126" s="501"/>
      <c r="W126" s="501"/>
      <c r="X126" s="501"/>
      <c r="Y126" s="501"/>
      <c r="Z126" s="501"/>
      <c r="AA126" s="501"/>
      <c r="AB126" s="502"/>
    </row>
    <row r="127" spans="7:28" x14ac:dyDescent="0.3">
      <c r="G127" s="34" t="s">
        <v>481</v>
      </c>
      <c r="H127" s="13">
        <f>-$B$59</f>
        <v>-75000</v>
      </c>
      <c r="AB127" s="267">
        <f>$B$59</f>
        <v>75000</v>
      </c>
    </row>
    <row r="128" spans="7:28" x14ac:dyDescent="0.3">
      <c r="G128" s="34" t="s">
        <v>477</v>
      </c>
      <c r="H128" s="13">
        <f>-$H$22</f>
        <v>-125000</v>
      </c>
      <c r="AB128" s="184"/>
    </row>
    <row r="129" spans="7:28" x14ac:dyDescent="0.3">
      <c r="G129" s="34" t="s">
        <v>478</v>
      </c>
      <c r="AB129" s="267">
        <f>$B$14*0.32</f>
        <v>40000</v>
      </c>
    </row>
    <row r="130" spans="7:28" x14ac:dyDescent="0.3">
      <c r="G130" s="34" t="s">
        <v>480</v>
      </c>
      <c r="AB130" s="267">
        <f>($AB$22-$AB$83)*$H$48</f>
        <v>5740.473283937089</v>
      </c>
    </row>
    <row r="131" spans="7:28" x14ac:dyDescent="0.3">
      <c r="G131" s="330" t="s">
        <v>270</v>
      </c>
      <c r="H131" s="13">
        <f t="shared" ref="H131:AB131" si="43">SUM(H124:H125,H127:H130)</f>
        <v>-200000</v>
      </c>
      <c r="I131" s="13">
        <f t="shared" si="43"/>
        <v>46212.5</v>
      </c>
      <c r="J131" s="13">
        <f t="shared" si="43"/>
        <v>39252.5</v>
      </c>
      <c r="K131" s="13">
        <f t="shared" si="43"/>
        <v>39183.9</v>
      </c>
      <c r="L131" s="13">
        <f t="shared" si="43"/>
        <v>39118.044000000009</v>
      </c>
      <c r="M131" s="13">
        <f t="shared" si="43"/>
        <v>39054.822240000009</v>
      </c>
      <c r="N131" s="13">
        <f t="shared" si="43"/>
        <v>247644.12935040001</v>
      </c>
      <c r="O131" s="13">
        <f t="shared" si="43"/>
        <v>247585.86417638403</v>
      </c>
      <c r="P131" s="13">
        <f t="shared" si="43"/>
        <v>247529.92960932865</v>
      </c>
      <c r="Q131" s="13">
        <f t="shared" si="43"/>
        <v>247476.23242495549</v>
      </c>
      <c r="R131" s="13">
        <f t="shared" si="43"/>
        <v>247424.68312795725</v>
      </c>
      <c r="S131" s="13">
        <f t="shared" si="43"/>
        <v>247375.19580283895</v>
      </c>
      <c r="T131" s="13">
        <f t="shared" si="43"/>
        <v>247327.68797072544</v>
      </c>
      <c r="U131" s="13">
        <f t="shared" si="43"/>
        <v>247282.08045189639</v>
      </c>
      <c r="V131" s="13">
        <f t="shared" si="43"/>
        <v>247238.29723382057</v>
      </c>
      <c r="W131" s="13">
        <f t="shared" si="43"/>
        <v>247196.26534446774</v>
      </c>
      <c r="X131" s="13">
        <f t="shared" si="43"/>
        <v>247155.91473068905</v>
      </c>
      <c r="Y131" s="13">
        <f t="shared" si="43"/>
        <v>247117.17814146151</v>
      </c>
      <c r="Z131" s="13">
        <f t="shared" si="43"/>
        <v>247079.99101580304</v>
      </c>
      <c r="AA131" s="13">
        <f t="shared" si="43"/>
        <v>247044.29137517087</v>
      </c>
      <c r="AB131" s="267">
        <f t="shared" si="43"/>
        <v>367750.4930041011</v>
      </c>
    </row>
    <row r="132" spans="7:28" ht="28.8" x14ac:dyDescent="0.3">
      <c r="G132" s="358" t="s">
        <v>271</v>
      </c>
      <c r="H132" s="359">
        <f t="shared" ref="H132:AB132" si="44">(1+TRAM)^-H$122</f>
        <v>1</v>
      </c>
      <c r="I132" s="359">
        <f t="shared" si="44"/>
        <v>0.86577436575632338</v>
      </c>
      <c r="J132" s="359">
        <f t="shared" si="44"/>
        <v>0.7495652524007641</v>
      </c>
      <c r="K132" s="359">
        <f t="shared" si="44"/>
        <v>0.64895438099025005</v>
      </c>
      <c r="L132" s="359">
        <f t="shared" si="44"/>
        <v>0.56184806760662109</v>
      </c>
      <c r="M132" s="359">
        <f t="shared" si="44"/>
        <v>0.48643365438353831</v>
      </c>
      <c r="N132" s="359">
        <f t="shared" si="44"/>
        <v>0.42114178860643858</v>
      </c>
      <c r="O132" s="359">
        <f t="shared" si="44"/>
        <v>0.36461376492422298</v>
      </c>
      <c r="P132" s="359">
        <f t="shared" si="44"/>
        <v>0.3156732510732943</v>
      </c>
      <c r="Q132" s="359">
        <f t="shared" si="44"/>
        <v>0.27330180873421805</v>
      </c>
      <c r="R132" s="359">
        <f t="shared" si="44"/>
        <v>0.23661770011692362</v>
      </c>
      <c r="S132" s="359">
        <f t="shared" si="44"/>
        <v>0.2048575392454495</v>
      </c>
      <c r="T132" s="359">
        <f t="shared" si="44"/>
        <v>0.17736040611063017</v>
      </c>
      <c r="U132" s="359">
        <f t="shared" si="44"/>
        <v>0.15355409311071477</v>
      </c>
      <c r="V132" s="359">
        <f t="shared" si="44"/>
        <v>0.13294319757221654</v>
      </c>
      <c r="W132" s="359">
        <f t="shared" si="44"/>
        <v>0.11509881255970336</v>
      </c>
      <c r="X132" s="359">
        <f t="shared" si="44"/>
        <v>9.964960144318312E-2</v>
      </c>
      <c r="Y132" s="359">
        <f t="shared" si="44"/>
        <v>8.6274070487342272E-2</v>
      </c>
      <c r="Z132" s="359">
        <f t="shared" si="44"/>
        <v>7.4693878657395102E-2</v>
      </c>
      <c r="AA132" s="359">
        <f t="shared" si="44"/>
        <v>6.4668045420486028E-2</v>
      </c>
      <c r="AB132" s="364">
        <f t="shared" si="44"/>
        <v>5.5987936008622403E-2</v>
      </c>
    </row>
    <row r="133" spans="7:28" ht="15" thickBot="1" x14ac:dyDescent="0.35">
      <c r="G133" s="362" t="s">
        <v>272</v>
      </c>
      <c r="H133" s="332">
        <f t="shared" ref="H133:AB133" si="45">H131*H132</f>
        <v>-200000</v>
      </c>
      <c r="I133" s="332">
        <f t="shared" si="45"/>
        <v>40009.597877514097</v>
      </c>
      <c r="J133" s="332">
        <f t="shared" si="45"/>
        <v>29422.310069860992</v>
      </c>
      <c r="K133" s="332">
        <f t="shared" si="45"/>
        <v>25428.563569283859</v>
      </c>
      <c r="L133" s="332">
        <f t="shared" si="45"/>
        <v>21978.397429950783</v>
      </c>
      <c r="M133" s="332">
        <f t="shared" si="45"/>
        <v>18997.57990350269</v>
      </c>
      <c r="N133" s="332">
        <f t="shared" si="45"/>
        <v>104293.29157251169</v>
      </c>
      <c r="O133" s="332">
        <f t="shared" si="45"/>
        <v>90273.214079368685</v>
      </c>
      <c r="P133" s="332">
        <f t="shared" si="45"/>
        <v>78138.577617720468</v>
      </c>
      <c r="Q133" s="332">
        <f t="shared" si="45"/>
        <v>67635.701940470084</v>
      </c>
      <c r="R133" s="332">
        <f t="shared" si="45"/>
        <v>58545.059473895839</v>
      </c>
      <c r="S133" s="332">
        <f t="shared" si="45"/>
        <v>50676.673882530835</v>
      </c>
      <c r="T133" s="332">
        <f t="shared" si="45"/>
        <v>43866.139180891085</v>
      </c>
      <c r="U133" s="332">
        <f t="shared" si="45"/>
        <v>37971.175606321762</v>
      </c>
      <c r="V133" s="332">
        <f t="shared" si="45"/>
        <v>32868.649796574209</v>
      </c>
      <c r="W133" s="332">
        <f t="shared" si="45"/>
        <v>28451.99661034159</v>
      </c>
      <c r="X133" s="332">
        <f t="shared" si="45"/>
        <v>24628.988397238514</v>
      </c>
      <c r="Y133" s="332">
        <f t="shared" si="45"/>
        <v>21319.804845609568</v>
      </c>
      <c r="Z133" s="332">
        <f t="shared" si="45"/>
        <v>18455.362867604665</v>
      </c>
      <c r="AA133" s="332">
        <f t="shared" si="45"/>
        <v>15975.871455521334</v>
      </c>
      <c r="AB133" s="333">
        <f t="shared" si="45"/>
        <v>20589.591069452952</v>
      </c>
    </row>
    <row r="134" spans="7:28" x14ac:dyDescent="0.3">
      <c r="G134" s="59" t="s">
        <v>273</v>
      </c>
      <c r="H134" s="363">
        <f>SUM(H133:AB133)</f>
        <v>629526.54724616569</v>
      </c>
    </row>
    <row r="135" spans="7:28" x14ac:dyDescent="0.3">
      <c r="G135" s="34" t="s">
        <v>274</v>
      </c>
      <c r="H135" s="166">
        <f>IRR(H131:AB131)</f>
        <v>0.39905714395423253</v>
      </c>
    </row>
    <row r="136" spans="7:28" ht="15" thickBot="1" x14ac:dyDescent="0.35">
      <c r="G136" s="35" t="s">
        <v>275</v>
      </c>
      <c r="H136" s="333">
        <f>H131+NPV($H$49,I131:AB131)</f>
        <v>629526.54724616581</v>
      </c>
    </row>
    <row r="142" spans="7:28" ht="15" thickBot="1" x14ac:dyDescent="0.35"/>
    <row r="143" spans="7:28" x14ac:dyDescent="0.3">
      <c r="G143" s="503" t="s">
        <v>484</v>
      </c>
      <c r="H143" s="504"/>
    </row>
    <row r="144" spans="7:28" ht="15" thickBot="1" x14ac:dyDescent="0.35">
      <c r="G144" s="507"/>
      <c r="H144" s="508"/>
    </row>
    <row r="145" spans="7:31" ht="15" thickBot="1" x14ac:dyDescent="0.35">
      <c r="G145" s="317" t="str">
        <f t="shared" ref="G145:AB145" si="46">G122</f>
        <v xml:space="preserve">Année </v>
      </c>
      <c r="H145" s="334">
        <f t="shared" si="46"/>
        <v>0</v>
      </c>
      <c r="I145" s="334">
        <f t="shared" si="46"/>
        <v>1</v>
      </c>
      <c r="J145" s="334">
        <f t="shared" si="46"/>
        <v>2</v>
      </c>
      <c r="K145" s="334">
        <f t="shared" si="46"/>
        <v>3</v>
      </c>
      <c r="L145" s="334">
        <f t="shared" si="46"/>
        <v>4</v>
      </c>
      <c r="M145" s="334">
        <f t="shared" si="46"/>
        <v>5</v>
      </c>
      <c r="N145" s="334">
        <f t="shared" si="46"/>
        <v>6</v>
      </c>
      <c r="O145" s="334">
        <f t="shared" si="46"/>
        <v>7</v>
      </c>
      <c r="P145" s="334">
        <f t="shared" si="46"/>
        <v>8</v>
      </c>
      <c r="Q145" s="334">
        <f t="shared" si="46"/>
        <v>9</v>
      </c>
      <c r="R145" s="334">
        <f t="shared" si="46"/>
        <v>10</v>
      </c>
      <c r="S145" s="334">
        <f t="shared" si="46"/>
        <v>11</v>
      </c>
      <c r="T145" s="334">
        <f t="shared" si="46"/>
        <v>12</v>
      </c>
      <c r="U145" s="334">
        <f t="shared" si="46"/>
        <v>13</v>
      </c>
      <c r="V145" s="334">
        <f t="shared" si="46"/>
        <v>14</v>
      </c>
      <c r="W145" s="334">
        <f t="shared" si="46"/>
        <v>15</v>
      </c>
      <c r="X145" s="334">
        <f t="shared" si="46"/>
        <v>16</v>
      </c>
      <c r="Y145" s="334">
        <f t="shared" si="46"/>
        <v>17</v>
      </c>
      <c r="Z145" s="334">
        <f t="shared" si="46"/>
        <v>18</v>
      </c>
      <c r="AA145" s="334">
        <f t="shared" si="46"/>
        <v>19</v>
      </c>
      <c r="AB145" s="335">
        <f t="shared" si="46"/>
        <v>20</v>
      </c>
      <c r="AC145" s="157"/>
      <c r="AD145" s="376" t="s">
        <v>488</v>
      </c>
      <c r="AE145" s="63" t="s">
        <v>489</v>
      </c>
    </row>
    <row r="146" spans="7:31" x14ac:dyDescent="0.3">
      <c r="G146" s="59" t="s">
        <v>485</v>
      </c>
      <c r="H146" s="374">
        <f>H85</f>
        <v>-480000</v>
      </c>
      <c r="I146" s="374">
        <f t="shared" ref="I146:AB146" si="47">I85</f>
        <v>142812.5</v>
      </c>
      <c r="J146" s="374">
        <f t="shared" si="47"/>
        <v>135852.5</v>
      </c>
      <c r="K146" s="374">
        <f t="shared" si="47"/>
        <v>135783.9</v>
      </c>
      <c r="L146" s="374">
        <f t="shared" si="47"/>
        <v>135718.04399999999</v>
      </c>
      <c r="M146" s="374">
        <f t="shared" si="47"/>
        <v>135654.82223999998</v>
      </c>
      <c r="N146" s="374">
        <f t="shared" si="47"/>
        <v>344244.12935040001</v>
      </c>
      <c r="O146" s="374">
        <f t="shared" si="47"/>
        <v>344185.86417638406</v>
      </c>
      <c r="P146" s="374">
        <f t="shared" si="47"/>
        <v>344129.92960932862</v>
      </c>
      <c r="Q146" s="374">
        <f t="shared" si="47"/>
        <v>344076.23242495547</v>
      </c>
      <c r="R146" s="374">
        <f t="shared" si="47"/>
        <v>344024.68312795722</v>
      </c>
      <c r="S146" s="374">
        <f t="shared" si="47"/>
        <v>343975.19580283895</v>
      </c>
      <c r="T146" s="374">
        <f t="shared" si="47"/>
        <v>343927.68797072547</v>
      </c>
      <c r="U146" s="374">
        <f t="shared" si="47"/>
        <v>343882.08045189636</v>
      </c>
      <c r="V146" s="374">
        <f t="shared" si="47"/>
        <v>343838.29723382054</v>
      </c>
      <c r="W146" s="374">
        <f t="shared" si="47"/>
        <v>343796.26534446771</v>
      </c>
      <c r="X146" s="374">
        <f t="shared" si="47"/>
        <v>343755.91473068902</v>
      </c>
      <c r="Y146" s="374">
        <f t="shared" si="47"/>
        <v>343717.17814146151</v>
      </c>
      <c r="Z146" s="374">
        <f t="shared" si="47"/>
        <v>343679.99101580301</v>
      </c>
      <c r="AA146" s="374">
        <f t="shared" si="47"/>
        <v>343644.29137517093</v>
      </c>
      <c r="AB146" s="375">
        <f t="shared" si="47"/>
        <v>424350.4930041011</v>
      </c>
      <c r="AD146" s="372">
        <f>H90</f>
        <v>935485.55183494673</v>
      </c>
      <c r="AE146" s="166">
        <f>H89</f>
        <v>0.3742713027756519</v>
      </c>
    </row>
    <row r="147" spans="7:31" x14ac:dyDescent="0.3">
      <c r="G147" s="34" t="s">
        <v>486</v>
      </c>
      <c r="H147" s="13">
        <f>H131</f>
        <v>-200000</v>
      </c>
      <c r="I147" s="13">
        <f t="shared" ref="I147:AB147" si="48">I131</f>
        <v>46212.5</v>
      </c>
      <c r="J147" s="13">
        <f t="shared" si="48"/>
        <v>39252.5</v>
      </c>
      <c r="K147" s="13">
        <f t="shared" si="48"/>
        <v>39183.9</v>
      </c>
      <c r="L147" s="13">
        <f t="shared" si="48"/>
        <v>39118.044000000009</v>
      </c>
      <c r="M147" s="13">
        <f t="shared" si="48"/>
        <v>39054.822240000009</v>
      </c>
      <c r="N147" s="13">
        <f t="shared" si="48"/>
        <v>247644.12935040001</v>
      </c>
      <c r="O147" s="13">
        <f t="shared" si="48"/>
        <v>247585.86417638403</v>
      </c>
      <c r="P147" s="13">
        <f t="shared" si="48"/>
        <v>247529.92960932865</v>
      </c>
      <c r="Q147" s="13">
        <f t="shared" si="48"/>
        <v>247476.23242495549</v>
      </c>
      <c r="R147" s="13">
        <f t="shared" si="48"/>
        <v>247424.68312795725</v>
      </c>
      <c r="S147" s="13">
        <f t="shared" si="48"/>
        <v>247375.19580283895</v>
      </c>
      <c r="T147" s="13">
        <f t="shared" si="48"/>
        <v>247327.68797072544</v>
      </c>
      <c r="U147" s="13">
        <f t="shared" si="48"/>
        <v>247282.08045189639</v>
      </c>
      <c r="V147" s="13">
        <f t="shared" si="48"/>
        <v>247238.29723382057</v>
      </c>
      <c r="W147" s="13">
        <f t="shared" si="48"/>
        <v>247196.26534446774</v>
      </c>
      <c r="X147" s="13">
        <f t="shared" si="48"/>
        <v>247155.91473068905</v>
      </c>
      <c r="Y147" s="13">
        <f t="shared" si="48"/>
        <v>247117.17814146151</v>
      </c>
      <c r="Z147" s="13">
        <f t="shared" si="48"/>
        <v>247079.99101580304</v>
      </c>
      <c r="AA147" s="13">
        <f t="shared" si="48"/>
        <v>247044.29137517087</v>
      </c>
      <c r="AB147" s="267">
        <f t="shared" si="48"/>
        <v>367750.4930041011</v>
      </c>
      <c r="AD147" s="372">
        <f>H136</f>
        <v>629526.54724616581</v>
      </c>
      <c r="AE147" s="166">
        <f>H135</f>
        <v>0.39905714395423253</v>
      </c>
    </row>
    <row r="148" spans="7:31" ht="15" thickBot="1" x14ac:dyDescent="0.35">
      <c r="G148" s="35" t="s">
        <v>487</v>
      </c>
      <c r="H148" s="332">
        <f>H146-H147</f>
        <v>-280000</v>
      </c>
      <c r="I148" s="332">
        <f t="shared" ref="I148:AB148" si="49">I146-I147</f>
        <v>96600</v>
      </c>
      <c r="J148" s="332">
        <f t="shared" si="49"/>
        <v>96600</v>
      </c>
      <c r="K148" s="332">
        <f t="shared" si="49"/>
        <v>96600</v>
      </c>
      <c r="L148" s="332">
        <f t="shared" si="49"/>
        <v>96599.999999999985</v>
      </c>
      <c r="M148" s="332">
        <f t="shared" si="49"/>
        <v>96599.999999999971</v>
      </c>
      <c r="N148" s="332">
        <f t="shared" si="49"/>
        <v>96600</v>
      </c>
      <c r="O148" s="332">
        <f t="shared" si="49"/>
        <v>96600.000000000029</v>
      </c>
      <c r="P148" s="332">
        <f t="shared" si="49"/>
        <v>96599.999999999971</v>
      </c>
      <c r="Q148" s="332">
        <f t="shared" si="49"/>
        <v>96599.999999999971</v>
      </c>
      <c r="R148" s="332">
        <f t="shared" si="49"/>
        <v>96599.999999999971</v>
      </c>
      <c r="S148" s="332">
        <f t="shared" si="49"/>
        <v>96600</v>
      </c>
      <c r="T148" s="332">
        <f t="shared" si="49"/>
        <v>96600.000000000029</v>
      </c>
      <c r="U148" s="332">
        <f t="shared" si="49"/>
        <v>96599.999999999971</v>
      </c>
      <c r="V148" s="332">
        <f t="shared" si="49"/>
        <v>96599.999999999971</v>
      </c>
      <c r="W148" s="332">
        <f t="shared" si="49"/>
        <v>96599.999999999971</v>
      </c>
      <c r="X148" s="332">
        <f t="shared" si="49"/>
        <v>96599.999999999971</v>
      </c>
      <c r="Y148" s="332">
        <f t="shared" si="49"/>
        <v>96600</v>
      </c>
      <c r="Z148" s="332">
        <f t="shared" si="49"/>
        <v>96599.999999999971</v>
      </c>
      <c r="AA148" s="332">
        <f t="shared" si="49"/>
        <v>96600.000000000058</v>
      </c>
      <c r="AB148" s="333">
        <f t="shared" si="49"/>
        <v>56600</v>
      </c>
      <c r="AC148" s="133"/>
      <c r="AD148" s="373">
        <f>H148+NPV($H$49,I148:AB148)</f>
        <v>305959.00458878058</v>
      </c>
      <c r="AE148" s="167">
        <f>+IRR(H148:AB148)</f>
        <v>0.34393318382177607</v>
      </c>
    </row>
  </sheetData>
  <mergeCells count="34">
    <mergeCell ref="G143:H144"/>
    <mergeCell ref="A12:B12"/>
    <mergeCell ref="H58:AB58"/>
    <mergeCell ref="H53:AB53"/>
    <mergeCell ref="H54:AB54"/>
    <mergeCell ref="H75:AB75"/>
    <mergeCell ref="H66:AB66"/>
    <mergeCell ref="H63:AB63"/>
    <mergeCell ref="I49:N49"/>
    <mergeCell ref="G50:H51"/>
    <mergeCell ref="H18:AB18"/>
    <mergeCell ref="H19:AB19"/>
    <mergeCell ref="A20:B23"/>
    <mergeCell ref="A24:B24"/>
    <mergeCell ref="A25:B26"/>
    <mergeCell ref="A27:B29"/>
    <mergeCell ref="A30:B30"/>
    <mergeCell ref="A1:B3"/>
    <mergeCell ref="A5:B5"/>
    <mergeCell ref="A6:B6"/>
    <mergeCell ref="H6:AB6"/>
    <mergeCell ref="H7:AB7"/>
    <mergeCell ref="A31:B33"/>
    <mergeCell ref="A34:B36"/>
    <mergeCell ref="A37:B40"/>
    <mergeCell ref="H79:AB79"/>
    <mergeCell ref="G97:H98"/>
    <mergeCell ref="H123:AB123"/>
    <mergeCell ref="H126:AB126"/>
    <mergeCell ref="H100:AB100"/>
    <mergeCell ref="H101:AB101"/>
    <mergeCell ref="H105:AB105"/>
    <mergeCell ref="H110:AB110"/>
    <mergeCell ref="H113:AB113"/>
  </mergeCells>
  <pageMargins left="0.7" right="0.7" top="0.75" bottom="0.75" header="0.3" footer="0.3"/>
  <pageSetup scale="79" fitToWidth="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67A6-F3FE-464F-8665-967B65F1E0EB}">
  <sheetPr>
    <tabColor rgb="FF00B0F0"/>
  </sheetPr>
  <dimension ref="B1:BP128"/>
  <sheetViews>
    <sheetView tabSelected="1" topLeftCell="N1" zoomScale="70" zoomScaleNormal="70" workbookViewId="0">
      <selection activeCell="Z9" sqref="Z9"/>
    </sheetView>
  </sheetViews>
  <sheetFormatPr baseColWidth="10" defaultColWidth="9.109375" defaultRowHeight="14.4" x14ac:dyDescent="0.3"/>
  <cols>
    <col min="3" max="3" width="18.109375" bestFit="1" customWidth="1"/>
    <col min="4" max="5" width="13.44140625" bestFit="1" customWidth="1"/>
    <col min="6" max="6" width="15.5546875" customWidth="1"/>
    <col min="7" max="7" width="14.44140625" bestFit="1" customWidth="1"/>
    <col min="8" max="8" width="14.88671875" bestFit="1" customWidth="1"/>
    <col min="9" max="10" width="15.33203125" customWidth="1"/>
    <col min="11" max="11" width="15.44140625" customWidth="1"/>
    <col min="12" max="12" width="15.109375" customWidth="1"/>
    <col min="14" max="14" width="39.44140625" bestFit="1" customWidth="1"/>
    <col min="15" max="15" width="19.33203125" bestFit="1" customWidth="1"/>
    <col min="16" max="21" width="15.5546875" bestFit="1" customWidth="1"/>
    <col min="22" max="35" width="16.109375" bestFit="1" customWidth="1"/>
    <col min="36" max="36" width="13.33203125" bestFit="1" customWidth="1"/>
    <col min="37" max="37" width="7.5546875" bestFit="1" customWidth="1"/>
    <col min="38" max="38" width="18.109375" bestFit="1" customWidth="1"/>
    <col min="39" max="39" width="24" bestFit="1" customWidth="1"/>
    <col min="40" max="43" width="13.5546875" bestFit="1" customWidth="1"/>
    <col min="44" max="44" width="12.44140625" bestFit="1" customWidth="1"/>
    <col min="45" max="45" width="13.5546875" bestFit="1" customWidth="1"/>
    <col min="46" max="46" width="13.5546875" customWidth="1"/>
    <col min="47" max="48" width="13.5546875" bestFit="1" customWidth="1"/>
    <col min="49" max="49" width="24.6640625" bestFit="1" customWidth="1"/>
    <col min="50" max="60" width="10.88671875" bestFit="1" customWidth="1"/>
    <col min="61" max="61" width="13.5546875" bestFit="1" customWidth="1"/>
  </cols>
  <sheetData>
    <row r="1" spans="3:45" x14ac:dyDescent="0.3">
      <c r="AF1" s="49"/>
      <c r="AG1" s="49"/>
      <c r="AH1" s="49"/>
      <c r="AI1" s="49"/>
      <c r="AJ1" s="49"/>
      <c r="AK1" s="49"/>
      <c r="AL1" s="49"/>
      <c r="AM1" s="49"/>
      <c r="AN1" s="49"/>
      <c r="AO1" s="49"/>
      <c r="AP1" s="49"/>
      <c r="AQ1" s="49"/>
      <c r="AR1" s="49"/>
      <c r="AS1" s="49"/>
    </row>
    <row r="2" spans="3:45" x14ac:dyDescent="0.3">
      <c r="AF2" s="49"/>
      <c r="AG2" s="49"/>
      <c r="AH2" s="49"/>
      <c r="AI2" s="49"/>
      <c r="AJ2" s="49"/>
      <c r="AK2" s="49"/>
      <c r="AL2" s="49"/>
      <c r="AM2" s="49"/>
      <c r="AN2" s="49"/>
      <c r="AO2" s="49"/>
      <c r="AP2" s="49"/>
      <c r="AQ2" s="49"/>
      <c r="AR2" s="49"/>
      <c r="AS2" s="49"/>
    </row>
    <row r="3" spans="3:45" ht="18.600000000000001" thickBot="1" x14ac:dyDescent="0.4">
      <c r="C3" s="510" t="s">
        <v>277</v>
      </c>
      <c r="D3" s="510"/>
      <c r="E3" s="510"/>
      <c r="F3" s="510"/>
      <c r="G3" s="510"/>
      <c r="H3" s="228"/>
      <c r="I3" s="228"/>
      <c r="J3" s="228"/>
      <c r="K3" s="228"/>
      <c r="L3" s="228"/>
      <c r="AF3" s="49"/>
      <c r="AG3" s="49"/>
      <c r="AH3" s="49"/>
      <c r="AI3" s="49"/>
      <c r="AJ3" s="49"/>
      <c r="AK3" s="49"/>
      <c r="AL3" s="49"/>
      <c r="AM3" s="49"/>
      <c r="AN3" s="49"/>
      <c r="AO3" s="49"/>
      <c r="AP3" s="49"/>
      <c r="AQ3" s="49"/>
      <c r="AR3" s="49"/>
      <c r="AS3" s="49"/>
    </row>
    <row r="4" spans="3:45" ht="15" thickBot="1" x14ac:dyDescent="0.35">
      <c r="C4" s="383" t="s">
        <v>278</v>
      </c>
      <c r="D4" s="384" t="s">
        <v>279</v>
      </c>
      <c r="E4" s="384" t="s">
        <v>280</v>
      </c>
      <c r="F4" s="384" t="s">
        <v>281</v>
      </c>
      <c r="G4" s="385" t="s">
        <v>282</v>
      </c>
      <c r="H4" s="228"/>
      <c r="I4" s="228"/>
      <c r="J4" s="228"/>
      <c r="K4" s="228"/>
      <c r="L4" s="228"/>
      <c r="AF4" s="49"/>
      <c r="AG4" s="49"/>
      <c r="AH4" s="49"/>
      <c r="AI4" s="49"/>
      <c r="AJ4" s="49"/>
      <c r="AK4" s="49"/>
      <c r="AL4" s="49"/>
      <c r="AM4" s="49"/>
      <c r="AN4" s="49"/>
      <c r="AO4" s="49"/>
      <c r="AP4" s="49"/>
      <c r="AQ4" s="49"/>
      <c r="AR4" s="49"/>
      <c r="AS4" s="49"/>
    </row>
    <row r="5" spans="3:45" x14ac:dyDescent="0.3">
      <c r="C5" s="386" t="s">
        <v>283</v>
      </c>
      <c r="D5" s="387" t="s">
        <v>284</v>
      </c>
      <c r="E5" s="388">
        <v>125</v>
      </c>
      <c r="F5" s="389" t="s">
        <v>285</v>
      </c>
      <c r="G5" s="390">
        <f>$E$5*$D$13*12*$D$12</f>
        <v>11250000</v>
      </c>
      <c r="H5" s="228"/>
      <c r="I5" s="228"/>
      <c r="J5" s="228"/>
      <c r="K5" s="228"/>
      <c r="L5" s="228"/>
      <c r="Z5" t="s">
        <v>494</v>
      </c>
      <c r="AF5" s="49"/>
      <c r="AG5" s="49"/>
      <c r="AH5" s="49"/>
      <c r="AI5" s="49"/>
      <c r="AJ5" s="49"/>
      <c r="AK5" s="49"/>
      <c r="AL5" s="49"/>
      <c r="AM5" s="49"/>
      <c r="AN5" s="49"/>
      <c r="AO5" s="49"/>
      <c r="AP5" s="49"/>
      <c r="AQ5" s="49"/>
      <c r="AR5" s="49"/>
      <c r="AS5" s="49"/>
    </row>
    <row r="6" spans="3:45" x14ac:dyDescent="0.3">
      <c r="C6" s="391" t="s">
        <v>286</v>
      </c>
      <c r="D6" s="392" t="s">
        <v>287</v>
      </c>
      <c r="E6" s="393">
        <v>1000</v>
      </c>
      <c r="F6" s="394" t="s">
        <v>288</v>
      </c>
      <c r="G6" s="395">
        <f>$E$6*12*$D$12</f>
        <v>240000</v>
      </c>
      <c r="H6" s="228"/>
      <c r="I6" s="228"/>
      <c r="J6" s="228"/>
      <c r="K6" s="228"/>
      <c r="L6" s="228"/>
      <c r="Z6" t="s">
        <v>495</v>
      </c>
      <c r="AF6" s="49"/>
      <c r="AG6" s="49"/>
      <c r="AH6" s="49"/>
      <c r="AI6" s="49"/>
      <c r="AJ6" s="49"/>
      <c r="AK6" s="49"/>
      <c r="AM6" s="49"/>
      <c r="AN6" s="49"/>
      <c r="AO6" s="49"/>
      <c r="AP6" s="49"/>
      <c r="AQ6" s="49"/>
      <c r="AR6" s="49"/>
      <c r="AS6" s="49"/>
    </row>
    <row r="7" spans="3:45" x14ac:dyDescent="0.3">
      <c r="C7" s="391" t="s">
        <v>289</v>
      </c>
      <c r="D7" s="392" t="s">
        <v>290</v>
      </c>
      <c r="E7" s="393">
        <v>8</v>
      </c>
      <c r="F7" s="394" t="s">
        <v>285</v>
      </c>
      <c r="G7" s="395">
        <f>$E$7*$D$13*12*$D$12</f>
        <v>720000</v>
      </c>
      <c r="H7" s="228"/>
      <c r="I7" s="228"/>
      <c r="J7" s="228"/>
      <c r="K7" s="228"/>
      <c r="L7" s="228"/>
      <c r="Z7" t="s">
        <v>493</v>
      </c>
      <c r="AF7" s="49"/>
      <c r="AG7" s="49"/>
      <c r="AH7" s="49"/>
      <c r="AI7" s="49"/>
      <c r="AJ7" s="49"/>
      <c r="AK7" s="49"/>
      <c r="AL7" s="49"/>
      <c r="AM7" s="49"/>
      <c r="AN7" s="49"/>
      <c r="AO7" s="49"/>
      <c r="AP7" s="49"/>
      <c r="AQ7" s="49"/>
      <c r="AR7" s="49"/>
      <c r="AS7" s="49"/>
    </row>
    <row r="8" spans="3:45" x14ac:dyDescent="0.3">
      <c r="C8" s="391" t="s">
        <v>291</v>
      </c>
      <c r="D8" s="392" t="s">
        <v>292</v>
      </c>
      <c r="E8" s="393">
        <v>10</v>
      </c>
      <c r="F8" s="394" t="s">
        <v>285</v>
      </c>
      <c r="G8" s="395">
        <f>$E$8*$D$13*12*$D$12</f>
        <v>900000</v>
      </c>
      <c r="H8" s="228"/>
      <c r="I8" s="228"/>
      <c r="J8" s="228"/>
      <c r="K8" s="228"/>
      <c r="L8" s="228"/>
      <c r="Z8" t="s">
        <v>491</v>
      </c>
      <c r="AF8" s="49"/>
      <c r="AG8" s="49"/>
      <c r="AH8" s="49"/>
      <c r="AI8" s="49"/>
      <c r="AJ8" s="49"/>
      <c r="AK8" s="49"/>
      <c r="AL8" s="49"/>
      <c r="AM8" s="49"/>
      <c r="AN8" s="49"/>
      <c r="AO8" s="49"/>
      <c r="AP8" s="49"/>
      <c r="AQ8" s="49"/>
      <c r="AR8" s="49"/>
      <c r="AS8" s="49"/>
    </row>
    <row r="9" spans="3:45" ht="15" thickBot="1" x14ac:dyDescent="0.35">
      <c r="C9" s="396" t="s">
        <v>293</v>
      </c>
      <c r="D9" s="397" t="s">
        <v>294</v>
      </c>
      <c r="E9" s="408" t="e">
        <f>#REF!</f>
        <v>#REF!</v>
      </c>
      <c r="F9" s="398" t="s">
        <v>295</v>
      </c>
      <c r="G9" s="399" t="e">
        <f>$E$9</f>
        <v>#REF!</v>
      </c>
      <c r="H9" s="228"/>
      <c r="I9" s="228"/>
      <c r="J9" s="228"/>
      <c r="K9" s="228"/>
      <c r="L9" s="228"/>
      <c r="Z9" t="s">
        <v>510</v>
      </c>
      <c r="AF9" s="49"/>
      <c r="AG9" s="49"/>
      <c r="AH9" s="49"/>
      <c r="AI9" s="49"/>
      <c r="AJ9" s="49"/>
      <c r="AK9" s="49"/>
      <c r="AL9" s="49"/>
      <c r="AM9" s="49"/>
      <c r="AN9" s="49"/>
      <c r="AO9" s="49"/>
      <c r="AP9" s="49"/>
      <c r="AQ9" s="49"/>
      <c r="AR9" s="49"/>
      <c r="AS9" s="49"/>
    </row>
    <row r="10" spans="3:45" x14ac:dyDescent="0.3">
      <c r="C10" s="228"/>
      <c r="D10" s="400"/>
      <c r="E10" s="228"/>
      <c r="F10" s="228"/>
      <c r="G10" s="228"/>
      <c r="H10" s="228"/>
      <c r="I10" s="228"/>
      <c r="J10" s="228"/>
      <c r="K10" s="228"/>
      <c r="L10" s="228"/>
      <c r="Z10" t="s">
        <v>492</v>
      </c>
      <c r="AF10" s="49"/>
      <c r="AG10" s="49"/>
      <c r="AH10" s="49"/>
      <c r="AI10" s="49"/>
      <c r="AJ10" s="49"/>
      <c r="AK10" s="49"/>
      <c r="AL10" s="49"/>
      <c r="AM10" s="49"/>
      <c r="AN10" s="49"/>
      <c r="AO10" s="49"/>
      <c r="AP10" s="49"/>
      <c r="AQ10" s="49"/>
      <c r="AR10" s="49"/>
      <c r="AS10" s="49"/>
    </row>
    <row r="11" spans="3:45" x14ac:dyDescent="0.3">
      <c r="C11" s="228"/>
      <c r="D11" s="400"/>
      <c r="E11" s="228"/>
      <c r="F11" s="228"/>
      <c r="G11" s="228"/>
      <c r="H11" s="228"/>
      <c r="I11" s="228"/>
      <c r="J11" s="228"/>
      <c r="K11" s="228"/>
      <c r="L11" s="228"/>
      <c r="AF11" s="49"/>
      <c r="AG11" s="49"/>
      <c r="AH11" s="49"/>
      <c r="AI11" s="49"/>
      <c r="AJ11" s="49"/>
      <c r="AK11" s="49"/>
      <c r="AL11" s="49"/>
      <c r="AM11" s="49"/>
      <c r="AN11" s="49"/>
      <c r="AO11" s="49"/>
      <c r="AP11" s="49"/>
      <c r="AQ11" s="49"/>
      <c r="AR11" s="49"/>
      <c r="AS11" s="49"/>
    </row>
    <row r="12" spans="3:45" x14ac:dyDescent="0.3">
      <c r="C12" s="228" t="s">
        <v>296</v>
      </c>
      <c r="D12" s="400">
        <v>20</v>
      </c>
      <c r="E12" s="228" t="s">
        <v>297</v>
      </c>
      <c r="F12" s="228"/>
      <c r="G12" s="228"/>
      <c r="H12" s="228"/>
      <c r="I12" s="228"/>
      <c r="J12" s="228"/>
      <c r="K12" s="228"/>
      <c r="L12" s="228"/>
      <c r="AF12" s="49"/>
      <c r="AG12" s="49"/>
      <c r="AH12" s="49"/>
      <c r="AI12" s="49"/>
      <c r="AJ12" s="49"/>
      <c r="AK12" s="49"/>
      <c r="AL12" s="49"/>
      <c r="AM12" s="49"/>
      <c r="AN12" s="49"/>
      <c r="AO12" s="49"/>
      <c r="AP12" s="49"/>
      <c r="AQ12" s="49"/>
      <c r="AR12" s="49"/>
      <c r="AS12" s="49"/>
    </row>
    <row r="13" spans="3:45" x14ac:dyDescent="0.3">
      <c r="C13" s="228" t="s">
        <v>298</v>
      </c>
      <c r="D13" s="400">
        <v>375</v>
      </c>
      <c r="E13" s="228" t="s">
        <v>288</v>
      </c>
      <c r="F13" s="228"/>
      <c r="G13" s="228"/>
      <c r="H13" s="228"/>
      <c r="I13" s="228"/>
      <c r="J13" s="228"/>
      <c r="K13" s="228"/>
      <c r="L13" s="228"/>
    </row>
    <row r="14" spans="3:45" x14ac:dyDescent="0.3">
      <c r="C14" s="228" t="s">
        <v>299</v>
      </c>
      <c r="D14" s="233">
        <v>0.35</v>
      </c>
      <c r="E14" s="228" t="s">
        <v>300</v>
      </c>
      <c r="F14" s="228"/>
      <c r="G14" s="228"/>
      <c r="H14" s="228"/>
      <c r="I14" s="228"/>
      <c r="J14" s="228"/>
      <c r="K14" s="228"/>
      <c r="L14" s="228"/>
    </row>
    <row r="15" spans="3:45" ht="18.600000000000001" thickBot="1" x14ac:dyDescent="0.4">
      <c r="C15" s="511" t="s">
        <v>301</v>
      </c>
      <c r="D15" s="511"/>
      <c r="E15" s="511"/>
      <c r="F15" s="511"/>
      <c r="G15" s="511"/>
      <c r="H15" s="511"/>
      <c r="I15" s="511"/>
      <c r="J15" s="511"/>
      <c r="K15" s="511"/>
      <c r="L15" s="511"/>
    </row>
    <row r="16" spans="3:45" ht="15" thickBot="1" x14ac:dyDescent="0.35">
      <c r="C16" s="75"/>
      <c r="D16" s="401">
        <v>-0.2</v>
      </c>
      <c r="E16" s="402">
        <v>-0.15</v>
      </c>
      <c r="F16" s="402">
        <v>-0.1</v>
      </c>
      <c r="G16" s="402">
        <v>-0.05</v>
      </c>
      <c r="H16" s="402">
        <v>0</v>
      </c>
      <c r="I16" s="402">
        <v>0.05</v>
      </c>
      <c r="J16" s="402">
        <v>0.1</v>
      </c>
      <c r="K16" s="402">
        <v>0.15</v>
      </c>
      <c r="L16" s="403">
        <v>0.2</v>
      </c>
    </row>
    <row r="17" spans="2:50" x14ac:dyDescent="0.3">
      <c r="C17" s="391" t="str">
        <f>D5</f>
        <v>Px</v>
      </c>
      <c r="D17" s="404">
        <f t="shared" ref="D17:L21" si="0">VLOOKUP($C17,RISQUE,4,FALSE) * (1+D$16)</f>
        <v>9000000</v>
      </c>
      <c r="E17" s="388">
        <f t="shared" si="0"/>
        <v>9562500</v>
      </c>
      <c r="F17" s="388">
        <f t="shared" si="0"/>
        <v>10125000</v>
      </c>
      <c r="G17" s="388">
        <f t="shared" si="0"/>
        <v>10687500</v>
      </c>
      <c r="H17" s="388">
        <f t="shared" si="0"/>
        <v>11250000</v>
      </c>
      <c r="I17" s="388">
        <f t="shared" si="0"/>
        <v>11812500</v>
      </c>
      <c r="J17" s="388">
        <f t="shared" si="0"/>
        <v>12375000.000000002</v>
      </c>
      <c r="K17" s="388">
        <f t="shared" si="0"/>
        <v>12937499.999999998</v>
      </c>
      <c r="L17" s="390">
        <f t="shared" si="0"/>
        <v>13500000</v>
      </c>
    </row>
    <row r="18" spans="2:50" x14ac:dyDescent="0.3">
      <c r="C18" s="391" t="str">
        <f t="shared" ref="C18:C21" si="1">D6</f>
        <v>Cf</v>
      </c>
      <c r="D18" s="405">
        <f t="shared" si="0"/>
        <v>192000</v>
      </c>
      <c r="E18" s="393">
        <f t="shared" si="0"/>
        <v>204000</v>
      </c>
      <c r="F18" s="393">
        <f t="shared" si="0"/>
        <v>216000</v>
      </c>
      <c r="G18" s="393">
        <f t="shared" si="0"/>
        <v>228000</v>
      </c>
      <c r="H18" s="393">
        <f t="shared" si="0"/>
        <v>240000</v>
      </c>
      <c r="I18" s="393">
        <f t="shared" si="0"/>
        <v>252000</v>
      </c>
      <c r="J18" s="393">
        <f t="shared" si="0"/>
        <v>264000</v>
      </c>
      <c r="K18" s="393">
        <f t="shared" si="0"/>
        <v>276000</v>
      </c>
      <c r="L18" s="395">
        <f t="shared" si="0"/>
        <v>288000</v>
      </c>
    </row>
    <row r="19" spans="2:50" x14ac:dyDescent="0.3">
      <c r="C19" s="391" t="str">
        <f t="shared" si="1"/>
        <v>Cx</v>
      </c>
      <c r="D19" s="405">
        <f t="shared" si="0"/>
        <v>576000</v>
      </c>
      <c r="E19" s="393">
        <f t="shared" si="0"/>
        <v>612000</v>
      </c>
      <c r="F19" s="393">
        <f t="shared" si="0"/>
        <v>648000</v>
      </c>
      <c r="G19" s="393">
        <f t="shared" si="0"/>
        <v>684000</v>
      </c>
      <c r="H19" s="393">
        <f t="shared" si="0"/>
        <v>720000</v>
      </c>
      <c r="I19" s="393">
        <f t="shared" si="0"/>
        <v>756000</v>
      </c>
      <c r="J19" s="393">
        <f t="shared" si="0"/>
        <v>792000.00000000012</v>
      </c>
      <c r="K19" s="393">
        <f t="shared" si="0"/>
        <v>827999.99999999988</v>
      </c>
      <c r="L19" s="395">
        <f t="shared" si="0"/>
        <v>864000</v>
      </c>
    </row>
    <row r="20" spans="2:50" x14ac:dyDescent="0.3">
      <c r="C20" s="391" t="str">
        <f t="shared" si="1"/>
        <v>Rx</v>
      </c>
      <c r="D20" s="405">
        <f t="shared" si="0"/>
        <v>720000</v>
      </c>
      <c r="E20" s="393">
        <f t="shared" si="0"/>
        <v>765000</v>
      </c>
      <c r="F20" s="393">
        <f t="shared" si="0"/>
        <v>810000</v>
      </c>
      <c r="G20" s="393">
        <f t="shared" si="0"/>
        <v>855000</v>
      </c>
      <c r="H20" s="393">
        <f t="shared" si="0"/>
        <v>900000</v>
      </c>
      <c r="I20" s="393">
        <f t="shared" si="0"/>
        <v>945000</v>
      </c>
      <c r="J20" s="393">
        <f t="shared" si="0"/>
        <v>990000.00000000012</v>
      </c>
      <c r="K20" s="393">
        <f t="shared" si="0"/>
        <v>1034999.9999999999</v>
      </c>
      <c r="L20" s="395">
        <f t="shared" si="0"/>
        <v>1080000</v>
      </c>
    </row>
    <row r="21" spans="2:50" ht="15" thickBot="1" x14ac:dyDescent="0.35">
      <c r="C21" s="396" t="str">
        <f t="shared" si="1"/>
        <v>Sx</v>
      </c>
      <c r="D21" s="406" t="e">
        <f t="shared" si="0"/>
        <v>#REF!</v>
      </c>
      <c r="E21" s="407" t="e">
        <f t="shared" si="0"/>
        <v>#REF!</v>
      </c>
      <c r="F21" s="407" t="e">
        <f t="shared" si="0"/>
        <v>#REF!</v>
      </c>
      <c r="G21" s="407" t="e">
        <f t="shared" si="0"/>
        <v>#REF!</v>
      </c>
      <c r="H21" s="407" t="e">
        <f t="shared" si="0"/>
        <v>#REF!</v>
      </c>
      <c r="I21" s="407" t="e">
        <f t="shared" si="0"/>
        <v>#REF!</v>
      </c>
      <c r="J21" s="407" t="e">
        <f t="shared" si="0"/>
        <v>#REF!</v>
      </c>
      <c r="K21" s="407" t="e">
        <f t="shared" si="0"/>
        <v>#REF!</v>
      </c>
      <c r="L21" s="399" t="e">
        <f t="shared" si="0"/>
        <v>#REF!</v>
      </c>
    </row>
    <row r="22" spans="2:50" ht="15" thickBot="1" x14ac:dyDescent="0.35"/>
    <row r="23" spans="2:50" ht="18.600000000000001" thickBot="1" x14ac:dyDescent="0.4">
      <c r="B23" s="59"/>
      <c r="C23" s="512" t="s">
        <v>302</v>
      </c>
      <c r="D23" s="512"/>
      <c r="E23" s="512"/>
      <c r="F23" s="512"/>
      <c r="G23" s="512"/>
      <c r="H23" s="512"/>
      <c r="I23" s="512"/>
      <c r="J23" s="512"/>
      <c r="K23" s="512"/>
      <c r="L23" s="512"/>
      <c r="M23" s="183"/>
    </row>
    <row r="24" spans="2:50" ht="15" thickBot="1" x14ac:dyDescent="0.35">
      <c r="B24" s="34"/>
      <c r="C24" s="151"/>
      <c r="D24" s="152">
        <f t="shared" ref="D24:L24" si="2">D16</f>
        <v>-0.2</v>
      </c>
      <c r="E24" s="153">
        <f t="shared" si="2"/>
        <v>-0.15</v>
      </c>
      <c r="F24" s="153">
        <f t="shared" si="2"/>
        <v>-0.1</v>
      </c>
      <c r="G24" s="153">
        <f t="shared" si="2"/>
        <v>-0.05</v>
      </c>
      <c r="H24" s="153">
        <f t="shared" si="2"/>
        <v>0</v>
      </c>
      <c r="I24" s="153">
        <f t="shared" si="2"/>
        <v>0.05</v>
      </c>
      <c r="J24" s="153">
        <f t="shared" si="2"/>
        <v>0.1</v>
      </c>
      <c r="K24" s="153">
        <f t="shared" si="2"/>
        <v>0.15</v>
      </c>
      <c r="L24" s="154">
        <f t="shared" si="2"/>
        <v>0.2</v>
      </c>
      <c r="M24" s="184"/>
    </row>
    <row r="25" spans="2:50" x14ac:dyDescent="0.3">
      <c r="B25" s="34"/>
      <c r="C25" s="141" t="str">
        <f>C17</f>
        <v>Px</v>
      </c>
      <c r="D25" s="144">
        <f t="shared" ref="D25:L25" si="3">VLOOKUP($C17,RISQUE,2,FALSE) * (1+D$16)</f>
        <v>100</v>
      </c>
      <c r="E25" s="145">
        <f t="shared" si="3"/>
        <v>106.25</v>
      </c>
      <c r="F25" s="145">
        <f t="shared" si="3"/>
        <v>112.5</v>
      </c>
      <c r="G25" s="145">
        <f t="shared" si="3"/>
        <v>118.75</v>
      </c>
      <c r="H25" s="145">
        <f t="shared" si="3"/>
        <v>125</v>
      </c>
      <c r="I25" s="145">
        <f t="shared" si="3"/>
        <v>131.25</v>
      </c>
      <c r="J25" s="145">
        <f t="shared" si="3"/>
        <v>137.5</v>
      </c>
      <c r="K25" s="145">
        <f t="shared" si="3"/>
        <v>143.75</v>
      </c>
      <c r="L25" s="146">
        <f t="shared" si="3"/>
        <v>150</v>
      </c>
      <c r="M25" s="184"/>
    </row>
    <row r="26" spans="2:50" x14ac:dyDescent="0.3">
      <c r="B26" s="34"/>
      <c r="C26" s="142" t="str">
        <f>C18</f>
        <v>Cf</v>
      </c>
      <c r="D26" s="147">
        <f t="shared" ref="D26:L26" si="4">VLOOKUP($C18,RISQUE,2,FALSE) * (1+D$16)</f>
        <v>800</v>
      </c>
      <c r="E26" s="66">
        <f t="shared" si="4"/>
        <v>850</v>
      </c>
      <c r="F26" s="66">
        <f t="shared" si="4"/>
        <v>900</v>
      </c>
      <c r="G26" s="66">
        <f t="shared" si="4"/>
        <v>950</v>
      </c>
      <c r="H26" s="66">
        <f t="shared" si="4"/>
        <v>1000</v>
      </c>
      <c r="I26" s="66">
        <f t="shared" si="4"/>
        <v>1050</v>
      </c>
      <c r="J26" s="66">
        <f t="shared" si="4"/>
        <v>1100</v>
      </c>
      <c r="K26" s="66">
        <f t="shared" si="4"/>
        <v>1150</v>
      </c>
      <c r="L26" s="148">
        <f t="shared" si="4"/>
        <v>1200</v>
      </c>
      <c r="M26" s="184"/>
    </row>
    <row r="27" spans="2:50" x14ac:dyDescent="0.3">
      <c r="B27" s="34"/>
      <c r="C27" s="142" t="str">
        <f>C19</f>
        <v>Cx</v>
      </c>
      <c r="D27" s="147">
        <f t="shared" ref="D27:L27" si="5">VLOOKUP($C19,RISQUE,2,FALSE) * (1+D$16)</f>
        <v>6.4</v>
      </c>
      <c r="E27" s="66">
        <f t="shared" si="5"/>
        <v>6.8</v>
      </c>
      <c r="F27" s="66">
        <f t="shared" si="5"/>
        <v>7.2</v>
      </c>
      <c r="G27" s="66">
        <f t="shared" si="5"/>
        <v>7.6</v>
      </c>
      <c r="H27" s="66">
        <f t="shared" si="5"/>
        <v>8</v>
      </c>
      <c r="I27" s="66">
        <f t="shared" si="5"/>
        <v>8.4</v>
      </c>
      <c r="J27" s="66">
        <f t="shared" si="5"/>
        <v>8.8000000000000007</v>
      </c>
      <c r="K27" s="66">
        <f t="shared" si="5"/>
        <v>9.1999999999999993</v>
      </c>
      <c r="L27" s="148">
        <f t="shared" si="5"/>
        <v>9.6</v>
      </c>
      <c r="M27" s="184"/>
    </row>
    <row r="28" spans="2:50" x14ac:dyDescent="0.3">
      <c r="B28" s="34"/>
      <c r="C28" s="142" t="s">
        <v>490</v>
      </c>
      <c r="D28" s="147">
        <f>ROUND(Q_item*(1+D24),0)</f>
        <v>300</v>
      </c>
      <c r="E28" s="66">
        <f>ROUND(Q_item*(1+E24),0)</f>
        <v>319</v>
      </c>
      <c r="F28" s="66">
        <f>ROUND(Q_item*(1+F24),0)</f>
        <v>338</v>
      </c>
      <c r="G28" s="66">
        <f>ROUND(Q_item*(1+G24),0)</f>
        <v>356</v>
      </c>
      <c r="H28" s="66">
        <v>375</v>
      </c>
      <c r="I28" s="66">
        <f>ROUND(Q_item*(1+I24),0)</f>
        <v>394</v>
      </c>
      <c r="J28" s="66">
        <f>ROUND(Q_item*(1+J24),0)</f>
        <v>413</v>
      </c>
      <c r="K28" s="66">
        <f>ROUND(Q_item*(1+K24),0)</f>
        <v>431</v>
      </c>
      <c r="L28" s="148">
        <f>ROUND(Q_item*(1+L24),0)</f>
        <v>450</v>
      </c>
      <c r="M28" s="184"/>
    </row>
    <row r="29" spans="2:50" x14ac:dyDescent="0.3">
      <c r="B29" s="34"/>
      <c r="C29" s="142" t="str">
        <f>C20</f>
        <v>Rx</v>
      </c>
      <c r="D29" s="147">
        <f t="shared" ref="D29:L29" si="6">VLOOKUP($C20,RISQUE,2,FALSE) * (1+D$16)</f>
        <v>8</v>
      </c>
      <c r="E29" s="66">
        <f t="shared" si="6"/>
        <v>8.5</v>
      </c>
      <c r="F29" s="66">
        <f t="shared" si="6"/>
        <v>9</v>
      </c>
      <c r="G29" s="66">
        <f t="shared" si="6"/>
        <v>9.5</v>
      </c>
      <c r="H29" s="66">
        <f t="shared" si="6"/>
        <v>10</v>
      </c>
      <c r="I29" s="66">
        <f t="shared" si="6"/>
        <v>10.5</v>
      </c>
      <c r="J29" s="66">
        <f t="shared" si="6"/>
        <v>11</v>
      </c>
      <c r="K29" s="66">
        <f t="shared" si="6"/>
        <v>11.5</v>
      </c>
      <c r="L29" s="148">
        <f t="shared" si="6"/>
        <v>12</v>
      </c>
      <c r="M29" s="184"/>
    </row>
    <row r="30" spans="2:50" ht="15" thickBot="1" x14ac:dyDescent="0.35">
      <c r="B30" s="34"/>
      <c r="C30" s="143" t="str">
        <f>C21</f>
        <v>Sx</v>
      </c>
      <c r="D30" s="149" t="e">
        <f t="shared" ref="D30:L30" si="7">VLOOKUP($C21,RISQUE,2,FALSE) * (1+D$16)</f>
        <v>#REF!</v>
      </c>
      <c r="E30" s="68" t="e">
        <f t="shared" si="7"/>
        <v>#REF!</v>
      </c>
      <c r="F30" s="68" t="e">
        <f t="shared" si="7"/>
        <v>#REF!</v>
      </c>
      <c r="G30" s="68" t="e">
        <f t="shared" si="7"/>
        <v>#REF!</v>
      </c>
      <c r="H30" s="68" t="e">
        <f t="shared" si="7"/>
        <v>#REF!</v>
      </c>
      <c r="I30" s="68" t="e">
        <f t="shared" si="7"/>
        <v>#REF!</v>
      </c>
      <c r="J30" s="68" t="e">
        <f t="shared" si="7"/>
        <v>#REF!</v>
      </c>
      <c r="K30" s="68" t="e">
        <f t="shared" si="7"/>
        <v>#REF!</v>
      </c>
      <c r="L30" s="150" t="e">
        <f t="shared" si="7"/>
        <v>#REF!</v>
      </c>
      <c r="M30" s="184"/>
    </row>
    <row r="31" spans="2:50" ht="24" thickBot="1" x14ac:dyDescent="0.5">
      <c r="B31" s="35"/>
      <c r="C31" s="133"/>
      <c r="D31" s="133"/>
      <c r="E31" s="133"/>
      <c r="F31" s="133"/>
      <c r="G31" s="133"/>
      <c r="H31" s="133"/>
      <c r="I31" s="133"/>
      <c r="J31" s="133"/>
      <c r="K31" s="133"/>
      <c r="L31" s="133"/>
      <c r="M31" s="185"/>
      <c r="N31" s="513" t="s">
        <v>303</v>
      </c>
      <c r="O31" s="513"/>
      <c r="P31" s="513"/>
      <c r="Q31" s="513"/>
      <c r="R31" s="513"/>
      <c r="S31" s="513"/>
      <c r="T31" s="513"/>
      <c r="U31" s="513"/>
      <c r="V31" s="513"/>
      <c r="W31" s="513"/>
      <c r="X31" s="513"/>
      <c r="Y31" s="513"/>
      <c r="Z31" s="513"/>
      <c r="AA31" s="513"/>
      <c r="AB31" s="513"/>
      <c r="AC31" s="513"/>
      <c r="AD31" s="513"/>
      <c r="AE31" s="513"/>
      <c r="AF31" s="513"/>
      <c r="AG31" s="513"/>
      <c r="AH31" s="513"/>
      <c r="AI31" s="513"/>
      <c r="AL31" s="59"/>
      <c r="AM31" s="157"/>
      <c r="AN31" s="157"/>
      <c r="AO31" s="157"/>
      <c r="AP31" s="157"/>
      <c r="AQ31" s="157"/>
      <c r="AR31" s="157"/>
      <c r="AS31" s="157"/>
      <c r="AT31" s="157"/>
      <c r="AU31" s="157"/>
      <c r="AV31" s="157"/>
      <c r="AW31" s="157"/>
      <c r="AX31" s="183"/>
    </row>
    <row r="32" spans="2:50" ht="29.4" thickBot="1" x14ac:dyDescent="0.35">
      <c r="O32" s="78"/>
      <c r="P32" s="78"/>
      <c r="Q32" s="78"/>
      <c r="R32" s="78"/>
      <c r="S32" s="78"/>
      <c r="T32" s="78"/>
      <c r="U32" s="78"/>
      <c r="V32" s="78"/>
      <c r="W32" s="78"/>
      <c r="X32" s="78"/>
      <c r="Y32" s="78"/>
      <c r="Z32" s="78"/>
      <c r="AA32" s="78"/>
      <c r="AB32" s="78"/>
      <c r="AC32" s="78"/>
      <c r="AD32" s="78"/>
      <c r="AE32" s="78"/>
      <c r="AF32" s="78"/>
      <c r="AG32" s="78"/>
      <c r="AH32" s="78"/>
      <c r="AI32" s="78"/>
      <c r="AL32" s="34"/>
      <c r="AM32" s="432" t="s">
        <v>496</v>
      </c>
      <c r="AN32" s="429">
        <v>-0.2</v>
      </c>
      <c r="AO32" s="430">
        <v>-0.15</v>
      </c>
      <c r="AP32" s="430">
        <v>-0.1</v>
      </c>
      <c r="AQ32" s="430">
        <v>-0.05</v>
      </c>
      <c r="AR32" s="430">
        <v>0</v>
      </c>
      <c r="AS32" s="430">
        <v>0.05</v>
      </c>
      <c r="AT32" s="430">
        <v>0.1</v>
      </c>
      <c r="AU32" s="430">
        <v>0.15</v>
      </c>
      <c r="AV32" s="430">
        <v>0.2</v>
      </c>
      <c r="AW32" s="431" t="s">
        <v>511</v>
      </c>
      <c r="AX32" s="184"/>
    </row>
    <row r="33" spans="14:50" x14ac:dyDescent="0.3">
      <c r="AL33" s="34"/>
      <c r="AM33" s="426" t="s">
        <v>498</v>
      </c>
      <c r="AN33" s="423">
        <f t="shared" ref="AN33:AV33" si="8">Px*(1+AN32)</f>
        <v>100</v>
      </c>
      <c r="AO33" s="145">
        <f t="shared" si="8"/>
        <v>106.25</v>
      </c>
      <c r="AP33" s="145">
        <f t="shared" si="8"/>
        <v>112.5</v>
      </c>
      <c r="AQ33" s="145">
        <f t="shared" si="8"/>
        <v>118.75</v>
      </c>
      <c r="AR33" s="145">
        <f t="shared" si="8"/>
        <v>125</v>
      </c>
      <c r="AS33" s="145">
        <f t="shared" si="8"/>
        <v>131.25</v>
      </c>
      <c r="AT33" s="145">
        <f t="shared" si="8"/>
        <v>137.5</v>
      </c>
      <c r="AU33" s="145">
        <f t="shared" si="8"/>
        <v>143.75</v>
      </c>
      <c r="AV33" s="145">
        <f t="shared" si="8"/>
        <v>150</v>
      </c>
      <c r="AW33" s="514" t="str">
        <f>Z5</f>
        <v>Px = 2226294.87x + 991418</v>
      </c>
      <c r="AX33" s="184"/>
    </row>
    <row r="34" spans="14:50" ht="15" thickBot="1" x14ac:dyDescent="0.35">
      <c r="AL34" s="34"/>
      <c r="AM34" s="192" t="s">
        <v>499</v>
      </c>
      <c r="AN34" s="73">
        <f>AO74</f>
        <v>546159.36493156548</v>
      </c>
      <c r="AO34" s="67">
        <f t="shared" ref="AO34:AV34" si="9">AP74</f>
        <v>657474.10852209281</v>
      </c>
      <c r="AP34" s="67">
        <f t="shared" si="9"/>
        <v>768788.85211262025</v>
      </c>
      <c r="AQ34" s="67">
        <f t="shared" si="9"/>
        <v>880103.59570314782</v>
      </c>
      <c r="AR34" s="67">
        <f t="shared" si="9"/>
        <v>991418.33929367526</v>
      </c>
      <c r="AS34" s="67">
        <f t="shared" si="9"/>
        <v>1102733.0828842025</v>
      </c>
      <c r="AT34" s="67">
        <f t="shared" si="9"/>
        <v>1214047.8264747302</v>
      </c>
      <c r="AU34" s="67">
        <f t="shared" si="9"/>
        <v>1325362.5700652574</v>
      </c>
      <c r="AV34" s="67">
        <f t="shared" si="9"/>
        <v>1436677.3136557846</v>
      </c>
      <c r="AW34" s="515"/>
      <c r="AX34" s="184"/>
    </row>
    <row r="35" spans="14:50" ht="18.600000000000001" thickBot="1" x14ac:dyDescent="0.4">
      <c r="N35" s="380" t="s">
        <v>207</v>
      </c>
      <c r="O35" s="381">
        <v>0</v>
      </c>
      <c r="P35" s="381">
        <v>1</v>
      </c>
      <c r="Q35" s="381">
        <v>2</v>
      </c>
      <c r="R35" s="381">
        <v>3</v>
      </c>
      <c r="S35" s="381">
        <v>4</v>
      </c>
      <c r="T35" s="381">
        <v>5</v>
      </c>
      <c r="U35" s="381">
        <v>6</v>
      </c>
      <c r="V35" s="381">
        <v>7</v>
      </c>
      <c r="W35" s="381">
        <v>8</v>
      </c>
      <c r="X35" s="381">
        <v>9</v>
      </c>
      <c r="Y35" s="381">
        <v>10</v>
      </c>
      <c r="Z35" s="381">
        <v>11</v>
      </c>
      <c r="AA35" s="381">
        <v>12</v>
      </c>
      <c r="AB35" s="381">
        <v>13</v>
      </c>
      <c r="AC35" s="381">
        <v>14</v>
      </c>
      <c r="AD35" s="381">
        <v>15</v>
      </c>
      <c r="AE35" s="381">
        <v>16</v>
      </c>
      <c r="AF35" s="381">
        <v>17</v>
      </c>
      <c r="AG35" s="381">
        <v>18</v>
      </c>
      <c r="AH35" s="381">
        <v>19</v>
      </c>
      <c r="AI35" s="382">
        <v>20</v>
      </c>
      <c r="AL35" s="34"/>
      <c r="AM35" s="427"/>
      <c r="AN35" s="424"/>
      <c r="AO35" s="421"/>
      <c r="AP35" s="421"/>
      <c r="AQ35" s="421"/>
      <c r="AR35" s="421"/>
      <c r="AS35" s="421"/>
      <c r="AT35" s="421"/>
      <c r="AU35" s="421"/>
      <c r="AV35" s="421"/>
      <c r="AW35" s="422"/>
      <c r="AX35" s="184"/>
    </row>
    <row r="36" spans="14:50" ht="15.6" x14ac:dyDescent="0.3">
      <c r="N36" s="379" t="str">
        <f>'Partie 2A'!G53</f>
        <v>ÉTAT DES RÉSULTATS</v>
      </c>
      <c r="O36" s="69">
        <f>'Partie 2A'!H53</f>
        <v>0</v>
      </c>
      <c r="P36" s="69">
        <f>'Partie 2A'!I53</f>
        <v>0</v>
      </c>
      <c r="Q36" s="69">
        <f>'Partie 2A'!J53</f>
        <v>0</v>
      </c>
      <c r="R36" s="69">
        <f>'Partie 2A'!K53</f>
        <v>0</v>
      </c>
      <c r="S36" s="69">
        <f>'Partie 2A'!L53</f>
        <v>0</v>
      </c>
      <c r="T36" s="69">
        <f>'Partie 2A'!M53</f>
        <v>0</v>
      </c>
      <c r="U36" s="69">
        <f>'Partie 2A'!N53</f>
        <v>0</v>
      </c>
      <c r="V36" s="69">
        <f>'Partie 2A'!O53</f>
        <v>0</v>
      </c>
      <c r="W36" s="69">
        <f>'Partie 2A'!P53</f>
        <v>0</v>
      </c>
      <c r="X36" s="69">
        <f>'Partie 2A'!Q53</f>
        <v>0</v>
      </c>
      <c r="Y36" s="69">
        <f>'Partie 2A'!R53</f>
        <v>0</v>
      </c>
      <c r="Z36" s="69">
        <f>'Partie 2A'!S53</f>
        <v>0</v>
      </c>
      <c r="AA36" s="69">
        <f>'Partie 2A'!T53</f>
        <v>0</v>
      </c>
      <c r="AB36" s="69">
        <f>'Partie 2A'!U53</f>
        <v>0</v>
      </c>
      <c r="AC36" s="69">
        <f>'Partie 2A'!V53</f>
        <v>0</v>
      </c>
      <c r="AD36" s="69">
        <f>'Partie 2A'!W53</f>
        <v>0</v>
      </c>
      <c r="AE36" s="69">
        <f>'Partie 2A'!X53</f>
        <v>0</v>
      </c>
      <c r="AF36" s="69">
        <f>'Partie 2A'!Y53</f>
        <v>0</v>
      </c>
      <c r="AG36" s="69">
        <f>'Partie 2A'!Z53</f>
        <v>0</v>
      </c>
      <c r="AH36" s="69">
        <f>'Partie 2A'!AA53</f>
        <v>0</v>
      </c>
      <c r="AI36" s="77">
        <f>'Partie 2A'!AB53</f>
        <v>0</v>
      </c>
      <c r="AL36" s="34"/>
      <c r="AM36" s="426" t="s">
        <v>500</v>
      </c>
      <c r="AN36" s="423">
        <f t="shared" ref="AN36:AV36" si="10">ROUND(Q_item*(1+AN32),0)</f>
        <v>300</v>
      </c>
      <c r="AO36" s="145">
        <f t="shared" si="10"/>
        <v>319</v>
      </c>
      <c r="AP36" s="145">
        <f t="shared" si="10"/>
        <v>338</v>
      </c>
      <c r="AQ36" s="145">
        <f t="shared" si="10"/>
        <v>356</v>
      </c>
      <c r="AR36" s="145">
        <f t="shared" si="10"/>
        <v>375</v>
      </c>
      <c r="AS36" s="145">
        <f t="shared" si="10"/>
        <v>394</v>
      </c>
      <c r="AT36" s="145">
        <f t="shared" si="10"/>
        <v>413</v>
      </c>
      <c r="AU36" s="145">
        <f t="shared" si="10"/>
        <v>431</v>
      </c>
      <c r="AV36" s="145">
        <f t="shared" si="10"/>
        <v>450</v>
      </c>
      <c r="AW36" s="514" t="str">
        <f>Z6</f>
        <v>Q = 2083812x + 991418</v>
      </c>
      <c r="AX36" s="184"/>
    </row>
    <row r="37" spans="14:50" x14ac:dyDescent="0.3">
      <c r="N37" s="377" t="str">
        <f>'Partie 2A'!G54</f>
        <v>Revenus</v>
      </c>
      <c r="O37" s="67">
        <f>'Partie 2A'!H54</f>
        <v>0</v>
      </c>
      <c r="P37" s="67">
        <f>'Partie 2A'!I54</f>
        <v>0</v>
      </c>
      <c r="Q37" s="67">
        <f>'Partie 2A'!J54</f>
        <v>0</v>
      </c>
      <c r="R37" s="67">
        <f>'Partie 2A'!K54</f>
        <v>0</v>
      </c>
      <c r="S37" s="67">
        <f>'Partie 2A'!L54</f>
        <v>0</v>
      </c>
      <c r="T37" s="67">
        <f>'Partie 2A'!M54</f>
        <v>0</v>
      </c>
      <c r="U37" s="67">
        <f>'Partie 2A'!N54</f>
        <v>0</v>
      </c>
      <c r="V37" s="67">
        <f>'Partie 2A'!O54</f>
        <v>0</v>
      </c>
      <c r="W37" s="67">
        <f>'Partie 2A'!P54</f>
        <v>0</v>
      </c>
      <c r="X37" s="67">
        <f>'Partie 2A'!Q54</f>
        <v>0</v>
      </c>
      <c r="Y37" s="67">
        <f>'Partie 2A'!R54</f>
        <v>0</v>
      </c>
      <c r="Z37" s="67">
        <f>'Partie 2A'!S54</f>
        <v>0</v>
      </c>
      <c r="AA37" s="67">
        <f>'Partie 2A'!T54</f>
        <v>0</v>
      </c>
      <c r="AB37" s="67">
        <f>'Partie 2A'!U54</f>
        <v>0</v>
      </c>
      <c r="AC37" s="67">
        <f>'Partie 2A'!V54</f>
        <v>0</v>
      </c>
      <c r="AD37" s="67">
        <f>'Partie 2A'!W54</f>
        <v>0</v>
      </c>
      <c r="AE37" s="67">
        <f>'Partie 2A'!X54</f>
        <v>0</v>
      </c>
      <c r="AF37" s="67">
        <f>'Partie 2A'!Y54</f>
        <v>0</v>
      </c>
      <c r="AG37" s="67">
        <f>'Partie 2A'!Z54</f>
        <v>0</v>
      </c>
      <c r="AH37" s="67">
        <f>'Partie 2A'!AA54</f>
        <v>0</v>
      </c>
      <c r="AI37" s="70">
        <f>'Partie 2A'!AB54</f>
        <v>0</v>
      </c>
      <c r="AL37" s="34"/>
      <c r="AM37" s="192" t="s">
        <v>501</v>
      </c>
      <c r="AN37" s="73">
        <f>AO78</f>
        <v>574655.93929074053</v>
      </c>
      <c r="AO37" s="67">
        <f t="shared" ref="AO37:AV37" si="11">AP78</f>
        <v>678846.53929147415</v>
      </c>
      <c r="AP37" s="67">
        <f t="shared" si="11"/>
        <v>783037.13929220766</v>
      </c>
      <c r="AQ37" s="67">
        <f t="shared" si="11"/>
        <v>887227.73929294129</v>
      </c>
      <c r="AR37" s="67">
        <f t="shared" si="11"/>
        <v>991418.33929367526</v>
      </c>
      <c r="AS37" s="67">
        <f t="shared" si="11"/>
        <v>1095608.9392944088</v>
      </c>
      <c r="AT37" s="67">
        <f t="shared" si="11"/>
        <v>1199799.5392951427</v>
      </c>
      <c r="AU37" s="67">
        <f t="shared" si="11"/>
        <v>1303990.1392958763</v>
      </c>
      <c r="AV37" s="67">
        <f t="shared" si="11"/>
        <v>1408180.7392966093</v>
      </c>
      <c r="AW37" s="515"/>
      <c r="AX37" s="184"/>
    </row>
    <row r="38" spans="14:50" ht="15" thickBot="1" x14ac:dyDescent="0.35">
      <c r="N38" s="147" t="str">
        <f>'Partie 2A'!G55</f>
        <v xml:space="preserve">   Prix Unitaire des produits (Px)</v>
      </c>
      <c r="O38" s="67">
        <f>'Partie 2A'!H55</f>
        <v>0</v>
      </c>
      <c r="P38" s="67">
        <f>'Partie 2A'!I55</f>
        <v>125</v>
      </c>
      <c r="Q38" s="67">
        <f>'Partie 2A'!J55</f>
        <v>125</v>
      </c>
      <c r="R38" s="67">
        <f>'Partie 2A'!K55</f>
        <v>125</v>
      </c>
      <c r="S38" s="67">
        <f>'Partie 2A'!L55</f>
        <v>125</v>
      </c>
      <c r="T38" s="67">
        <f>'Partie 2A'!M55</f>
        <v>125</v>
      </c>
      <c r="U38" s="67">
        <f>'Partie 2A'!N55</f>
        <v>125</v>
      </c>
      <c r="V38" s="67">
        <f>'Partie 2A'!O55</f>
        <v>125</v>
      </c>
      <c r="W38" s="67">
        <f>'Partie 2A'!P55</f>
        <v>125</v>
      </c>
      <c r="X38" s="67">
        <f>'Partie 2A'!Q55</f>
        <v>125</v>
      </c>
      <c r="Y38" s="67">
        <f>'Partie 2A'!R55</f>
        <v>125</v>
      </c>
      <c r="Z38" s="67">
        <f>'Partie 2A'!S55</f>
        <v>125</v>
      </c>
      <c r="AA38" s="67">
        <f>'Partie 2A'!T55</f>
        <v>125</v>
      </c>
      <c r="AB38" s="67">
        <f>'Partie 2A'!U55</f>
        <v>125</v>
      </c>
      <c r="AC38" s="67">
        <f>'Partie 2A'!V55</f>
        <v>125</v>
      </c>
      <c r="AD38" s="67">
        <f>'Partie 2A'!W55</f>
        <v>125</v>
      </c>
      <c r="AE38" s="67">
        <f>'Partie 2A'!X55</f>
        <v>125</v>
      </c>
      <c r="AF38" s="67">
        <f>'Partie 2A'!Y55</f>
        <v>125</v>
      </c>
      <c r="AG38" s="67">
        <f>'Partie 2A'!Z55</f>
        <v>125</v>
      </c>
      <c r="AH38" s="67">
        <f>'Partie 2A'!AA55</f>
        <v>125</v>
      </c>
      <c r="AI38" s="70">
        <f>'Partie 2A'!AB55</f>
        <v>125</v>
      </c>
      <c r="AL38" s="34"/>
      <c r="AM38" s="427"/>
      <c r="AN38" s="424"/>
      <c r="AO38" s="421"/>
      <c r="AP38" s="421"/>
      <c r="AQ38" s="421"/>
      <c r="AR38" s="421"/>
      <c r="AS38" s="421"/>
      <c r="AT38" s="421"/>
      <c r="AU38" s="421"/>
      <c r="AV38" s="421"/>
      <c r="AW38" s="422"/>
      <c r="AX38" s="184"/>
    </row>
    <row r="39" spans="14:50" x14ac:dyDescent="0.3">
      <c r="N39" s="147" t="str">
        <f>'Partie 2A'!G56</f>
        <v xml:space="preserve">   Volume annuel (Q)</v>
      </c>
      <c r="O39" s="67">
        <f>'Partie 2A'!H56</f>
        <v>0</v>
      </c>
      <c r="P39" s="66">
        <f>375*12</f>
        <v>4500</v>
      </c>
      <c r="Q39" s="66">
        <f t="shared" ref="Q39:AI39" si="12">375*12</f>
        <v>4500</v>
      </c>
      <c r="R39" s="66">
        <f t="shared" si="12"/>
        <v>4500</v>
      </c>
      <c r="S39" s="66">
        <f t="shared" si="12"/>
        <v>4500</v>
      </c>
      <c r="T39" s="66">
        <f t="shared" si="12"/>
        <v>4500</v>
      </c>
      <c r="U39" s="66">
        <f t="shared" si="12"/>
        <v>4500</v>
      </c>
      <c r="V39" s="66">
        <f t="shared" si="12"/>
        <v>4500</v>
      </c>
      <c r="W39" s="66">
        <f t="shared" si="12"/>
        <v>4500</v>
      </c>
      <c r="X39" s="66">
        <f t="shared" si="12"/>
        <v>4500</v>
      </c>
      <c r="Y39" s="66">
        <f t="shared" si="12"/>
        <v>4500</v>
      </c>
      <c r="Z39" s="66">
        <f t="shared" si="12"/>
        <v>4500</v>
      </c>
      <c r="AA39" s="66">
        <f t="shared" si="12"/>
        <v>4500</v>
      </c>
      <c r="AB39" s="66">
        <f t="shared" si="12"/>
        <v>4500</v>
      </c>
      <c r="AC39" s="66">
        <f t="shared" si="12"/>
        <v>4500</v>
      </c>
      <c r="AD39" s="66">
        <f t="shared" si="12"/>
        <v>4500</v>
      </c>
      <c r="AE39" s="66">
        <f t="shared" si="12"/>
        <v>4500</v>
      </c>
      <c r="AF39" s="66">
        <f t="shared" si="12"/>
        <v>4500</v>
      </c>
      <c r="AG39" s="66">
        <f t="shared" si="12"/>
        <v>4500</v>
      </c>
      <c r="AH39" s="66">
        <f t="shared" si="12"/>
        <v>4500</v>
      </c>
      <c r="AI39" s="148">
        <f t="shared" si="12"/>
        <v>4500</v>
      </c>
      <c r="AL39" s="34"/>
      <c r="AM39" s="426" t="s">
        <v>502</v>
      </c>
      <c r="AN39" s="425">
        <f t="shared" ref="AN39:AV39" si="13">Cx*(1+AN32)</f>
        <v>6.4</v>
      </c>
      <c r="AO39" s="284">
        <f t="shared" si="13"/>
        <v>6.8</v>
      </c>
      <c r="AP39" s="284">
        <f t="shared" si="13"/>
        <v>7.2</v>
      </c>
      <c r="AQ39" s="284">
        <f t="shared" si="13"/>
        <v>7.6</v>
      </c>
      <c r="AR39" s="284">
        <f t="shared" si="13"/>
        <v>8</v>
      </c>
      <c r="AS39" s="284">
        <f t="shared" si="13"/>
        <v>8.4</v>
      </c>
      <c r="AT39" s="284">
        <f t="shared" si="13"/>
        <v>8.8000000000000007</v>
      </c>
      <c r="AU39" s="284">
        <f t="shared" si="13"/>
        <v>9.1999999999999993</v>
      </c>
      <c r="AV39" s="284">
        <f t="shared" si="13"/>
        <v>9.6</v>
      </c>
      <c r="AW39" s="514" t="str">
        <f>Z9</f>
        <v>Cx =-142483x + 991418</v>
      </c>
      <c r="AX39" s="184"/>
    </row>
    <row r="40" spans="14:50" ht="15" thickBot="1" x14ac:dyDescent="0.35">
      <c r="N40" s="149" t="str">
        <f>'Partie 2A'!G57</f>
        <v>Ventes Annuelles</v>
      </c>
      <c r="O40" s="71">
        <f>'Partie 2A'!H57</f>
        <v>0</v>
      </c>
      <c r="P40" s="71">
        <f>P38*P39</f>
        <v>562500</v>
      </c>
      <c r="Q40" s="71">
        <f t="shared" ref="Q40:AI40" si="14">Q38*Q39</f>
        <v>562500</v>
      </c>
      <c r="R40" s="71">
        <f t="shared" si="14"/>
        <v>562500</v>
      </c>
      <c r="S40" s="71">
        <f t="shared" si="14"/>
        <v>562500</v>
      </c>
      <c r="T40" s="71">
        <f t="shared" si="14"/>
        <v>562500</v>
      </c>
      <c r="U40" s="71">
        <f t="shared" si="14"/>
        <v>562500</v>
      </c>
      <c r="V40" s="71">
        <f t="shared" si="14"/>
        <v>562500</v>
      </c>
      <c r="W40" s="71">
        <f t="shared" si="14"/>
        <v>562500</v>
      </c>
      <c r="X40" s="71">
        <f t="shared" si="14"/>
        <v>562500</v>
      </c>
      <c r="Y40" s="71">
        <f t="shared" si="14"/>
        <v>562500</v>
      </c>
      <c r="Z40" s="71">
        <f t="shared" si="14"/>
        <v>562500</v>
      </c>
      <c r="AA40" s="71">
        <f t="shared" si="14"/>
        <v>562500</v>
      </c>
      <c r="AB40" s="71">
        <f t="shared" si="14"/>
        <v>562500</v>
      </c>
      <c r="AC40" s="71">
        <f t="shared" si="14"/>
        <v>562500</v>
      </c>
      <c r="AD40" s="71">
        <f t="shared" si="14"/>
        <v>562500</v>
      </c>
      <c r="AE40" s="71">
        <f t="shared" si="14"/>
        <v>562500</v>
      </c>
      <c r="AF40" s="71">
        <f t="shared" si="14"/>
        <v>562500</v>
      </c>
      <c r="AG40" s="71">
        <f t="shared" si="14"/>
        <v>562500</v>
      </c>
      <c r="AH40" s="71">
        <f t="shared" si="14"/>
        <v>562500</v>
      </c>
      <c r="AI40" s="72">
        <f t="shared" si="14"/>
        <v>562500</v>
      </c>
      <c r="AL40" s="34"/>
      <c r="AM40" s="192" t="s">
        <v>503</v>
      </c>
      <c r="AN40" s="73">
        <f>AO84</f>
        <v>1019914.9136528502</v>
      </c>
      <c r="AO40" s="67">
        <f t="shared" ref="AO40:AV40" si="15">AP84</f>
        <v>1012790.7700630567</v>
      </c>
      <c r="AP40" s="67">
        <f t="shared" si="15"/>
        <v>1005666.6264732627</v>
      </c>
      <c r="AQ40" s="67">
        <f t="shared" si="15"/>
        <v>998542.48288346909</v>
      </c>
      <c r="AR40" s="67">
        <f t="shared" si="15"/>
        <v>991418.33929367526</v>
      </c>
      <c r="AS40" s="67">
        <f t="shared" si="15"/>
        <v>984294.19570388156</v>
      </c>
      <c r="AT40" s="67">
        <f t="shared" si="15"/>
        <v>977170.05211408762</v>
      </c>
      <c r="AU40" s="67">
        <f t="shared" si="15"/>
        <v>970045.90852429392</v>
      </c>
      <c r="AV40" s="67">
        <f t="shared" si="15"/>
        <v>962921.7649345001</v>
      </c>
      <c r="AW40" s="515"/>
      <c r="AX40" s="184"/>
    </row>
    <row r="41" spans="14:50" ht="15" thickBot="1" x14ac:dyDescent="0.35">
      <c r="N41" s="409" t="str">
        <f>'Partie 2A'!G58</f>
        <v>Dépenses</v>
      </c>
      <c r="O41" s="284">
        <f>'Partie 2A'!H58</f>
        <v>0</v>
      </c>
      <c r="P41" s="284">
        <f>'Partie 2A'!I58</f>
        <v>0</v>
      </c>
      <c r="Q41" s="284">
        <f>'Partie 2A'!J58</f>
        <v>0</v>
      </c>
      <c r="R41" s="284">
        <f>'Partie 2A'!K58</f>
        <v>0</v>
      </c>
      <c r="S41" s="284">
        <f>'Partie 2A'!L58</f>
        <v>0</v>
      </c>
      <c r="T41" s="284">
        <f>'Partie 2A'!M58</f>
        <v>0</v>
      </c>
      <c r="U41" s="284">
        <f>'Partie 2A'!N58</f>
        <v>0</v>
      </c>
      <c r="V41" s="284">
        <f>'Partie 2A'!O58</f>
        <v>0</v>
      </c>
      <c r="W41" s="284">
        <f>'Partie 2A'!P58</f>
        <v>0</v>
      </c>
      <c r="X41" s="284">
        <f>'Partie 2A'!Q58</f>
        <v>0</v>
      </c>
      <c r="Y41" s="284">
        <f>'Partie 2A'!R58</f>
        <v>0</v>
      </c>
      <c r="Z41" s="284">
        <f>'Partie 2A'!S58</f>
        <v>0</v>
      </c>
      <c r="AA41" s="284">
        <f>'Partie 2A'!T58</f>
        <v>0</v>
      </c>
      <c r="AB41" s="284">
        <f>'Partie 2A'!U58</f>
        <v>0</v>
      </c>
      <c r="AC41" s="284">
        <f>'Partie 2A'!V58</f>
        <v>0</v>
      </c>
      <c r="AD41" s="284">
        <f>'Partie 2A'!W58</f>
        <v>0</v>
      </c>
      <c r="AE41" s="284">
        <f>'Partie 2A'!X58</f>
        <v>0</v>
      </c>
      <c r="AF41" s="284">
        <f>'Partie 2A'!Y58</f>
        <v>0</v>
      </c>
      <c r="AG41" s="284">
        <f>'Partie 2A'!Z58</f>
        <v>0</v>
      </c>
      <c r="AH41" s="284">
        <f>'Partie 2A'!AA58</f>
        <v>0</v>
      </c>
      <c r="AI41" s="285">
        <f>'Partie 2A'!AB58</f>
        <v>0</v>
      </c>
      <c r="AL41" s="34"/>
      <c r="AM41" s="427"/>
      <c r="AN41" s="424"/>
      <c r="AO41" s="421"/>
      <c r="AP41" s="421"/>
      <c r="AQ41" s="421"/>
      <c r="AR41" s="421"/>
      <c r="AS41" s="421"/>
      <c r="AT41" s="421"/>
      <c r="AU41" s="421"/>
      <c r="AV41" s="421"/>
      <c r="AW41" s="422"/>
      <c r="AX41" s="184"/>
    </row>
    <row r="42" spans="14:50" x14ac:dyDescent="0.3">
      <c r="N42" s="147" t="str">
        <f>'Partie 2A'!G59</f>
        <v>Coûts d’entretiens et réparation (équipement)</v>
      </c>
      <c r="O42" s="67">
        <f>'Partie 2A'!H59</f>
        <v>0</v>
      </c>
      <c r="P42" s="67">
        <f>'Partie 2A'!I59</f>
        <v>-10000</v>
      </c>
      <c r="Q42" s="67">
        <f>'Partie 2A'!J59</f>
        <v>-10000</v>
      </c>
      <c r="R42" s="67">
        <f>'Partie 2A'!K59</f>
        <v>-10000</v>
      </c>
      <c r="S42" s="67">
        <f>'Partie 2A'!L59</f>
        <v>-10000</v>
      </c>
      <c r="T42" s="67">
        <f>'Partie 2A'!M59</f>
        <v>-10000</v>
      </c>
      <c r="U42" s="67">
        <f>'Partie 2A'!N59</f>
        <v>-10000</v>
      </c>
      <c r="V42" s="67">
        <f>'Partie 2A'!O59</f>
        <v>-10000</v>
      </c>
      <c r="W42" s="67">
        <f>'Partie 2A'!P59</f>
        <v>-10000</v>
      </c>
      <c r="X42" s="67">
        <f>'Partie 2A'!Q59</f>
        <v>-10000</v>
      </c>
      <c r="Y42" s="67">
        <f>'Partie 2A'!R59</f>
        <v>-10000</v>
      </c>
      <c r="Z42" s="67">
        <f>'Partie 2A'!S59</f>
        <v>-10000</v>
      </c>
      <c r="AA42" s="67">
        <f>'Partie 2A'!T59</f>
        <v>-10000</v>
      </c>
      <c r="AB42" s="67">
        <f>'Partie 2A'!U59</f>
        <v>-10000</v>
      </c>
      <c r="AC42" s="67">
        <f>'Partie 2A'!V59</f>
        <v>-10000</v>
      </c>
      <c r="AD42" s="67">
        <f>'Partie 2A'!W59</f>
        <v>-10000</v>
      </c>
      <c r="AE42" s="67">
        <f>'Partie 2A'!X59</f>
        <v>-10000</v>
      </c>
      <c r="AF42" s="67">
        <f>'Partie 2A'!Y59</f>
        <v>-10000</v>
      </c>
      <c r="AG42" s="67">
        <f>'Partie 2A'!Z59</f>
        <v>-10000</v>
      </c>
      <c r="AH42" s="67">
        <f>'Partie 2A'!AA59</f>
        <v>-10000</v>
      </c>
      <c r="AI42" s="70">
        <f>'Partie 2A'!AB59</f>
        <v>-10000</v>
      </c>
      <c r="AL42" s="34"/>
      <c r="AM42" s="426" t="s">
        <v>504</v>
      </c>
      <c r="AN42" s="425">
        <f t="shared" ref="AN42:AV42" si="16">Cf*(1+AN32)</f>
        <v>800</v>
      </c>
      <c r="AO42" s="284">
        <f t="shared" si="16"/>
        <v>850</v>
      </c>
      <c r="AP42" s="284">
        <f t="shared" si="16"/>
        <v>900</v>
      </c>
      <c r="AQ42" s="284">
        <f t="shared" si="16"/>
        <v>950</v>
      </c>
      <c r="AR42" s="284">
        <f t="shared" si="16"/>
        <v>1000</v>
      </c>
      <c r="AS42" s="284">
        <f t="shared" si="16"/>
        <v>1050</v>
      </c>
      <c r="AT42" s="284">
        <f t="shared" si="16"/>
        <v>1100</v>
      </c>
      <c r="AU42" s="284">
        <f t="shared" si="16"/>
        <v>1150</v>
      </c>
      <c r="AV42" s="284">
        <f t="shared" si="16"/>
        <v>1200</v>
      </c>
      <c r="AW42" s="514" t="str">
        <f>Z8</f>
        <v>Cf = -40741x + 991418</v>
      </c>
      <c r="AX42" s="184"/>
    </row>
    <row r="43" spans="14:50" x14ac:dyDescent="0.3">
      <c r="N43" s="147" t="str">
        <f>'Partie 2A'!G60</f>
        <v>Coûts d’entretiens et réparation (bâtiment)</v>
      </c>
      <c r="O43" s="67">
        <f>'Partie 2A'!H60</f>
        <v>0</v>
      </c>
      <c r="P43" s="67">
        <f>'Partie 2A'!I60</f>
        <v>-1250</v>
      </c>
      <c r="Q43" s="67">
        <f>'Partie 2A'!J60</f>
        <v>-1250</v>
      </c>
      <c r="R43" s="67">
        <f>'Partie 2A'!K60</f>
        <v>-1250</v>
      </c>
      <c r="S43" s="67">
        <f>'Partie 2A'!L60</f>
        <v>-1250</v>
      </c>
      <c r="T43" s="67">
        <f>'Partie 2A'!M60</f>
        <v>-1250</v>
      </c>
      <c r="U43" s="67">
        <f>'Partie 2A'!N60</f>
        <v>-1250</v>
      </c>
      <c r="V43" s="67">
        <f>'Partie 2A'!O60</f>
        <v>-1250</v>
      </c>
      <c r="W43" s="67">
        <f>'Partie 2A'!P60</f>
        <v>-1250</v>
      </c>
      <c r="X43" s="67">
        <f>'Partie 2A'!Q60</f>
        <v>-1250</v>
      </c>
      <c r="Y43" s="67">
        <f>'Partie 2A'!R60</f>
        <v>-1250</v>
      </c>
      <c r="Z43" s="67">
        <f>'Partie 2A'!S60</f>
        <v>-1250</v>
      </c>
      <c r="AA43" s="67">
        <f>'Partie 2A'!T60</f>
        <v>-1250</v>
      </c>
      <c r="AB43" s="67">
        <f>'Partie 2A'!U60</f>
        <v>-1250</v>
      </c>
      <c r="AC43" s="67">
        <f>'Partie 2A'!V60</f>
        <v>-1250</v>
      </c>
      <c r="AD43" s="67">
        <f>'Partie 2A'!W60</f>
        <v>-1250</v>
      </c>
      <c r="AE43" s="67">
        <f>'Partie 2A'!X60</f>
        <v>-1250</v>
      </c>
      <c r="AF43" s="67">
        <f>'Partie 2A'!Y60</f>
        <v>-1250</v>
      </c>
      <c r="AG43" s="67">
        <f>'Partie 2A'!Z60</f>
        <v>-1250</v>
      </c>
      <c r="AH43" s="67">
        <f>'Partie 2A'!AA60</f>
        <v>-1250</v>
      </c>
      <c r="AI43" s="70">
        <f>'Partie 2A'!AB60</f>
        <v>-1250</v>
      </c>
      <c r="AL43" s="34"/>
      <c r="AM43" s="192" t="s">
        <v>505</v>
      </c>
      <c r="AN43" s="73">
        <f>AO76</f>
        <v>999566.58940282022</v>
      </c>
      <c r="AO43" s="67">
        <f t="shared" ref="AO43:AV43" si="17">AP76</f>
        <v>997529.52687553421</v>
      </c>
      <c r="AP43" s="67">
        <f t="shared" si="17"/>
        <v>995492.46434824751</v>
      </c>
      <c r="AQ43" s="67">
        <f t="shared" si="17"/>
        <v>993455.40182096139</v>
      </c>
      <c r="AR43" s="67">
        <f t="shared" si="17"/>
        <v>991418.33929367526</v>
      </c>
      <c r="AS43" s="67">
        <f t="shared" si="17"/>
        <v>989381.27676638903</v>
      </c>
      <c r="AT43" s="67">
        <f t="shared" si="17"/>
        <v>987344.21423910256</v>
      </c>
      <c r="AU43" s="67">
        <f t="shared" si="17"/>
        <v>985307.15171181643</v>
      </c>
      <c r="AV43" s="67">
        <f t="shared" si="17"/>
        <v>983270.08918452985</v>
      </c>
      <c r="AW43" s="515"/>
      <c r="AX43" s="184"/>
    </row>
    <row r="44" spans="14:50" ht="15" thickBot="1" x14ac:dyDescent="0.35">
      <c r="N44" s="147" t="str">
        <f>'Partie 2A'!G61</f>
        <v>Amortissement de l'équipement (linéaire)</v>
      </c>
      <c r="O44" s="67">
        <f>'Partie 2A'!H61</f>
        <v>0</v>
      </c>
      <c r="P44" s="67">
        <f>'Partie 2A'!I61</f>
        <v>-16000</v>
      </c>
      <c r="Q44" s="67">
        <f>'Partie 2A'!J61</f>
        <v>-16000</v>
      </c>
      <c r="R44" s="67">
        <f>'Partie 2A'!K61</f>
        <v>-16000</v>
      </c>
      <c r="S44" s="67">
        <f>'Partie 2A'!L61</f>
        <v>-16000</v>
      </c>
      <c r="T44" s="67">
        <f>'Partie 2A'!M61</f>
        <v>-16000</v>
      </c>
      <c r="U44" s="67">
        <f>'Partie 2A'!N61</f>
        <v>-16000</v>
      </c>
      <c r="V44" s="67">
        <f>'Partie 2A'!O61</f>
        <v>-16000</v>
      </c>
      <c r="W44" s="67">
        <f>'Partie 2A'!P61</f>
        <v>-16000</v>
      </c>
      <c r="X44" s="67">
        <f>'Partie 2A'!Q61</f>
        <v>-16000</v>
      </c>
      <c r="Y44" s="67">
        <f>'Partie 2A'!R61</f>
        <v>-16000</v>
      </c>
      <c r="Z44" s="67">
        <f>'Partie 2A'!S61</f>
        <v>-16000</v>
      </c>
      <c r="AA44" s="67">
        <f>'Partie 2A'!T61</f>
        <v>-16000</v>
      </c>
      <c r="AB44" s="67">
        <f>'Partie 2A'!U61</f>
        <v>-16000</v>
      </c>
      <c r="AC44" s="67">
        <f>'Partie 2A'!V61</f>
        <v>-16000</v>
      </c>
      <c r="AD44" s="67">
        <f>'Partie 2A'!W61</f>
        <v>-16000</v>
      </c>
      <c r="AE44" s="67">
        <f>'Partie 2A'!X61</f>
        <v>-16000</v>
      </c>
      <c r="AF44" s="67">
        <f>'Partie 2A'!Y61</f>
        <v>-16000</v>
      </c>
      <c r="AG44" s="67">
        <f>'Partie 2A'!Z61</f>
        <v>-16000</v>
      </c>
      <c r="AH44" s="67">
        <f>'Partie 2A'!AA61</f>
        <v>-16000</v>
      </c>
      <c r="AI44" s="70">
        <f>'Partie 2A'!AB61</f>
        <v>-16000</v>
      </c>
      <c r="AL44" s="34"/>
      <c r="AM44" s="427"/>
      <c r="AN44" s="424"/>
      <c r="AO44" s="421"/>
      <c r="AP44" s="421"/>
      <c r="AQ44" s="421"/>
      <c r="AR44" s="421"/>
      <c r="AS44" s="421"/>
      <c r="AT44" s="421"/>
      <c r="AU44" s="421"/>
      <c r="AV44" s="421"/>
      <c r="AW44" s="422"/>
      <c r="AX44" s="184"/>
    </row>
    <row r="45" spans="14:50" x14ac:dyDescent="0.3">
      <c r="N45" s="147" t="str">
        <f>'Partie 2A'!G62</f>
        <v>Amortissement du bâtiment (DPA)</v>
      </c>
      <c r="O45" s="67">
        <f>'Partie 2A'!H62</f>
        <v>0</v>
      </c>
      <c r="P45" s="67">
        <f>'Partie 2A'!I62</f>
        <v>-2500</v>
      </c>
      <c r="Q45" s="67">
        <f>'Partie 2A'!J62</f>
        <v>-4900</v>
      </c>
      <c r="R45" s="67">
        <f>'Partie 2A'!K62</f>
        <v>-4704</v>
      </c>
      <c r="S45" s="67">
        <f>'Partie 2A'!L62</f>
        <v>-4515.84</v>
      </c>
      <c r="T45" s="67">
        <f>'Partie 2A'!M62</f>
        <v>-4335.2064</v>
      </c>
      <c r="U45" s="67">
        <f>'Partie 2A'!N62</f>
        <v>-4161.7981440000003</v>
      </c>
      <c r="V45" s="67">
        <f>'Partie 2A'!O62</f>
        <v>-3995.3262182400003</v>
      </c>
      <c r="W45" s="67">
        <f>'Partie 2A'!P62</f>
        <v>-3835.5131695104001</v>
      </c>
      <c r="X45" s="67">
        <f>'Partie 2A'!Q62</f>
        <v>-3682.0926427299837</v>
      </c>
      <c r="Y45" s="67">
        <f>'Partie 2A'!R62</f>
        <v>-3534.8089370207845</v>
      </c>
      <c r="Z45" s="67">
        <f>'Partie 2A'!S62</f>
        <v>-3393.4165795399531</v>
      </c>
      <c r="AA45" s="67">
        <f>'Partie 2A'!T62</f>
        <v>-3257.6799163583551</v>
      </c>
      <c r="AB45" s="67">
        <f>'Partie 2A'!U62</f>
        <v>-3127.3727197040212</v>
      </c>
      <c r="AC45" s="67">
        <f>'Partie 2A'!V62</f>
        <v>-3002.2778109158598</v>
      </c>
      <c r="AD45" s="67">
        <f>'Partie 2A'!W62</f>
        <v>-2882.1866984792259</v>
      </c>
      <c r="AE45" s="67">
        <f>'Partie 2A'!X62</f>
        <v>-2766.8992305400566</v>
      </c>
      <c r="AF45" s="67">
        <f>'Partie 2A'!Y62</f>
        <v>-2656.2232613184542</v>
      </c>
      <c r="AG45" s="67">
        <f>'Partie 2A'!Z62</f>
        <v>-2549.9743308657162</v>
      </c>
      <c r="AH45" s="67">
        <f>'Partie 2A'!AA62</f>
        <v>-2447.9753576310877</v>
      </c>
      <c r="AI45" s="70">
        <f>'Partie 2A'!AB62</f>
        <v>-2350.056343325844</v>
      </c>
      <c r="AL45" s="34"/>
      <c r="AM45" s="426" t="s">
        <v>506</v>
      </c>
      <c r="AN45" s="425">
        <f t="shared" ref="AN45:AV45" si="18">Rx*(1+AN32)</f>
        <v>8</v>
      </c>
      <c r="AO45" s="284">
        <f t="shared" si="18"/>
        <v>8.5</v>
      </c>
      <c r="AP45" s="284">
        <f t="shared" si="18"/>
        <v>9</v>
      </c>
      <c r="AQ45" s="284">
        <f t="shared" si="18"/>
        <v>9.5</v>
      </c>
      <c r="AR45" s="284">
        <f t="shared" si="18"/>
        <v>10</v>
      </c>
      <c r="AS45" s="284">
        <f t="shared" si="18"/>
        <v>10.5</v>
      </c>
      <c r="AT45" s="284">
        <f t="shared" si="18"/>
        <v>11</v>
      </c>
      <c r="AU45" s="284">
        <f t="shared" si="18"/>
        <v>11.5</v>
      </c>
      <c r="AV45" s="284">
        <f t="shared" si="18"/>
        <v>12</v>
      </c>
      <c r="AW45" s="514" t="str">
        <f>Z10</f>
        <v>Rx = -178104x + 991418</v>
      </c>
      <c r="AX45" s="184"/>
    </row>
    <row r="46" spans="14:50" x14ac:dyDescent="0.3">
      <c r="N46" s="378" t="str">
        <f>'Partie 2A'!G63</f>
        <v>Coûts de fabrication</v>
      </c>
      <c r="O46" s="67">
        <f>'Partie 2A'!H63</f>
        <v>0</v>
      </c>
      <c r="P46" s="67">
        <f>'Partie 2A'!I63</f>
        <v>0</v>
      </c>
      <c r="Q46" s="67">
        <f>'Partie 2A'!J63</f>
        <v>0</v>
      </c>
      <c r="R46" s="67">
        <f>'Partie 2A'!K63</f>
        <v>0</v>
      </c>
      <c r="S46" s="67">
        <f>'Partie 2A'!L63</f>
        <v>0</v>
      </c>
      <c r="T46" s="67">
        <f>'Partie 2A'!M63</f>
        <v>0</v>
      </c>
      <c r="U46" s="67">
        <f>'Partie 2A'!N63</f>
        <v>0</v>
      </c>
      <c r="V46" s="67">
        <f>'Partie 2A'!O63</f>
        <v>0</v>
      </c>
      <c r="W46" s="67">
        <f>'Partie 2A'!P63</f>
        <v>0</v>
      </c>
      <c r="X46" s="67">
        <f>'Partie 2A'!Q63</f>
        <v>0</v>
      </c>
      <c r="Y46" s="67">
        <f>'Partie 2A'!R63</f>
        <v>0</v>
      </c>
      <c r="Z46" s="67">
        <f>'Partie 2A'!S63</f>
        <v>0</v>
      </c>
      <c r="AA46" s="67">
        <f>'Partie 2A'!T63</f>
        <v>0</v>
      </c>
      <c r="AB46" s="67">
        <f>'Partie 2A'!U63</f>
        <v>0</v>
      </c>
      <c r="AC46" s="67">
        <f>'Partie 2A'!V63</f>
        <v>0</v>
      </c>
      <c r="AD46" s="67">
        <f>'Partie 2A'!W63</f>
        <v>0</v>
      </c>
      <c r="AE46" s="67">
        <f>'Partie 2A'!X63</f>
        <v>0</v>
      </c>
      <c r="AF46" s="67">
        <f>'Partie 2A'!Y63</f>
        <v>0</v>
      </c>
      <c r="AG46" s="67">
        <f>'Partie 2A'!Z63</f>
        <v>0</v>
      </c>
      <c r="AH46" s="67">
        <f>'Partie 2A'!AA63</f>
        <v>0</v>
      </c>
      <c r="AI46" s="70">
        <f>'Partie 2A'!AB63</f>
        <v>0</v>
      </c>
      <c r="AL46" s="34"/>
      <c r="AM46" s="192" t="s">
        <v>507</v>
      </c>
      <c r="AN46" s="73">
        <f>AO80</f>
        <v>1027039.057242644</v>
      </c>
      <c r="AO46" s="67">
        <f t="shared" ref="AO46:AV46" si="19">AP80</f>
        <v>1018133.8777554017</v>
      </c>
      <c r="AP46" s="67">
        <f t="shared" si="19"/>
        <v>1009228.6982681596</v>
      </c>
      <c r="AQ46" s="67">
        <f t="shared" si="19"/>
        <v>1000323.5187809174</v>
      </c>
      <c r="AR46" s="67">
        <f t="shared" si="19"/>
        <v>991418.33929367526</v>
      </c>
      <c r="AS46" s="67">
        <f t="shared" si="19"/>
        <v>982513.1598064329</v>
      </c>
      <c r="AT46" s="67">
        <f t="shared" si="19"/>
        <v>973607.98031919077</v>
      </c>
      <c r="AU46" s="67">
        <f t="shared" si="19"/>
        <v>964702.80083194852</v>
      </c>
      <c r="AV46" s="67">
        <f t="shared" si="19"/>
        <v>955797.62134470639</v>
      </c>
      <c r="AW46" s="515"/>
      <c r="AX46" s="184"/>
    </row>
    <row r="47" spans="14:50" ht="15" thickBot="1" x14ac:dyDescent="0.35">
      <c r="N47" s="147" t="str">
        <f>'Partie 2A'!G64</f>
        <v xml:space="preserve">  Coûts Fixes (Cf)</v>
      </c>
      <c r="O47" s="67">
        <f>'Partie 2A'!H64</f>
        <v>0</v>
      </c>
      <c r="P47" s="67">
        <f>'Partie 2A'!I64</f>
        <v>0</v>
      </c>
      <c r="Q47" s="67">
        <f>'Partie 2A'!J64</f>
        <v>-12000</v>
      </c>
      <c r="R47" s="67">
        <f>'Partie 2A'!K64</f>
        <v>-12000</v>
      </c>
      <c r="S47" s="67">
        <f>'Partie 2A'!L64</f>
        <v>-12000</v>
      </c>
      <c r="T47" s="67">
        <f>'Partie 2A'!M64</f>
        <v>-12000</v>
      </c>
      <c r="U47" s="67">
        <f>'Partie 2A'!N64</f>
        <v>-12000</v>
      </c>
      <c r="V47" s="67">
        <f>'Partie 2A'!O64</f>
        <v>-12000</v>
      </c>
      <c r="W47" s="67">
        <f>'Partie 2A'!P64</f>
        <v>-12000</v>
      </c>
      <c r="X47" s="67">
        <f>'Partie 2A'!Q64</f>
        <v>-12000</v>
      </c>
      <c r="Y47" s="67">
        <f>'Partie 2A'!R64</f>
        <v>-12000</v>
      </c>
      <c r="Z47" s="67">
        <f>'Partie 2A'!S64</f>
        <v>-12000</v>
      </c>
      <c r="AA47" s="67">
        <f>'Partie 2A'!T64</f>
        <v>-12000</v>
      </c>
      <c r="AB47" s="67">
        <f>'Partie 2A'!U64</f>
        <v>-12000</v>
      </c>
      <c r="AC47" s="67">
        <f>'Partie 2A'!V64</f>
        <v>-12000</v>
      </c>
      <c r="AD47" s="67">
        <f>'Partie 2A'!W64</f>
        <v>-12000</v>
      </c>
      <c r="AE47" s="67">
        <f>'Partie 2A'!X64</f>
        <v>-12000</v>
      </c>
      <c r="AF47" s="67">
        <f>'Partie 2A'!Y64</f>
        <v>-12000</v>
      </c>
      <c r="AG47" s="67">
        <f>'Partie 2A'!Z64</f>
        <v>-12000</v>
      </c>
      <c r="AH47" s="67">
        <f>'Partie 2A'!AA64</f>
        <v>-12000</v>
      </c>
      <c r="AI47" s="70">
        <f>'Partie 2A'!AB64</f>
        <v>-12000</v>
      </c>
      <c r="AL47" s="34"/>
      <c r="AM47" s="427"/>
      <c r="AN47" s="424"/>
      <c r="AO47" s="421"/>
      <c r="AP47" s="421"/>
      <c r="AQ47" s="421"/>
      <c r="AR47" s="421"/>
      <c r="AS47" s="421"/>
      <c r="AT47" s="421"/>
      <c r="AU47" s="421"/>
      <c r="AV47" s="421"/>
      <c r="AW47" s="422"/>
      <c r="AX47" s="184"/>
    </row>
    <row r="48" spans="14:50" ht="15" thickBot="1" x14ac:dyDescent="0.35">
      <c r="N48" s="149" t="str">
        <f>'Partie 2A'!G65</f>
        <v xml:space="preserve">  Coûts Variables (Cx)</v>
      </c>
      <c r="O48" s="71">
        <f>'Partie 2A'!H65</f>
        <v>0</v>
      </c>
      <c r="P48" s="71">
        <f t="shared" ref="P48:AI48" si="20">-P39*Cx</f>
        <v>-36000</v>
      </c>
      <c r="Q48" s="71">
        <f t="shared" si="20"/>
        <v>-36000</v>
      </c>
      <c r="R48" s="71">
        <f t="shared" si="20"/>
        <v>-36000</v>
      </c>
      <c r="S48" s="71">
        <f t="shared" si="20"/>
        <v>-36000</v>
      </c>
      <c r="T48" s="71">
        <f t="shared" si="20"/>
        <v>-36000</v>
      </c>
      <c r="U48" s="71">
        <f t="shared" si="20"/>
        <v>-36000</v>
      </c>
      <c r="V48" s="71">
        <f t="shared" si="20"/>
        <v>-36000</v>
      </c>
      <c r="W48" s="71">
        <f t="shared" si="20"/>
        <v>-36000</v>
      </c>
      <c r="X48" s="71">
        <f t="shared" si="20"/>
        <v>-36000</v>
      </c>
      <c r="Y48" s="71">
        <f t="shared" si="20"/>
        <v>-36000</v>
      </c>
      <c r="Z48" s="71">
        <f t="shared" si="20"/>
        <v>-36000</v>
      </c>
      <c r="AA48" s="71">
        <f t="shared" si="20"/>
        <v>-36000</v>
      </c>
      <c r="AB48" s="71">
        <f t="shared" si="20"/>
        <v>-36000</v>
      </c>
      <c r="AC48" s="71">
        <f t="shared" si="20"/>
        <v>-36000</v>
      </c>
      <c r="AD48" s="71">
        <f t="shared" si="20"/>
        <v>-36000</v>
      </c>
      <c r="AE48" s="71">
        <f t="shared" si="20"/>
        <v>-36000</v>
      </c>
      <c r="AF48" s="71">
        <f t="shared" si="20"/>
        <v>-36000</v>
      </c>
      <c r="AG48" s="71">
        <f t="shared" si="20"/>
        <v>-36000</v>
      </c>
      <c r="AH48" s="71">
        <f t="shared" si="20"/>
        <v>-36000</v>
      </c>
      <c r="AI48" s="72">
        <f t="shared" si="20"/>
        <v>-36000</v>
      </c>
      <c r="AL48" s="34"/>
      <c r="AM48" s="191" t="s">
        <v>508</v>
      </c>
      <c r="AN48" s="76" t="e">
        <f t="shared" ref="AN48:AV48" si="21">Sx*(1+AN32)</f>
        <v>#REF!</v>
      </c>
      <c r="AO48" s="69" t="e">
        <f t="shared" si="21"/>
        <v>#REF!</v>
      </c>
      <c r="AP48" s="69" t="e">
        <f t="shared" si="21"/>
        <v>#REF!</v>
      </c>
      <c r="AQ48" s="69" t="e">
        <f t="shared" si="21"/>
        <v>#REF!</v>
      </c>
      <c r="AR48" s="69" t="e">
        <f t="shared" si="21"/>
        <v>#REF!</v>
      </c>
      <c r="AS48" s="69" t="e">
        <f t="shared" si="21"/>
        <v>#REF!</v>
      </c>
      <c r="AT48" s="69" t="e">
        <f t="shared" si="21"/>
        <v>#REF!</v>
      </c>
      <c r="AU48" s="69" t="e">
        <f t="shared" si="21"/>
        <v>#REF!</v>
      </c>
      <c r="AV48" s="69" t="e">
        <f t="shared" si="21"/>
        <v>#REF!</v>
      </c>
      <c r="AW48" s="516" t="str">
        <f>Z7</f>
        <v>Sx = 2239.5x + 991418</v>
      </c>
      <c r="AX48" s="184"/>
    </row>
    <row r="49" spans="14:50" ht="15" thickBot="1" x14ac:dyDescent="0.35">
      <c r="N49" s="409" t="str">
        <f>'Partie 2A'!G66</f>
        <v>Frais</v>
      </c>
      <c r="O49" s="284">
        <f>'Partie 2A'!H66</f>
        <v>0</v>
      </c>
      <c r="P49" s="284">
        <f>'Partie 2A'!I66</f>
        <v>0</v>
      </c>
      <c r="Q49" s="284">
        <f>'Partie 2A'!J66</f>
        <v>0</v>
      </c>
      <c r="R49" s="284">
        <f>'Partie 2A'!K66</f>
        <v>0</v>
      </c>
      <c r="S49" s="284">
        <f>'Partie 2A'!L66</f>
        <v>0</v>
      </c>
      <c r="T49" s="284">
        <f>'Partie 2A'!M66</f>
        <v>0</v>
      </c>
      <c r="U49" s="284">
        <f>'Partie 2A'!N66</f>
        <v>0</v>
      </c>
      <c r="V49" s="284">
        <f>'Partie 2A'!O66</f>
        <v>0</v>
      </c>
      <c r="W49" s="284">
        <f>'Partie 2A'!P66</f>
        <v>0</v>
      </c>
      <c r="X49" s="284">
        <f>'Partie 2A'!Q66</f>
        <v>0</v>
      </c>
      <c r="Y49" s="284">
        <f>'Partie 2A'!R66</f>
        <v>0</v>
      </c>
      <c r="Z49" s="284">
        <f>'Partie 2A'!S66</f>
        <v>0</v>
      </c>
      <c r="AA49" s="284">
        <f>'Partie 2A'!T66</f>
        <v>0</v>
      </c>
      <c r="AB49" s="284">
        <f>'Partie 2A'!U66</f>
        <v>0</v>
      </c>
      <c r="AC49" s="284">
        <f>'Partie 2A'!V66</f>
        <v>0</v>
      </c>
      <c r="AD49" s="284">
        <f>'Partie 2A'!W66</f>
        <v>0</v>
      </c>
      <c r="AE49" s="284">
        <f>'Partie 2A'!X66</f>
        <v>0</v>
      </c>
      <c r="AF49" s="284">
        <f>'Partie 2A'!Y66</f>
        <v>0</v>
      </c>
      <c r="AG49" s="284">
        <f>'Partie 2A'!Z66</f>
        <v>0</v>
      </c>
      <c r="AH49" s="284">
        <f>'Partie 2A'!AA66</f>
        <v>0</v>
      </c>
      <c r="AI49" s="285">
        <f>'Partie 2A'!AB66</f>
        <v>0</v>
      </c>
      <c r="AL49" s="34"/>
      <c r="AM49" s="428" t="s">
        <v>509</v>
      </c>
      <c r="AN49" s="74">
        <f>AO82</f>
        <v>990970.43580560631</v>
      </c>
      <c r="AO49" s="71">
        <f t="shared" ref="AO49:AV49" si="22">AP82</f>
        <v>991082.41167762352</v>
      </c>
      <c r="AP49" s="71">
        <f t="shared" si="22"/>
        <v>991194.38754964084</v>
      </c>
      <c r="AQ49" s="71">
        <f t="shared" si="22"/>
        <v>991306.36342165805</v>
      </c>
      <c r="AR49" s="71">
        <f t="shared" si="22"/>
        <v>991418.33929367526</v>
      </c>
      <c r="AS49" s="71">
        <f t="shared" si="22"/>
        <v>991530.31516569259</v>
      </c>
      <c r="AT49" s="71">
        <f t="shared" si="22"/>
        <v>991642.2910377098</v>
      </c>
      <c r="AU49" s="71">
        <f t="shared" si="22"/>
        <v>991754.26690972701</v>
      </c>
      <c r="AV49" s="71">
        <f t="shared" si="22"/>
        <v>991866.24278174422</v>
      </c>
      <c r="AW49" s="517"/>
      <c r="AX49" s="184"/>
    </row>
    <row r="50" spans="14:50" ht="15" thickBot="1" x14ac:dyDescent="0.35">
      <c r="N50" s="147" t="str">
        <f>'Partie 2A'!G67</f>
        <v xml:space="preserve">  Frais de secrétariat</v>
      </c>
      <c r="O50" s="67">
        <f>'Partie 2A'!H67</f>
        <v>0</v>
      </c>
      <c r="P50" s="67">
        <f>'Partie 2A'!I67</f>
        <v>-35000</v>
      </c>
      <c r="Q50" s="67">
        <f>'Partie 2A'!J67</f>
        <v>-35000</v>
      </c>
      <c r="R50" s="67">
        <f>'Partie 2A'!K67</f>
        <v>-35000</v>
      </c>
      <c r="S50" s="67">
        <f>'Partie 2A'!L67</f>
        <v>-35000</v>
      </c>
      <c r="T50" s="67">
        <f>'Partie 2A'!M67</f>
        <v>-35000</v>
      </c>
      <c r="U50" s="67">
        <f>'Partie 2A'!N67</f>
        <v>-35000</v>
      </c>
      <c r="V50" s="67">
        <f>'Partie 2A'!O67</f>
        <v>-35000</v>
      </c>
      <c r="W50" s="67">
        <f>'Partie 2A'!P67</f>
        <v>-35000</v>
      </c>
      <c r="X50" s="67">
        <f>'Partie 2A'!Q67</f>
        <v>-35000</v>
      </c>
      <c r="Y50" s="67">
        <f>'Partie 2A'!R67</f>
        <v>-35000</v>
      </c>
      <c r="Z50" s="67">
        <f>'Partie 2A'!S67</f>
        <v>-35000</v>
      </c>
      <c r="AA50" s="67">
        <f>'Partie 2A'!T67</f>
        <v>-35000</v>
      </c>
      <c r="AB50" s="67">
        <f>'Partie 2A'!U67</f>
        <v>-35000</v>
      </c>
      <c r="AC50" s="67">
        <f>'Partie 2A'!V67</f>
        <v>-35000</v>
      </c>
      <c r="AD50" s="67">
        <f>'Partie 2A'!W67</f>
        <v>-35000</v>
      </c>
      <c r="AE50" s="67">
        <f>'Partie 2A'!X67</f>
        <v>-35000</v>
      </c>
      <c r="AF50" s="67">
        <f>'Partie 2A'!Y67</f>
        <v>-35000</v>
      </c>
      <c r="AG50" s="67">
        <f>'Partie 2A'!Z67</f>
        <v>-35000</v>
      </c>
      <c r="AH50" s="67">
        <f>'Partie 2A'!AA67</f>
        <v>-35000</v>
      </c>
      <c r="AI50" s="70">
        <f>'Partie 2A'!AB67</f>
        <v>-35000</v>
      </c>
      <c r="AL50" s="35"/>
      <c r="AM50" s="133"/>
      <c r="AN50" s="133"/>
      <c r="AO50" s="133"/>
      <c r="AP50" s="133"/>
      <c r="AQ50" s="133"/>
      <c r="AR50" s="133"/>
      <c r="AS50" s="133"/>
      <c r="AT50" s="133"/>
      <c r="AU50" s="133"/>
      <c r="AV50" s="133"/>
      <c r="AW50" s="133"/>
      <c r="AX50" s="185"/>
    </row>
    <row r="51" spans="14:50" x14ac:dyDescent="0.3">
      <c r="N51" s="147" t="str">
        <f>'Partie 2A'!G68</f>
        <v xml:space="preserve">  Frais d'administration</v>
      </c>
      <c r="O51" s="67">
        <f>'Partie 2A'!H68</f>
        <v>0</v>
      </c>
      <c r="P51" s="67">
        <f>'Partie 2A'!I68</f>
        <v>-65000</v>
      </c>
      <c r="Q51" s="67">
        <f>'Partie 2A'!J68</f>
        <v>-65000</v>
      </c>
      <c r="R51" s="67">
        <f>'Partie 2A'!K68</f>
        <v>-65000</v>
      </c>
      <c r="S51" s="67">
        <f>'Partie 2A'!L68</f>
        <v>-65000</v>
      </c>
      <c r="T51" s="67">
        <f>'Partie 2A'!M68</f>
        <v>-65000</v>
      </c>
      <c r="U51" s="67">
        <f>'Partie 2A'!N68</f>
        <v>-65000</v>
      </c>
      <c r="V51" s="67">
        <f>'Partie 2A'!O68</f>
        <v>-65000</v>
      </c>
      <c r="W51" s="67">
        <f>'Partie 2A'!P68</f>
        <v>-65000</v>
      </c>
      <c r="X51" s="67">
        <f>'Partie 2A'!Q68</f>
        <v>-65000</v>
      </c>
      <c r="Y51" s="67">
        <f>'Partie 2A'!R68</f>
        <v>-65000</v>
      </c>
      <c r="Z51" s="67">
        <f>'Partie 2A'!S68</f>
        <v>-65000</v>
      </c>
      <c r="AA51" s="67">
        <f>'Partie 2A'!T68</f>
        <v>-65000</v>
      </c>
      <c r="AB51" s="67">
        <f>'Partie 2A'!U68</f>
        <v>-65000</v>
      </c>
      <c r="AC51" s="67">
        <f>'Partie 2A'!V68</f>
        <v>-65000</v>
      </c>
      <c r="AD51" s="67">
        <f>'Partie 2A'!W68</f>
        <v>-65000</v>
      </c>
      <c r="AE51" s="67">
        <f>'Partie 2A'!X68</f>
        <v>-65000</v>
      </c>
      <c r="AF51" s="67">
        <f>'Partie 2A'!Y68</f>
        <v>-65000</v>
      </c>
      <c r="AG51" s="67">
        <f>'Partie 2A'!Z68</f>
        <v>-65000</v>
      </c>
      <c r="AH51" s="67">
        <f>'Partie 2A'!AA68</f>
        <v>-65000</v>
      </c>
      <c r="AI51" s="70">
        <f>'Partie 2A'!AB68</f>
        <v>-65000</v>
      </c>
    </row>
    <row r="52" spans="14:50" ht="15" thickBot="1" x14ac:dyDescent="0.35">
      <c r="N52" s="149" t="str">
        <f>'Partie 2A'!G69</f>
        <v xml:space="preserve">  Frais de Rémunération (Rx)</v>
      </c>
      <c r="O52" s="71">
        <f>'Partie 2A'!H69</f>
        <v>0</v>
      </c>
      <c r="P52" s="71">
        <f t="shared" ref="P52:AI52" si="23">-P39*Rx</f>
        <v>-45000</v>
      </c>
      <c r="Q52" s="71">
        <f t="shared" si="23"/>
        <v>-45000</v>
      </c>
      <c r="R52" s="71">
        <f t="shared" si="23"/>
        <v>-45000</v>
      </c>
      <c r="S52" s="71">
        <f t="shared" si="23"/>
        <v>-45000</v>
      </c>
      <c r="T52" s="71">
        <f t="shared" si="23"/>
        <v>-45000</v>
      </c>
      <c r="U52" s="71">
        <f t="shared" si="23"/>
        <v>-45000</v>
      </c>
      <c r="V52" s="71">
        <f t="shared" si="23"/>
        <v>-45000</v>
      </c>
      <c r="W52" s="71">
        <f t="shared" si="23"/>
        <v>-45000</v>
      </c>
      <c r="X52" s="71">
        <f t="shared" si="23"/>
        <v>-45000</v>
      </c>
      <c r="Y52" s="71">
        <f t="shared" si="23"/>
        <v>-45000</v>
      </c>
      <c r="Z52" s="71">
        <f t="shared" si="23"/>
        <v>-45000</v>
      </c>
      <c r="AA52" s="71">
        <f t="shared" si="23"/>
        <v>-45000</v>
      </c>
      <c r="AB52" s="71">
        <f t="shared" si="23"/>
        <v>-45000</v>
      </c>
      <c r="AC52" s="71">
        <f t="shared" si="23"/>
        <v>-45000</v>
      </c>
      <c r="AD52" s="71">
        <f t="shared" si="23"/>
        <v>-45000</v>
      </c>
      <c r="AE52" s="71">
        <f t="shared" si="23"/>
        <v>-45000</v>
      </c>
      <c r="AF52" s="71">
        <f t="shared" si="23"/>
        <v>-45000</v>
      </c>
      <c r="AG52" s="71">
        <f t="shared" si="23"/>
        <v>-45000</v>
      </c>
      <c r="AH52" s="71">
        <f t="shared" si="23"/>
        <v>-45000</v>
      </c>
      <c r="AI52" s="72">
        <f t="shared" si="23"/>
        <v>-45000</v>
      </c>
    </row>
    <row r="53" spans="14:50" x14ac:dyDescent="0.3">
      <c r="N53" s="409" t="str">
        <f>'Partie 2A'!G70</f>
        <v>Bénéfice Imposable</v>
      </c>
      <c r="O53" s="284">
        <f>'Partie 2A'!H70</f>
        <v>0</v>
      </c>
      <c r="P53" s="284">
        <f>SUM(P40:P52)</f>
        <v>351750</v>
      </c>
      <c r="Q53" s="284">
        <f t="shared" ref="Q53:AI53" si="24">SUM(Q40:Q52)</f>
        <v>337350</v>
      </c>
      <c r="R53" s="284">
        <f t="shared" si="24"/>
        <v>337546</v>
      </c>
      <c r="S53" s="284">
        <f t="shared" si="24"/>
        <v>337734.16000000003</v>
      </c>
      <c r="T53" s="284">
        <f t="shared" si="24"/>
        <v>337914.79359999998</v>
      </c>
      <c r="U53" s="284">
        <f t="shared" si="24"/>
        <v>338088.201856</v>
      </c>
      <c r="V53" s="284">
        <f t="shared" si="24"/>
        <v>338254.67378176004</v>
      </c>
      <c r="W53" s="284">
        <f t="shared" si="24"/>
        <v>338414.48683048959</v>
      </c>
      <c r="X53" s="284">
        <f t="shared" si="24"/>
        <v>338567.90735727001</v>
      </c>
      <c r="Y53" s="284">
        <f t="shared" si="24"/>
        <v>338715.19106297917</v>
      </c>
      <c r="Z53" s="284">
        <f t="shared" si="24"/>
        <v>338856.58342046</v>
      </c>
      <c r="AA53" s="284">
        <f t="shared" si="24"/>
        <v>338992.32008364168</v>
      </c>
      <c r="AB53" s="284">
        <f t="shared" si="24"/>
        <v>339122.62728029594</v>
      </c>
      <c r="AC53" s="284">
        <f t="shared" si="24"/>
        <v>339247.72218908416</v>
      </c>
      <c r="AD53" s="284">
        <f t="shared" si="24"/>
        <v>339367.81330152077</v>
      </c>
      <c r="AE53" s="284">
        <f t="shared" si="24"/>
        <v>339483.10076945997</v>
      </c>
      <c r="AF53" s="284">
        <f t="shared" si="24"/>
        <v>339593.7767386816</v>
      </c>
      <c r="AG53" s="284">
        <f t="shared" si="24"/>
        <v>339700.02566913434</v>
      </c>
      <c r="AH53" s="284">
        <f t="shared" si="24"/>
        <v>339802.0246423689</v>
      </c>
      <c r="AI53" s="285">
        <f t="shared" si="24"/>
        <v>339899.94365667412</v>
      </c>
    </row>
    <row r="54" spans="14:50" x14ac:dyDescent="0.3">
      <c r="N54" s="147" t="str">
        <f>'Partie 2A'!G71</f>
        <v>Impôts (35%)</v>
      </c>
      <c r="O54" s="67">
        <f>'Partie 2A'!H71</f>
        <v>0</v>
      </c>
      <c r="P54" s="67">
        <f>-P53*0.35</f>
        <v>-123112.49999999999</v>
      </c>
      <c r="Q54" s="67">
        <f t="shared" ref="Q54:AI54" si="25">-Q53*0.35</f>
        <v>-118072.49999999999</v>
      </c>
      <c r="R54" s="67">
        <f t="shared" si="25"/>
        <v>-118141.09999999999</v>
      </c>
      <c r="S54" s="67">
        <f t="shared" si="25"/>
        <v>-118206.95600000001</v>
      </c>
      <c r="T54" s="67">
        <f t="shared" si="25"/>
        <v>-118270.17775999998</v>
      </c>
      <c r="U54" s="67">
        <f t="shared" si="25"/>
        <v>-118330.87064959999</v>
      </c>
      <c r="V54" s="67">
        <f t="shared" si="25"/>
        <v>-118389.135823616</v>
      </c>
      <c r="W54" s="67">
        <f t="shared" si="25"/>
        <v>-118445.07039067135</v>
      </c>
      <c r="X54" s="67">
        <f t="shared" si="25"/>
        <v>-118498.76757504449</v>
      </c>
      <c r="Y54" s="67">
        <f t="shared" si="25"/>
        <v>-118550.31687204271</v>
      </c>
      <c r="Z54" s="67">
        <f t="shared" si="25"/>
        <v>-118599.80419716099</v>
      </c>
      <c r="AA54" s="67">
        <f t="shared" si="25"/>
        <v>-118647.31202927457</v>
      </c>
      <c r="AB54" s="67">
        <f t="shared" si="25"/>
        <v>-118692.91954810357</v>
      </c>
      <c r="AC54" s="67">
        <f t="shared" si="25"/>
        <v>-118736.70276617944</v>
      </c>
      <c r="AD54" s="67">
        <f t="shared" si="25"/>
        <v>-118778.73465553226</v>
      </c>
      <c r="AE54" s="67">
        <f t="shared" si="25"/>
        <v>-118819.08526931098</v>
      </c>
      <c r="AF54" s="67">
        <f t="shared" si="25"/>
        <v>-118857.82185853855</v>
      </c>
      <c r="AG54" s="67">
        <f t="shared" si="25"/>
        <v>-118895.008984197</v>
      </c>
      <c r="AH54" s="67">
        <f t="shared" si="25"/>
        <v>-118930.7086248291</v>
      </c>
      <c r="AI54" s="70">
        <f t="shared" si="25"/>
        <v>-118964.98027983593</v>
      </c>
    </row>
    <row r="55" spans="14:50" ht="15" thickBot="1" x14ac:dyDescent="0.35">
      <c r="N55" s="149" t="str">
        <f>'Partie 2A'!G72</f>
        <v>Bénéfice Net</v>
      </c>
      <c r="O55" s="71">
        <f>'Partie 2A'!H72</f>
        <v>0</v>
      </c>
      <c r="P55" s="71">
        <f t="shared" ref="P55:AH55" si="26">SUM(P53:P54)</f>
        <v>228637.5</v>
      </c>
      <c r="Q55" s="71">
        <f t="shared" si="26"/>
        <v>219277.5</v>
      </c>
      <c r="R55" s="71">
        <f t="shared" si="26"/>
        <v>219404.90000000002</v>
      </c>
      <c r="S55" s="71">
        <f t="shared" si="26"/>
        <v>219527.20400000003</v>
      </c>
      <c r="T55" s="71">
        <f t="shared" si="26"/>
        <v>219644.61583999998</v>
      </c>
      <c r="U55" s="71">
        <f t="shared" si="26"/>
        <v>219757.33120640001</v>
      </c>
      <c r="V55" s="71">
        <f t="shared" si="26"/>
        <v>219865.53795814404</v>
      </c>
      <c r="W55" s="71">
        <f t="shared" si="26"/>
        <v>219969.41643981825</v>
      </c>
      <c r="X55" s="71">
        <f t="shared" si="26"/>
        <v>220069.13978222554</v>
      </c>
      <c r="Y55" s="71">
        <f t="shared" si="26"/>
        <v>220164.87419093645</v>
      </c>
      <c r="Z55" s="71">
        <f t="shared" si="26"/>
        <v>220256.779223299</v>
      </c>
      <c r="AA55" s="71">
        <f t="shared" si="26"/>
        <v>220345.00805436709</v>
      </c>
      <c r="AB55" s="71">
        <f t="shared" si="26"/>
        <v>220429.70773219236</v>
      </c>
      <c r="AC55" s="71">
        <f t="shared" si="26"/>
        <v>220511.0194229047</v>
      </c>
      <c r="AD55" s="71">
        <f t="shared" si="26"/>
        <v>220589.07864598851</v>
      </c>
      <c r="AE55" s="71">
        <f t="shared" si="26"/>
        <v>220664.01550014899</v>
      </c>
      <c r="AF55" s="71">
        <f t="shared" si="26"/>
        <v>220735.95488014305</v>
      </c>
      <c r="AG55" s="71">
        <f t="shared" si="26"/>
        <v>220805.01668493735</v>
      </c>
      <c r="AH55" s="71">
        <f t="shared" si="26"/>
        <v>220871.31601753979</v>
      </c>
      <c r="AI55" s="72">
        <f>SUM(AI53:AI54)</f>
        <v>220934.96337683819</v>
      </c>
    </row>
    <row r="56" spans="14:50" ht="15" thickBot="1" x14ac:dyDescent="0.35">
      <c r="O56" s="78"/>
      <c r="P56" s="78"/>
      <c r="Q56" s="78"/>
      <c r="R56" s="78"/>
      <c r="S56" s="78"/>
      <c r="T56" s="78"/>
      <c r="U56" s="78"/>
      <c r="V56" s="78"/>
      <c r="W56" s="78"/>
      <c r="X56" s="78"/>
      <c r="Y56" s="78"/>
      <c r="Z56" s="78"/>
      <c r="AA56" s="78"/>
      <c r="AB56" s="78"/>
      <c r="AC56" s="78"/>
      <c r="AD56" s="78"/>
      <c r="AE56" s="78"/>
      <c r="AF56" s="78"/>
      <c r="AG56" s="78"/>
      <c r="AH56" s="78"/>
      <c r="AI56" s="78"/>
    </row>
    <row r="57" spans="14:50" ht="18.600000000000001" thickBot="1" x14ac:dyDescent="0.4">
      <c r="N57" s="380" t="str">
        <f>'Partie 2A'!G74</f>
        <v xml:space="preserve">Année </v>
      </c>
      <c r="O57" s="381">
        <f>'Partie 2A'!H74</f>
        <v>0</v>
      </c>
      <c r="P57" s="381">
        <f>'Partie 2A'!I74</f>
        <v>1</v>
      </c>
      <c r="Q57" s="381">
        <f>'Partie 2A'!J74</f>
        <v>2</v>
      </c>
      <c r="R57" s="381">
        <f>'Partie 2A'!K74</f>
        <v>3</v>
      </c>
      <c r="S57" s="381">
        <f>'Partie 2A'!L74</f>
        <v>4</v>
      </c>
      <c r="T57" s="381">
        <f>'Partie 2A'!M74</f>
        <v>5</v>
      </c>
      <c r="U57" s="381">
        <f>'Partie 2A'!N74</f>
        <v>6</v>
      </c>
      <c r="V57" s="381">
        <f>'Partie 2A'!O74</f>
        <v>7</v>
      </c>
      <c r="W57" s="381">
        <f>'Partie 2A'!P74</f>
        <v>8</v>
      </c>
      <c r="X57" s="381">
        <f>'Partie 2A'!Q74</f>
        <v>9</v>
      </c>
      <c r="Y57" s="381">
        <f>'Partie 2A'!R74</f>
        <v>10</v>
      </c>
      <c r="Z57" s="381">
        <f>'Partie 2A'!S74</f>
        <v>11</v>
      </c>
      <c r="AA57" s="381">
        <f>'Partie 2A'!T74</f>
        <v>12</v>
      </c>
      <c r="AB57" s="381">
        <f>'Partie 2A'!U74</f>
        <v>13</v>
      </c>
      <c r="AC57" s="381">
        <f>'Partie 2A'!V74</f>
        <v>14</v>
      </c>
      <c r="AD57" s="381">
        <f>'Partie 2A'!W74</f>
        <v>15</v>
      </c>
      <c r="AE57" s="381">
        <f>'Partie 2A'!X74</f>
        <v>16</v>
      </c>
      <c r="AF57" s="381">
        <f>'Partie 2A'!Y74</f>
        <v>17</v>
      </c>
      <c r="AG57" s="381">
        <f>'Partie 2A'!Z74</f>
        <v>18</v>
      </c>
      <c r="AH57" s="381">
        <f>'Partie 2A'!AA74</f>
        <v>19</v>
      </c>
      <c r="AI57" s="382">
        <f>'Partie 2A'!AB74</f>
        <v>20</v>
      </c>
    </row>
    <row r="58" spans="14:50" x14ac:dyDescent="0.3">
      <c r="N58" s="144" t="str">
        <f>'Partie 2A'!G75</f>
        <v>ÉTAT DES FLUX DE TRÉSORERIE</v>
      </c>
      <c r="O58" s="284">
        <f>'Partie 2A'!H75</f>
        <v>0</v>
      </c>
      <c r="P58" s="284">
        <f>'Partie 2A'!I75</f>
        <v>0</v>
      </c>
      <c r="Q58" s="284">
        <f>'Partie 2A'!J75</f>
        <v>0</v>
      </c>
      <c r="R58" s="284">
        <f>'Partie 2A'!K75</f>
        <v>0</v>
      </c>
      <c r="S58" s="284">
        <f>'Partie 2A'!L75</f>
        <v>0</v>
      </c>
      <c r="T58" s="284">
        <f>'Partie 2A'!M75</f>
        <v>0</v>
      </c>
      <c r="U58" s="284">
        <f>'Partie 2A'!N75</f>
        <v>0</v>
      </c>
      <c r="V58" s="284">
        <f>'Partie 2A'!O75</f>
        <v>0</v>
      </c>
      <c r="W58" s="284">
        <f>'Partie 2A'!P75</f>
        <v>0</v>
      </c>
      <c r="X58" s="284">
        <f>'Partie 2A'!Q75</f>
        <v>0</v>
      </c>
      <c r="Y58" s="284">
        <f>'Partie 2A'!R75</f>
        <v>0</v>
      </c>
      <c r="Z58" s="284">
        <f>'Partie 2A'!S75</f>
        <v>0</v>
      </c>
      <c r="AA58" s="284">
        <f>'Partie 2A'!T75</f>
        <v>0</v>
      </c>
      <c r="AB58" s="284">
        <f>'Partie 2A'!U75</f>
        <v>0</v>
      </c>
      <c r="AC58" s="284">
        <f>'Partie 2A'!V75</f>
        <v>0</v>
      </c>
      <c r="AD58" s="284">
        <f>'Partie 2A'!W75</f>
        <v>0</v>
      </c>
      <c r="AE58" s="284">
        <f>'Partie 2A'!X75</f>
        <v>0</v>
      </c>
      <c r="AF58" s="284">
        <f>'Partie 2A'!Y75</f>
        <v>0</v>
      </c>
      <c r="AG58" s="284">
        <f>'Partie 2A'!Z75</f>
        <v>0</v>
      </c>
      <c r="AH58" s="284">
        <f>'Partie 2A'!AA75</f>
        <v>0</v>
      </c>
      <c r="AI58" s="285">
        <f>'Partie 2A'!AB75</f>
        <v>0</v>
      </c>
    </row>
    <row r="59" spans="14:50" x14ac:dyDescent="0.3">
      <c r="N59" s="147" t="str">
        <f>'Partie 2A'!G76</f>
        <v>Bénéfice Net</v>
      </c>
      <c r="O59" s="67">
        <f>'Partie 2A'!H76</f>
        <v>0</v>
      </c>
      <c r="P59" s="67">
        <f>P55</f>
        <v>228637.5</v>
      </c>
      <c r="Q59" s="67">
        <f t="shared" ref="Q59:AI59" si="27">Q55</f>
        <v>219277.5</v>
      </c>
      <c r="R59" s="67">
        <f t="shared" si="27"/>
        <v>219404.90000000002</v>
      </c>
      <c r="S59" s="67">
        <f t="shared" si="27"/>
        <v>219527.20400000003</v>
      </c>
      <c r="T59" s="67">
        <f t="shared" si="27"/>
        <v>219644.61583999998</v>
      </c>
      <c r="U59" s="67">
        <f t="shared" si="27"/>
        <v>219757.33120640001</v>
      </c>
      <c r="V59" s="67">
        <f t="shared" si="27"/>
        <v>219865.53795814404</v>
      </c>
      <c r="W59" s="67">
        <f t="shared" si="27"/>
        <v>219969.41643981825</v>
      </c>
      <c r="X59" s="67">
        <f t="shared" si="27"/>
        <v>220069.13978222554</v>
      </c>
      <c r="Y59" s="67">
        <f t="shared" si="27"/>
        <v>220164.87419093645</v>
      </c>
      <c r="Z59" s="67">
        <f t="shared" si="27"/>
        <v>220256.779223299</v>
      </c>
      <c r="AA59" s="67">
        <f t="shared" si="27"/>
        <v>220345.00805436709</v>
      </c>
      <c r="AB59" s="67">
        <f t="shared" si="27"/>
        <v>220429.70773219236</v>
      </c>
      <c r="AC59" s="67">
        <f t="shared" si="27"/>
        <v>220511.0194229047</v>
      </c>
      <c r="AD59" s="67">
        <f t="shared" si="27"/>
        <v>220589.07864598851</v>
      </c>
      <c r="AE59" s="67">
        <f t="shared" si="27"/>
        <v>220664.01550014899</v>
      </c>
      <c r="AF59" s="67">
        <f t="shared" si="27"/>
        <v>220735.95488014305</v>
      </c>
      <c r="AG59" s="67">
        <f t="shared" si="27"/>
        <v>220805.01668493735</v>
      </c>
      <c r="AH59" s="67">
        <f t="shared" si="27"/>
        <v>220871.31601753979</v>
      </c>
      <c r="AI59" s="70">
        <f t="shared" si="27"/>
        <v>220934.96337683819</v>
      </c>
    </row>
    <row r="60" spans="14:50" x14ac:dyDescent="0.3">
      <c r="N60" s="147" t="str">
        <f>'Partie 2A'!G77</f>
        <v>Amortissement de l'équipement (linéaire)</v>
      </c>
      <c r="O60" s="67">
        <f>'Partie 2A'!H77</f>
        <v>0</v>
      </c>
      <c r="P60" s="67">
        <f>'Partie 2A'!I77</f>
        <v>16000</v>
      </c>
      <c r="Q60" s="67">
        <f>'Partie 2A'!J77</f>
        <v>16000</v>
      </c>
      <c r="R60" s="67">
        <f>'Partie 2A'!K77</f>
        <v>16000</v>
      </c>
      <c r="S60" s="67">
        <f>'Partie 2A'!L77</f>
        <v>16000</v>
      </c>
      <c r="T60" s="67">
        <f>'Partie 2A'!M77</f>
        <v>16000</v>
      </c>
      <c r="U60" s="67">
        <f>'Partie 2A'!N77</f>
        <v>16000</v>
      </c>
      <c r="V60" s="67">
        <f>'Partie 2A'!O77</f>
        <v>16000</v>
      </c>
      <c r="W60" s="67">
        <f>'Partie 2A'!P77</f>
        <v>16000</v>
      </c>
      <c r="X60" s="67">
        <f>'Partie 2A'!Q77</f>
        <v>16000</v>
      </c>
      <c r="Y60" s="67">
        <f>'Partie 2A'!R77</f>
        <v>16000</v>
      </c>
      <c r="Z60" s="67">
        <f>'Partie 2A'!S77</f>
        <v>16000</v>
      </c>
      <c r="AA60" s="67">
        <f>'Partie 2A'!T77</f>
        <v>16000</v>
      </c>
      <c r="AB60" s="67">
        <f>'Partie 2A'!U77</f>
        <v>16000</v>
      </c>
      <c r="AC60" s="67">
        <f>'Partie 2A'!V77</f>
        <v>16000</v>
      </c>
      <c r="AD60" s="67">
        <f>'Partie 2A'!W77</f>
        <v>16000</v>
      </c>
      <c r="AE60" s="67">
        <f>'Partie 2A'!X77</f>
        <v>16000</v>
      </c>
      <c r="AF60" s="67">
        <f>'Partie 2A'!Y77</f>
        <v>16000</v>
      </c>
      <c r="AG60" s="67">
        <f>'Partie 2A'!Z77</f>
        <v>16000</v>
      </c>
      <c r="AH60" s="67">
        <f>'Partie 2A'!AA77</f>
        <v>16000</v>
      </c>
      <c r="AI60" s="70">
        <f>'Partie 2A'!AB77</f>
        <v>16000</v>
      </c>
    </row>
    <row r="61" spans="14:50" x14ac:dyDescent="0.3">
      <c r="N61" s="147" t="str">
        <f>'Partie 2A'!G78</f>
        <v>Amortissement du bâtiment (DPA)</v>
      </c>
      <c r="O61" s="67">
        <f>'Partie 2A'!H78</f>
        <v>0</v>
      </c>
      <c r="P61" s="67">
        <f>'Partie 2A'!I78</f>
        <v>2500</v>
      </c>
      <c r="Q61" s="67">
        <f>'Partie 2A'!J78</f>
        <v>4900</v>
      </c>
      <c r="R61" s="67">
        <f>'Partie 2A'!K78</f>
        <v>4704</v>
      </c>
      <c r="S61" s="67">
        <f>'Partie 2A'!L78</f>
        <v>4515.84</v>
      </c>
      <c r="T61" s="67">
        <f>'Partie 2A'!M78</f>
        <v>4335.2064</v>
      </c>
      <c r="U61" s="67">
        <f>'Partie 2A'!N78</f>
        <v>4161.7981440000003</v>
      </c>
      <c r="V61" s="67">
        <f>'Partie 2A'!O78</f>
        <v>3995.3262182400003</v>
      </c>
      <c r="W61" s="67">
        <f>'Partie 2A'!P78</f>
        <v>3835.5131695104001</v>
      </c>
      <c r="X61" s="67">
        <f>'Partie 2A'!Q78</f>
        <v>3682.0926427299837</v>
      </c>
      <c r="Y61" s="67">
        <f>'Partie 2A'!R78</f>
        <v>3534.8089370207845</v>
      </c>
      <c r="Z61" s="67">
        <f>'Partie 2A'!S78</f>
        <v>3393.4165795399531</v>
      </c>
      <c r="AA61" s="67">
        <f>'Partie 2A'!T78</f>
        <v>3257.6799163583551</v>
      </c>
      <c r="AB61" s="67">
        <f>'Partie 2A'!U78</f>
        <v>3127.3727197040212</v>
      </c>
      <c r="AC61" s="67">
        <f>'Partie 2A'!V78</f>
        <v>3002.2778109158598</v>
      </c>
      <c r="AD61" s="67">
        <f>'Partie 2A'!W78</f>
        <v>2882.1866984792259</v>
      </c>
      <c r="AE61" s="67">
        <f>'Partie 2A'!X78</f>
        <v>2766.8992305400566</v>
      </c>
      <c r="AF61" s="67">
        <f>'Partie 2A'!Y78</f>
        <v>2656.2232613184542</v>
      </c>
      <c r="AG61" s="67">
        <f>'Partie 2A'!Z78</f>
        <v>2549.9743308657162</v>
      </c>
      <c r="AH61" s="67">
        <f>'Partie 2A'!AA78</f>
        <v>2447.9753576310877</v>
      </c>
      <c r="AI61" s="70">
        <f>'Partie 2A'!AB78</f>
        <v>2350.056343325844</v>
      </c>
    </row>
    <row r="62" spans="14:50" x14ac:dyDescent="0.3">
      <c r="N62" s="147" t="str">
        <f>'Partie 2A'!G79</f>
        <v>Activités d'investissement</v>
      </c>
      <c r="O62" s="67">
        <f>'Partie 2A'!H79</f>
        <v>0</v>
      </c>
      <c r="P62" s="67">
        <f>'Partie 2A'!I79</f>
        <v>0</v>
      </c>
      <c r="Q62" s="67">
        <f>'Partie 2A'!J79</f>
        <v>0</v>
      </c>
      <c r="R62" s="67">
        <f>'Partie 2A'!K79</f>
        <v>0</v>
      </c>
      <c r="S62" s="67">
        <f>'Partie 2A'!L79</f>
        <v>0</v>
      </c>
      <c r="T62" s="67">
        <f>'Partie 2A'!M79</f>
        <v>0</v>
      </c>
      <c r="U62" s="67">
        <f>'Partie 2A'!N79</f>
        <v>0</v>
      </c>
      <c r="V62" s="67">
        <f>'Partie 2A'!O79</f>
        <v>0</v>
      </c>
      <c r="W62" s="67">
        <f>'Partie 2A'!P79</f>
        <v>0</v>
      </c>
      <c r="X62" s="67">
        <f>'Partie 2A'!Q79</f>
        <v>0</v>
      </c>
      <c r="Y62" s="67">
        <f>'Partie 2A'!R79</f>
        <v>0</v>
      </c>
      <c r="Z62" s="67">
        <f>'Partie 2A'!S79</f>
        <v>0</v>
      </c>
      <c r="AA62" s="67">
        <f>'Partie 2A'!T79</f>
        <v>0</v>
      </c>
      <c r="AB62" s="67">
        <f>'Partie 2A'!U79</f>
        <v>0</v>
      </c>
      <c r="AC62" s="67">
        <f>'Partie 2A'!V79</f>
        <v>0</v>
      </c>
      <c r="AD62" s="67">
        <f>'Partie 2A'!W79</f>
        <v>0</v>
      </c>
      <c r="AE62" s="67">
        <f>'Partie 2A'!X79</f>
        <v>0</v>
      </c>
      <c r="AF62" s="67">
        <f>'Partie 2A'!Y79</f>
        <v>0</v>
      </c>
      <c r="AG62" s="67">
        <f>'Partie 2A'!Z79</f>
        <v>0</v>
      </c>
      <c r="AH62" s="67">
        <f>'Partie 2A'!AA79</f>
        <v>0</v>
      </c>
      <c r="AI62" s="70">
        <f>'Partie 2A'!AB79</f>
        <v>0</v>
      </c>
    </row>
    <row r="63" spans="14:50" x14ac:dyDescent="0.3">
      <c r="N63" s="147" t="str">
        <f>'Partie 2A'!G80</f>
        <v xml:space="preserve">  Équipement Fabrication</v>
      </c>
      <c r="O63" s="67">
        <f>'Partie 2A'!H80</f>
        <v>-355000</v>
      </c>
      <c r="P63" s="67">
        <f>'Partie 2A'!I80</f>
        <v>0</v>
      </c>
      <c r="Q63" s="67">
        <f>'Partie 2A'!J80</f>
        <v>0</v>
      </c>
      <c r="R63" s="67">
        <f>'Partie 2A'!K80</f>
        <v>0</v>
      </c>
      <c r="S63" s="67">
        <f>'Partie 2A'!L80</f>
        <v>0</v>
      </c>
      <c r="T63" s="67">
        <f>'Partie 2A'!M80</f>
        <v>0</v>
      </c>
      <c r="U63" s="67">
        <f>'Partie 2A'!N80</f>
        <v>0</v>
      </c>
      <c r="V63" s="67">
        <f>'Partie 2A'!O80</f>
        <v>0</v>
      </c>
      <c r="W63" s="67">
        <f>'Partie 2A'!P80</f>
        <v>0</v>
      </c>
      <c r="X63" s="67">
        <f>'Partie 2A'!Q80</f>
        <v>0</v>
      </c>
      <c r="Y63" s="67">
        <f>'Partie 2A'!R80</f>
        <v>0</v>
      </c>
      <c r="Z63" s="67">
        <f>'Partie 2A'!S80</f>
        <v>0</v>
      </c>
      <c r="AA63" s="67">
        <f>'Partie 2A'!T80</f>
        <v>0</v>
      </c>
      <c r="AB63" s="67">
        <f>'Partie 2A'!U80</f>
        <v>0</v>
      </c>
      <c r="AC63" s="67">
        <f>'Partie 2A'!V80</f>
        <v>0</v>
      </c>
      <c r="AD63" s="67">
        <f>'Partie 2A'!W80</f>
        <v>0</v>
      </c>
      <c r="AE63" s="67">
        <f>'Partie 2A'!X80</f>
        <v>0</v>
      </c>
      <c r="AF63" s="67">
        <f>'Partie 2A'!Y80</f>
        <v>0</v>
      </c>
      <c r="AG63" s="67">
        <f>'Partie 2A'!Z80</f>
        <v>0</v>
      </c>
      <c r="AH63" s="67">
        <f>'Partie 2A'!AA80</f>
        <v>0</v>
      </c>
      <c r="AI63" s="70">
        <f>'Partie 2A'!AB80</f>
        <v>0</v>
      </c>
    </row>
    <row r="64" spans="14:50" x14ac:dyDescent="0.3">
      <c r="N64" s="147" t="str">
        <f>'Partie 2A'!G81</f>
        <v xml:space="preserve">  Récupération Équipement (S)</v>
      </c>
      <c r="O64" s="67">
        <f>'Partie 2A'!H81</f>
        <v>0</v>
      </c>
      <c r="P64" s="67">
        <f>'Partie 2A'!I81</f>
        <v>0</v>
      </c>
      <c r="Q64" s="67">
        <f>'Partie 2A'!J81</f>
        <v>0</v>
      </c>
      <c r="R64" s="67">
        <f>'Partie 2A'!K81</f>
        <v>0</v>
      </c>
      <c r="S64" s="67">
        <f>'Partie 2A'!L81</f>
        <v>0</v>
      </c>
      <c r="T64" s="67">
        <f>'Partie 2A'!M81</f>
        <v>0</v>
      </c>
      <c r="U64" s="67">
        <f>'Partie 2A'!N81</f>
        <v>0</v>
      </c>
      <c r="V64" s="67">
        <f>'Partie 2A'!O81</f>
        <v>0</v>
      </c>
      <c r="W64" s="67">
        <f>'Partie 2A'!P81</f>
        <v>0</v>
      </c>
      <c r="X64" s="67">
        <f>'Partie 2A'!Q81</f>
        <v>0</v>
      </c>
      <c r="Y64" s="67">
        <f>'Partie 2A'!R81</f>
        <v>0</v>
      </c>
      <c r="Z64" s="67">
        <f>'Partie 2A'!S81</f>
        <v>0</v>
      </c>
      <c r="AA64" s="67">
        <f>'Partie 2A'!T81</f>
        <v>0</v>
      </c>
      <c r="AB64" s="67">
        <f>'Partie 2A'!U81</f>
        <v>0</v>
      </c>
      <c r="AC64" s="67">
        <f>'Partie 2A'!V81</f>
        <v>0</v>
      </c>
      <c r="AD64" s="67">
        <f>'Partie 2A'!W81</f>
        <v>0</v>
      </c>
      <c r="AE64" s="67">
        <f>'Partie 2A'!X81</f>
        <v>0</v>
      </c>
      <c r="AF64" s="67">
        <f>'Partie 2A'!Y81</f>
        <v>0</v>
      </c>
      <c r="AG64" s="67">
        <f>'Partie 2A'!Z81</f>
        <v>0</v>
      </c>
      <c r="AH64" s="67">
        <f>'Partie 2A'!AA81</f>
        <v>0</v>
      </c>
      <c r="AI64" s="70">
        <f>'Partie 2A'!AB81</f>
        <v>35000</v>
      </c>
    </row>
    <row r="65" spans="12:68" x14ac:dyDescent="0.3">
      <c r="N65" s="147" t="str">
        <f>'Partie 2A'!G82</f>
        <v xml:space="preserve">  Bâtiment</v>
      </c>
      <c r="O65" s="67">
        <f>'Partie 2A'!H82</f>
        <v>-125000</v>
      </c>
      <c r="P65" s="67">
        <f>'Partie 2A'!I82</f>
        <v>0</v>
      </c>
      <c r="Q65" s="67">
        <f>'Partie 2A'!J82</f>
        <v>0</v>
      </c>
      <c r="R65" s="67">
        <f>'Partie 2A'!K82</f>
        <v>0</v>
      </c>
      <c r="S65" s="67">
        <f>'Partie 2A'!L82</f>
        <v>0</v>
      </c>
      <c r="T65" s="67">
        <f>'Partie 2A'!M82</f>
        <v>0</v>
      </c>
      <c r="U65" s="67">
        <f>'Partie 2A'!N82</f>
        <v>0</v>
      </c>
      <c r="V65" s="67">
        <f>'Partie 2A'!O82</f>
        <v>0</v>
      </c>
      <c r="W65" s="67">
        <f>'Partie 2A'!P82</f>
        <v>0</v>
      </c>
      <c r="X65" s="67">
        <f>'Partie 2A'!Q82</f>
        <v>0</v>
      </c>
      <c r="Y65" s="67">
        <f>'Partie 2A'!R82</f>
        <v>0</v>
      </c>
      <c r="Z65" s="67">
        <f>'Partie 2A'!S82</f>
        <v>0</v>
      </c>
      <c r="AA65" s="67">
        <f>'Partie 2A'!T82</f>
        <v>0</v>
      </c>
      <c r="AB65" s="67">
        <f>'Partie 2A'!U82</f>
        <v>0</v>
      </c>
      <c r="AC65" s="67">
        <f>'Partie 2A'!V82</f>
        <v>0</v>
      </c>
      <c r="AD65" s="67">
        <f>'Partie 2A'!W82</f>
        <v>0</v>
      </c>
      <c r="AE65" s="67">
        <f>'Partie 2A'!X82</f>
        <v>0</v>
      </c>
      <c r="AF65" s="67">
        <f>'Partie 2A'!Y82</f>
        <v>0</v>
      </c>
      <c r="AG65" s="67">
        <f>'Partie 2A'!Z82</f>
        <v>0</v>
      </c>
      <c r="AH65" s="67">
        <f>'Partie 2A'!AA82</f>
        <v>0</v>
      </c>
      <c r="AI65" s="70">
        <f>'Partie 2A'!AB82</f>
        <v>0</v>
      </c>
    </row>
    <row r="66" spans="12:68" x14ac:dyDescent="0.3">
      <c r="N66" s="147" t="str">
        <f>'Partie 2A'!G83</f>
        <v xml:space="preserve">  Récupération bâtiment</v>
      </c>
      <c r="O66" s="67">
        <f>'Partie 2A'!H83</f>
        <v>0</v>
      </c>
      <c r="P66" s="67">
        <f>'Partie 2A'!I83</f>
        <v>0</v>
      </c>
      <c r="Q66" s="67">
        <f>'Partie 2A'!J83</f>
        <v>0</v>
      </c>
      <c r="R66" s="67">
        <f>'Partie 2A'!K83</f>
        <v>0</v>
      </c>
      <c r="S66" s="67">
        <f>'Partie 2A'!L83</f>
        <v>0</v>
      </c>
      <c r="T66" s="67">
        <f>'Partie 2A'!M83</f>
        <v>0</v>
      </c>
      <c r="U66" s="67">
        <f>'Partie 2A'!N83</f>
        <v>0</v>
      </c>
      <c r="V66" s="67">
        <f>'Partie 2A'!O83</f>
        <v>0</v>
      </c>
      <c r="W66" s="67">
        <f>'Partie 2A'!P83</f>
        <v>0</v>
      </c>
      <c r="X66" s="67">
        <f>'Partie 2A'!Q83</f>
        <v>0</v>
      </c>
      <c r="Y66" s="67">
        <f>'Partie 2A'!R83</f>
        <v>0</v>
      </c>
      <c r="Z66" s="67">
        <f>'Partie 2A'!S83</f>
        <v>0</v>
      </c>
      <c r="AA66" s="67">
        <f>'Partie 2A'!T83</f>
        <v>0</v>
      </c>
      <c r="AB66" s="67">
        <f>'Partie 2A'!U83</f>
        <v>0</v>
      </c>
      <c r="AC66" s="67">
        <f>'Partie 2A'!V83</f>
        <v>0</v>
      </c>
      <c r="AD66" s="67">
        <f>'Partie 2A'!W83</f>
        <v>0</v>
      </c>
      <c r="AE66" s="67">
        <f>'Partie 2A'!X83</f>
        <v>0</v>
      </c>
      <c r="AF66" s="67">
        <f>'Partie 2A'!Y83</f>
        <v>0</v>
      </c>
      <c r="AG66" s="67">
        <f>'Partie 2A'!Z83</f>
        <v>0</v>
      </c>
      <c r="AH66" s="67">
        <f>'Partie 2A'!AA83</f>
        <v>0</v>
      </c>
      <c r="AI66" s="70">
        <f>'Partie 2A'!AB83</f>
        <v>40000</v>
      </c>
    </row>
    <row r="67" spans="12:68" x14ac:dyDescent="0.3">
      <c r="N67" s="147" t="str">
        <f>'Partie 2A'!G84</f>
        <v xml:space="preserve">  Effet fiscal de disposition du bâtiment</v>
      </c>
      <c r="O67" s="67">
        <f>'Partie 2A'!H84</f>
        <v>0</v>
      </c>
      <c r="P67" s="67">
        <f>'Partie 2A'!I84</f>
        <v>0</v>
      </c>
      <c r="Q67" s="67">
        <f>'Partie 2A'!J84</f>
        <v>0</v>
      </c>
      <c r="R67" s="67">
        <f>'Partie 2A'!K84</f>
        <v>0</v>
      </c>
      <c r="S67" s="67">
        <f>'Partie 2A'!L84</f>
        <v>0</v>
      </c>
      <c r="T67" s="67">
        <f>'Partie 2A'!M84</f>
        <v>0</v>
      </c>
      <c r="U67" s="67">
        <f>'Partie 2A'!N84</f>
        <v>0</v>
      </c>
      <c r="V67" s="67">
        <f>'Partie 2A'!O84</f>
        <v>0</v>
      </c>
      <c r="W67" s="67">
        <f>'Partie 2A'!P84</f>
        <v>0</v>
      </c>
      <c r="X67" s="67">
        <f>'Partie 2A'!Q84</f>
        <v>0</v>
      </c>
      <c r="Y67" s="67">
        <f>'Partie 2A'!R84</f>
        <v>0</v>
      </c>
      <c r="Z67" s="67">
        <f>'Partie 2A'!S84</f>
        <v>0</v>
      </c>
      <c r="AA67" s="67">
        <f>'Partie 2A'!T84</f>
        <v>0</v>
      </c>
      <c r="AB67" s="67">
        <f>'Partie 2A'!U84</f>
        <v>0</v>
      </c>
      <c r="AC67" s="67">
        <f>'Partie 2A'!V84</f>
        <v>0</v>
      </c>
      <c r="AD67" s="67">
        <f>'Partie 2A'!W84</f>
        <v>0</v>
      </c>
      <c r="AE67" s="67">
        <f>'Partie 2A'!X84</f>
        <v>0</v>
      </c>
      <c r="AF67" s="67">
        <f>'Partie 2A'!Y84</f>
        <v>0</v>
      </c>
      <c r="AG67" s="67">
        <f>'Partie 2A'!Z84</f>
        <v>0</v>
      </c>
      <c r="AH67" s="67">
        <f>'Partie 2A'!AA84</f>
        <v>0</v>
      </c>
      <c r="AI67" s="70">
        <f>'Partie 2A'!AB84</f>
        <v>5740.473283937089</v>
      </c>
    </row>
    <row r="68" spans="12:68" x14ac:dyDescent="0.3">
      <c r="N68" s="147" t="str">
        <f>'Partie 2A'!G85</f>
        <v>Flux Monétaire Net</v>
      </c>
      <c r="O68" s="67">
        <f>SUM(O58:O67)</f>
        <v>-480000</v>
      </c>
      <c r="P68" s="67">
        <f t="shared" ref="P68:AI68" si="28">SUM(P58:P67)</f>
        <v>247137.5</v>
      </c>
      <c r="Q68" s="67">
        <f t="shared" si="28"/>
        <v>240177.5</v>
      </c>
      <c r="R68" s="67">
        <f t="shared" si="28"/>
        <v>240108.90000000002</v>
      </c>
      <c r="S68" s="67">
        <f t="shared" si="28"/>
        <v>240043.04400000002</v>
      </c>
      <c r="T68" s="67">
        <f t="shared" si="28"/>
        <v>239979.82223999998</v>
      </c>
      <c r="U68" s="67">
        <f t="shared" si="28"/>
        <v>239919.12935040001</v>
      </c>
      <c r="V68" s="67">
        <f t="shared" si="28"/>
        <v>239860.86417638403</v>
      </c>
      <c r="W68" s="67">
        <f t="shared" si="28"/>
        <v>239804.92960932865</v>
      </c>
      <c r="X68" s="67">
        <f t="shared" si="28"/>
        <v>239751.23242495552</v>
      </c>
      <c r="Y68" s="67">
        <f t="shared" si="28"/>
        <v>239699.68312795722</v>
      </c>
      <c r="Z68" s="67">
        <f t="shared" si="28"/>
        <v>239650.19580283895</v>
      </c>
      <c r="AA68" s="67">
        <f t="shared" si="28"/>
        <v>239602.68797072544</v>
      </c>
      <c r="AB68" s="67">
        <f t="shared" si="28"/>
        <v>239557.08045189639</v>
      </c>
      <c r="AC68" s="67">
        <f t="shared" si="28"/>
        <v>239513.29723382057</v>
      </c>
      <c r="AD68" s="67">
        <f t="shared" si="28"/>
        <v>239471.26534446774</v>
      </c>
      <c r="AE68" s="67">
        <f t="shared" si="28"/>
        <v>239430.91473068905</v>
      </c>
      <c r="AF68" s="67">
        <f t="shared" si="28"/>
        <v>239392.17814146151</v>
      </c>
      <c r="AG68" s="67">
        <f t="shared" si="28"/>
        <v>239354.99101580307</v>
      </c>
      <c r="AH68" s="67">
        <f t="shared" si="28"/>
        <v>239319.29137517087</v>
      </c>
      <c r="AI68" s="70">
        <f t="shared" si="28"/>
        <v>320025.4930041011</v>
      </c>
    </row>
    <row r="69" spans="12:68" x14ac:dyDescent="0.3">
      <c r="N69" s="147" t="str">
        <f>'Partie 2A'!G86</f>
        <v>Facteur d'actualisation du Flux 
(utilisation de la table d'intérêt)</v>
      </c>
      <c r="O69" s="66">
        <f>'Partie 2A'!H86</f>
        <v>1</v>
      </c>
      <c r="P69" s="66">
        <f>'Partie 2A'!I86</f>
        <v>0.86577436575632338</v>
      </c>
      <c r="Q69" s="66">
        <f>'Partie 2A'!J86</f>
        <v>0.7495652524007641</v>
      </c>
      <c r="R69" s="66">
        <f>'Partie 2A'!K86</f>
        <v>0.64895438099025005</v>
      </c>
      <c r="S69" s="66">
        <f>'Partie 2A'!L86</f>
        <v>0.56184806760662109</v>
      </c>
      <c r="T69" s="66">
        <f>'Partie 2A'!M86</f>
        <v>0.48643365438353831</v>
      </c>
      <c r="U69" s="66">
        <f>'Partie 2A'!N86</f>
        <v>0.42114178860643858</v>
      </c>
      <c r="V69" s="66">
        <f>'Partie 2A'!O86</f>
        <v>0.36461376492422298</v>
      </c>
      <c r="W69" s="66">
        <f>'Partie 2A'!P86</f>
        <v>0.3156732510732943</v>
      </c>
      <c r="X69" s="66">
        <f>'Partie 2A'!Q86</f>
        <v>0.27330180873421805</v>
      </c>
      <c r="Y69" s="66">
        <f>'Partie 2A'!R86</f>
        <v>0.23661770011692362</v>
      </c>
      <c r="Z69" s="66">
        <f>'Partie 2A'!S86</f>
        <v>0.2048575392454495</v>
      </c>
      <c r="AA69" s="66">
        <f>'Partie 2A'!T86</f>
        <v>0.17736040611063017</v>
      </c>
      <c r="AB69" s="66">
        <f>'Partie 2A'!U86</f>
        <v>0.15355409311071477</v>
      </c>
      <c r="AC69" s="66">
        <f>'Partie 2A'!V86</f>
        <v>0.13294319757221654</v>
      </c>
      <c r="AD69" s="66">
        <f>'Partie 2A'!W86</f>
        <v>0.11509881255970336</v>
      </c>
      <c r="AE69" s="66">
        <f>'Partie 2A'!X86</f>
        <v>9.964960144318312E-2</v>
      </c>
      <c r="AF69" s="66">
        <f>'Partie 2A'!Y86</f>
        <v>8.6274070487342272E-2</v>
      </c>
      <c r="AG69" s="66">
        <f>'Partie 2A'!Z86</f>
        <v>7.4693878657395102E-2</v>
      </c>
      <c r="AH69" s="66">
        <f>'Partie 2A'!AA86</f>
        <v>6.4668045420486028E-2</v>
      </c>
      <c r="AI69" s="148">
        <f>'Partie 2A'!AB86</f>
        <v>5.5987936008622403E-2</v>
      </c>
    </row>
    <row r="70" spans="12:68" ht="15" thickBot="1" x14ac:dyDescent="0.35">
      <c r="N70" s="149" t="str">
        <f>'Partie 2A'!G87</f>
        <v>Flux Monétaire Net Actualisé</v>
      </c>
      <c r="O70" s="71">
        <f>O68*O69</f>
        <v>-480000</v>
      </c>
      <c r="P70" s="71">
        <f t="shared" ref="P70:AI70" si="29">P68*P69</f>
        <v>213965.31231710338</v>
      </c>
      <c r="Q70" s="71">
        <f t="shared" si="29"/>
        <v>180028.70840848453</v>
      </c>
      <c r="R70" s="71">
        <f t="shared" si="29"/>
        <v>155819.72256974987</v>
      </c>
      <c r="S70" s="71">
        <f t="shared" si="29"/>
        <v>134867.72041381113</v>
      </c>
      <c r="T70" s="71">
        <f t="shared" si="29"/>
        <v>116734.26191051511</v>
      </c>
      <c r="U70" s="71">
        <f t="shared" si="29"/>
        <v>101039.97125552695</v>
      </c>
      <c r="V70" s="71">
        <f t="shared" si="29"/>
        <v>87456.57274532906</v>
      </c>
      <c r="W70" s="71">
        <f t="shared" si="29"/>
        <v>75700.001753179269</v>
      </c>
      <c r="X70" s="71">
        <f t="shared" si="29"/>
        <v>65524.445467998252</v>
      </c>
      <c r="Y70" s="71">
        <f t="shared" si="29"/>
        <v>56717.187740492598</v>
      </c>
      <c r="Z70" s="71">
        <f t="shared" si="29"/>
        <v>49094.149391859733</v>
      </c>
      <c r="AA70" s="71">
        <f t="shared" si="29"/>
        <v>42496.030043686464</v>
      </c>
      <c r="AB70" s="71">
        <f t="shared" si="29"/>
        <v>36784.970237041489</v>
      </c>
      <c r="AC70" s="71">
        <f t="shared" si="29"/>
        <v>31841.663595328831</v>
      </c>
      <c r="AD70" s="71">
        <f t="shared" si="29"/>
        <v>27562.858283317881</v>
      </c>
      <c r="AE70" s="71">
        <f t="shared" si="29"/>
        <v>23859.195226089927</v>
      </c>
      <c r="AF70" s="71">
        <f t="shared" si="29"/>
        <v>20653.337651094847</v>
      </c>
      <c r="AG70" s="71">
        <f t="shared" si="29"/>
        <v>17878.35265497629</v>
      </c>
      <c r="AH70" s="71">
        <f t="shared" si="29"/>
        <v>15476.310804648079</v>
      </c>
      <c r="AI70" s="72">
        <f t="shared" si="29"/>
        <v>17917.566823441448</v>
      </c>
    </row>
    <row r="71" spans="12:68" x14ac:dyDescent="0.3">
      <c r="N71" t="str">
        <f>'Partie 2A'!G88</f>
        <v>Valeur Présente du Flux monétaire PE (15%)</v>
      </c>
      <c r="O71" s="78">
        <f>SUM(O70:AI70)</f>
        <v>991418.33929367526</v>
      </c>
      <c r="P71" s="78"/>
      <c r="Q71" s="78"/>
      <c r="R71" s="78"/>
      <c r="S71" s="78"/>
      <c r="T71" s="78"/>
      <c r="U71" s="78"/>
      <c r="V71" s="78"/>
      <c r="W71" s="78"/>
      <c r="X71" s="78"/>
      <c r="Y71" s="78"/>
      <c r="Z71" s="78"/>
      <c r="AA71" s="78"/>
      <c r="AB71" s="78"/>
      <c r="AC71" s="78"/>
      <c r="AD71" s="78"/>
      <c r="AE71" s="78"/>
      <c r="AF71" s="78"/>
      <c r="AG71" s="78"/>
      <c r="AH71" s="78"/>
      <c r="AI71" s="78"/>
    </row>
    <row r="72" spans="12:68" x14ac:dyDescent="0.3">
      <c r="BP72" t="s">
        <v>304</v>
      </c>
    </row>
    <row r="73" spans="12:68" ht="15" thickBot="1" x14ac:dyDescent="0.35">
      <c r="O73">
        <f>O57</f>
        <v>0</v>
      </c>
      <c r="P73">
        <f t="shared" ref="P73:AI73" si="30">P57</f>
        <v>1</v>
      </c>
      <c r="Q73">
        <f t="shared" si="30"/>
        <v>2</v>
      </c>
      <c r="R73">
        <f t="shared" si="30"/>
        <v>3</v>
      </c>
      <c r="S73">
        <f t="shared" si="30"/>
        <v>4</v>
      </c>
      <c r="T73">
        <f t="shared" si="30"/>
        <v>5</v>
      </c>
      <c r="U73">
        <f t="shared" si="30"/>
        <v>6</v>
      </c>
      <c r="V73">
        <f t="shared" si="30"/>
        <v>7</v>
      </c>
      <c r="W73">
        <f t="shared" si="30"/>
        <v>8</v>
      </c>
      <c r="X73">
        <f t="shared" si="30"/>
        <v>9</v>
      </c>
      <c r="Y73">
        <f t="shared" si="30"/>
        <v>10</v>
      </c>
      <c r="Z73">
        <f t="shared" si="30"/>
        <v>11</v>
      </c>
      <c r="AA73">
        <f t="shared" si="30"/>
        <v>12</v>
      </c>
      <c r="AB73">
        <f t="shared" si="30"/>
        <v>13</v>
      </c>
      <c r="AC73">
        <f t="shared" si="30"/>
        <v>14</v>
      </c>
      <c r="AD73">
        <f t="shared" si="30"/>
        <v>15</v>
      </c>
      <c r="AE73">
        <f t="shared" si="30"/>
        <v>16</v>
      </c>
      <c r="AF73">
        <f t="shared" si="30"/>
        <v>17</v>
      </c>
      <c r="AG73">
        <f t="shared" si="30"/>
        <v>18</v>
      </c>
      <c r="AH73">
        <f t="shared" si="30"/>
        <v>19</v>
      </c>
      <c r="AI73">
        <f t="shared" si="30"/>
        <v>20</v>
      </c>
      <c r="AJ73" t="s">
        <v>322</v>
      </c>
    </row>
    <row r="74" spans="12:68" x14ac:dyDescent="0.3">
      <c r="L74" s="410">
        <f t="shared" ref="L74:L76" si="31">L75-0.05</f>
        <v>-0.2</v>
      </c>
      <c r="M74" s="370" t="str">
        <f>C25</f>
        <v>Px</v>
      </c>
      <c r="N74" s="411" t="str">
        <f>_xlfn.CONCAT(M74,"(",L74*100,"%)")</f>
        <v>Px(-20%)</v>
      </c>
      <c r="O74" s="129">
        <f t="shared" ref="O74:O77" si="32">$O$70</f>
        <v>-480000</v>
      </c>
      <c r="P74" s="129">
        <f>((SUM(P$38*(1+$L74)*P$39,P$42:P$52)+-SUM(P$38*(1+$L74)*P$39,P$42:P$52)*0.35)+P$60+P$61)*P$69</f>
        <v>150655.56182117222</v>
      </c>
      <c r="Q74" s="129">
        <f t="shared" ref="Q74:AH82" si="33">((SUM(Q$38*(1+$L74)*Q$39,Q$42:Q$52)+-SUM(Q$38*(1+$L74)*Q$39,Q$42:Q$52)*0.35)+Q$60+Q$61)*Q$69</f>
        <v>125216.74932667865</v>
      </c>
      <c r="R74" s="129">
        <f t="shared" si="33"/>
        <v>108364.93345983783</v>
      </c>
      <c r="S74" s="129">
        <f t="shared" si="33"/>
        <v>93782.580470076937</v>
      </c>
      <c r="T74" s="129">
        <f t="shared" si="33"/>
        <v>81163.800933718871</v>
      </c>
      <c r="U74" s="129">
        <f t="shared" si="33"/>
        <v>70243.977963681129</v>
      </c>
      <c r="V74" s="129">
        <f t="shared" si="33"/>
        <v>60794.191185245239</v>
      </c>
      <c r="W74" s="129">
        <f t="shared" si="33"/>
        <v>52616.395268444627</v>
      </c>
      <c r="X74" s="129">
        <f t="shared" si="33"/>
        <v>45539.25070430855</v>
      </c>
      <c r="Y74" s="129">
        <f t="shared" si="33"/>
        <v>39414.518419442575</v>
      </c>
      <c r="Z74" s="129">
        <f t="shared" si="33"/>
        <v>34113.941834536257</v>
      </c>
      <c r="AA74" s="129">
        <f t="shared" si="33"/>
        <v>29526.55034684663</v>
      </c>
      <c r="AB74" s="129">
        <f t="shared" si="33"/>
        <v>25556.32717832048</v>
      </c>
      <c r="AC74" s="129">
        <f t="shared" si="33"/>
        <v>22120.192272860499</v>
      </c>
      <c r="AD74" s="129">
        <f t="shared" si="33"/>
        <v>19146.257614889571</v>
      </c>
      <c r="AE74" s="129">
        <f t="shared" si="33"/>
        <v>16572.31812055716</v>
      </c>
      <c r="AF74" s="129">
        <f t="shared" si="33"/>
        <v>14344.54624670794</v>
      </c>
      <c r="AG74" s="129">
        <f t="shared" si="33"/>
        <v>12416.362778154267</v>
      </c>
      <c r="AH74" s="129">
        <f t="shared" si="33"/>
        <v>10747.459983275039</v>
      </c>
      <c r="AI74" s="130">
        <f t="shared" ref="AI74:AI77" si="34">((SUM(AI$38*(1+$L74)*AI$39,AI$42:AI$52)+-SUM(AI$38*(1+$L74)*AI$39,AI$42:AI$52)*0.35)+SUM(AI$60:AI$67))*AI$69</f>
        <v>13823.449002810939</v>
      </c>
      <c r="AJ74" s="415">
        <f>SUM(O74:AI74)</f>
        <v>546159.36493156548</v>
      </c>
      <c r="AK74" t="str">
        <f>M74</f>
        <v>Px</v>
      </c>
      <c r="AM74">
        <v>546159.36493156548</v>
      </c>
      <c r="AO74">
        <v>546159.36493156548</v>
      </c>
      <c r="AP74">
        <v>657474.10852209281</v>
      </c>
      <c r="AQ74">
        <v>768788.85211262025</v>
      </c>
      <c r="AR74">
        <v>880103.59570314782</v>
      </c>
      <c r="AS74">
        <v>991418.33929367526</v>
      </c>
      <c r="AT74">
        <v>1102733.0828842025</v>
      </c>
      <c r="AU74">
        <v>1214047.8264747302</v>
      </c>
      <c r="AV74">
        <v>1325362.5700652574</v>
      </c>
      <c r="AW74">
        <v>1436677.3136557846</v>
      </c>
    </row>
    <row r="75" spans="12:68" x14ac:dyDescent="0.3">
      <c r="L75" s="412">
        <f t="shared" si="31"/>
        <v>-0.15000000000000002</v>
      </c>
      <c r="M75" s="371" t="str">
        <f>$M$74</f>
        <v>Px</v>
      </c>
      <c r="N75" s="115" t="str">
        <f t="shared" ref="N75:N127" si="35">_xlfn.CONCAT(M75,"(",L75*100,"%)")</f>
        <v>Px(-15%)</v>
      </c>
      <c r="O75" s="78">
        <f t="shared" si="32"/>
        <v>-480000</v>
      </c>
      <c r="P75" s="78">
        <f t="shared" ref="P75:AE82" si="36">((SUM(P$38*(1+$L75)*P$39,P$42:P$52)+-SUM(P$38*(1+$L75)*P$39,P$42:P$52)*0.35)+P$60+P$61)*P$69</f>
        <v>166482.999445155</v>
      </c>
      <c r="Q75" s="78">
        <f t="shared" si="36"/>
        <v>138919.73909713011</v>
      </c>
      <c r="R75" s="78">
        <f t="shared" si="36"/>
        <v>120228.63073731583</v>
      </c>
      <c r="S75" s="78">
        <f t="shared" si="36"/>
        <v>104053.86545601048</v>
      </c>
      <c r="T75" s="78">
        <f t="shared" si="36"/>
        <v>90056.416177917927</v>
      </c>
      <c r="U75" s="78">
        <f t="shared" si="36"/>
        <v>77942.976286642588</v>
      </c>
      <c r="V75" s="78">
        <f t="shared" si="36"/>
        <v>67459.786575266189</v>
      </c>
      <c r="W75" s="78">
        <f t="shared" si="36"/>
        <v>58387.296889628284</v>
      </c>
      <c r="X75" s="78">
        <f t="shared" si="36"/>
        <v>50535.54939523097</v>
      </c>
      <c r="Y75" s="78">
        <f t="shared" si="36"/>
        <v>43740.185749705081</v>
      </c>
      <c r="Z75" s="78">
        <f t="shared" si="36"/>
        <v>37858.993723867126</v>
      </c>
      <c r="AA75" s="78">
        <f t="shared" si="36"/>
        <v>32768.920271056588</v>
      </c>
      <c r="AB75" s="78">
        <f t="shared" si="36"/>
        <v>28363.487943000731</v>
      </c>
      <c r="AC75" s="78">
        <f t="shared" si="36"/>
        <v>24550.560103477583</v>
      </c>
      <c r="AD75" s="78">
        <f t="shared" si="36"/>
        <v>21250.407781996648</v>
      </c>
      <c r="AE75" s="78">
        <f t="shared" si="36"/>
        <v>18394.037396940352</v>
      </c>
      <c r="AF75" s="78">
        <f t="shared" si="33"/>
        <v>15921.744097804665</v>
      </c>
      <c r="AG75" s="78">
        <f t="shared" si="33"/>
        <v>13781.860247359773</v>
      </c>
      <c r="AH75" s="78">
        <f t="shared" si="33"/>
        <v>11929.672688618299</v>
      </c>
      <c r="AI75" s="131">
        <f t="shared" si="34"/>
        <v>14846.978457968567</v>
      </c>
      <c r="AJ75" s="169">
        <f t="shared" ref="AJ75:AJ118" si="37">SUM(O75:AI75)</f>
        <v>657474.10852209281</v>
      </c>
      <c r="AK75" t="str">
        <f t="shared" ref="AK75:AK127" si="38">M75</f>
        <v>Px</v>
      </c>
      <c r="AM75">
        <v>657474.10852209281</v>
      </c>
    </row>
    <row r="76" spans="12:68" x14ac:dyDescent="0.3">
      <c r="L76" s="412">
        <f t="shared" si="31"/>
        <v>-0.1</v>
      </c>
      <c r="M76" s="371" t="str">
        <f t="shared" ref="M76:M82" si="39">$M$74</f>
        <v>Px</v>
      </c>
      <c r="N76" s="115" t="str">
        <f t="shared" si="35"/>
        <v>Px(-10%)</v>
      </c>
      <c r="O76" s="78">
        <f t="shared" si="32"/>
        <v>-480000</v>
      </c>
      <c r="P76" s="78">
        <f t="shared" si="36"/>
        <v>182310.43706913778</v>
      </c>
      <c r="Q76" s="78">
        <f t="shared" si="33"/>
        <v>152622.72886758158</v>
      </c>
      <c r="R76" s="78">
        <f t="shared" si="33"/>
        <v>132092.32801479383</v>
      </c>
      <c r="S76" s="78">
        <f t="shared" si="33"/>
        <v>114325.15044194402</v>
      </c>
      <c r="T76" s="78">
        <f t="shared" si="33"/>
        <v>98949.031422116983</v>
      </c>
      <c r="U76" s="78">
        <f t="shared" si="33"/>
        <v>85641.974609604047</v>
      </c>
      <c r="V76" s="78">
        <f t="shared" si="33"/>
        <v>74125.381965287146</v>
      </c>
      <c r="W76" s="78">
        <f t="shared" si="33"/>
        <v>64158.198510811948</v>
      </c>
      <c r="X76" s="78">
        <f t="shared" si="33"/>
        <v>55531.848086153397</v>
      </c>
      <c r="Y76" s="78">
        <f t="shared" si="33"/>
        <v>48065.853079967594</v>
      </c>
      <c r="Z76" s="78">
        <f t="shared" si="33"/>
        <v>41604.045613198003</v>
      </c>
      <c r="AA76" s="78">
        <f t="shared" si="33"/>
        <v>36011.290195266549</v>
      </c>
      <c r="AB76" s="78">
        <f t="shared" si="33"/>
        <v>31170.648707680986</v>
      </c>
      <c r="AC76" s="78">
        <f t="shared" si="33"/>
        <v>26980.927934094667</v>
      </c>
      <c r="AD76" s="78">
        <f t="shared" si="33"/>
        <v>23354.557949103724</v>
      </c>
      <c r="AE76" s="78">
        <f t="shared" si="33"/>
        <v>20215.756673323544</v>
      </c>
      <c r="AF76" s="78">
        <f t="shared" si="33"/>
        <v>17498.941948901393</v>
      </c>
      <c r="AG76" s="78">
        <f t="shared" si="33"/>
        <v>15147.357716565277</v>
      </c>
      <c r="AH76" s="78">
        <f t="shared" si="33"/>
        <v>13111.88539396156</v>
      </c>
      <c r="AI76" s="131">
        <f t="shared" si="34"/>
        <v>15870.507913126195</v>
      </c>
      <c r="AJ76" s="169">
        <f t="shared" si="37"/>
        <v>768788.85211262025</v>
      </c>
      <c r="AK76" t="str">
        <f t="shared" si="38"/>
        <v>Px</v>
      </c>
      <c r="AM76">
        <v>768788.85211262025</v>
      </c>
      <c r="AO76">
        <v>999566.58940282022</v>
      </c>
      <c r="AP76">
        <v>997529.52687553421</v>
      </c>
      <c r="AQ76">
        <v>995492.46434824751</v>
      </c>
      <c r="AR76">
        <v>993455.40182096139</v>
      </c>
      <c r="AS76">
        <v>991418.33929367526</v>
      </c>
      <c r="AT76">
        <v>989381.27676638903</v>
      </c>
      <c r="AU76">
        <v>987344.21423910256</v>
      </c>
      <c r="AV76">
        <v>985307.15171181643</v>
      </c>
      <c r="AW76">
        <v>983270.08918452985</v>
      </c>
    </row>
    <row r="77" spans="12:68" x14ac:dyDescent="0.3">
      <c r="L77" s="412">
        <f>L78-0.05</f>
        <v>-0.05</v>
      </c>
      <c r="M77" s="371" t="str">
        <f t="shared" si="39"/>
        <v>Px</v>
      </c>
      <c r="N77" s="115" t="str">
        <f t="shared" si="35"/>
        <v>Px(-5%)</v>
      </c>
      <c r="O77" s="78">
        <f t="shared" si="32"/>
        <v>-480000</v>
      </c>
      <c r="P77" s="78">
        <f t="shared" si="36"/>
        <v>198137.8746931206</v>
      </c>
      <c r="Q77" s="78">
        <f t="shared" si="33"/>
        <v>166325.71863803305</v>
      </c>
      <c r="R77" s="78">
        <f t="shared" si="33"/>
        <v>143956.02529227186</v>
      </c>
      <c r="S77" s="78">
        <f t="shared" si="33"/>
        <v>124596.43542787756</v>
      </c>
      <c r="T77" s="78">
        <f t="shared" si="33"/>
        <v>107841.64666631605</v>
      </c>
      <c r="U77" s="78">
        <f t="shared" si="33"/>
        <v>93340.972932565492</v>
      </c>
      <c r="V77" s="78">
        <f t="shared" si="33"/>
        <v>80790.977355308089</v>
      </c>
      <c r="W77" s="78">
        <f t="shared" si="33"/>
        <v>69929.100131995612</v>
      </c>
      <c r="X77" s="78">
        <f t="shared" si="33"/>
        <v>60528.146777075817</v>
      </c>
      <c r="Y77" s="78">
        <f t="shared" si="33"/>
        <v>52391.5204102301</v>
      </c>
      <c r="Z77" s="78">
        <f t="shared" si="33"/>
        <v>45349.097502528872</v>
      </c>
      <c r="AA77" s="78">
        <f t="shared" si="33"/>
        <v>39253.660119476503</v>
      </c>
      <c r="AB77" s="78">
        <f t="shared" si="33"/>
        <v>33977.809472361245</v>
      </c>
      <c r="AC77" s="78">
        <f t="shared" si="33"/>
        <v>29411.295764711751</v>
      </c>
      <c r="AD77" s="78">
        <f t="shared" si="33"/>
        <v>25458.708116210804</v>
      </c>
      <c r="AE77" s="78">
        <f t="shared" si="33"/>
        <v>22037.475949706735</v>
      </c>
      <c r="AF77" s="78">
        <f t="shared" si="33"/>
        <v>19076.139799998116</v>
      </c>
      <c r="AG77" s="78">
        <f t="shared" si="33"/>
        <v>16512.855185770779</v>
      </c>
      <c r="AH77" s="78">
        <f t="shared" si="33"/>
        <v>14294.09809930482</v>
      </c>
      <c r="AI77" s="131">
        <f t="shared" si="34"/>
        <v>16894.037368283825</v>
      </c>
      <c r="AJ77" s="169">
        <f t="shared" si="37"/>
        <v>880103.59570314782</v>
      </c>
      <c r="AK77" t="str">
        <f t="shared" si="38"/>
        <v>Px</v>
      </c>
      <c r="AM77">
        <v>880103.59570314782</v>
      </c>
    </row>
    <row r="78" spans="12:68" x14ac:dyDescent="0.3">
      <c r="L78" s="412">
        <v>0</v>
      </c>
      <c r="M78" s="371" t="str">
        <f t="shared" si="39"/>
        <v>Px</v>
      </c>
      <c r="N78" s="115" t="str">
        <f t="shared" si="35"/>
        <v>Px(0%)</v>
      </c>
      <c r="O78" s="78">
        <f>$O$70</f>
        <v>-480000</v>
      </c>
      <c r="P78" s="78">
        <f t="shared" si="36"/>
        <v>213965.31231710338</v>
      </c>
      <c r="Q78" s="78">
        <f t="shared" si="33"/>
        <v>180028.70840848453</v>
      </c>
      <c r="R78" s="78">
        <f t="shared" si="33"/>
        <v>155819.72256974987</v>
      </c>
      <c r="S78" s="78">
        <f t="shared" si="33"/>
        <v>134867.72041381113</v>
      </c>
      <c r="T78" s="78">
        <f t="shared" si="33"/>
        <v>116734.26191051511</v>
      </c>
      <c r="U78" s="78">
        <f t="shared" si="33"/>
        <v>101039.97125552695</v>
      </c>
      <c r="V78" s="78">
        <f t="shared" si="33"/>
        <v>87456.57274532906</v>
      </c>
      <c r="W78" s="78">
        <f t="shared" si="33"/>
        <v>75700.001753179269</v>
      </c>
      <c r="X78" s="78">
        <f t="shared" si="33"/>
        <v>65524.445467998252</v>
      </c>
      <c r="Y78" s="78">
        <f t="shared" si="33"/>
        <v>56717.187740492598</v>
      </c>
      <c r="Z78" s="78">
        <f t="shared" si="33"/>
        <v>49094.149391859733</v>
      </c>
      <c r="AA78" s="78">
        <f t="shared" si="33"/>
        <v>42496.030043686464</v>
      </c>
      <c r="AB78" s="78">
        <f t="shared" si="33"/>
        <v>36784.970237041489</v>
      </c>
      <c r="AC78" s="78">
        <f t="shared" si="33"/>
        <v>31841.663595328831</v>
      </c>
      <c r="AD78" s="78">
        <f t="shared" si="33"/>
        <v>27562.858283317881</v>
      </c>
      <c r="AE78" s="78">
        <f t="shared" si="33"/>
        <v>23859.195226089927</v>
      </c>
      <c r="AF78" s="78">
        <f t="shared" si="33"/>
        <v>20653.337651094847</v>
      </c>
      <c r="AG78" s="78">
        <f t="shared" si="33"/>
        <v>17878.35265497629</v>
      </c>
      <c r="AH78" s="78">
        <f t="shared" si="33"/>
        <v>15476.310804648079</v>
      </c>
      <c r="AI78" s="131">
        <f>((SUM(AI$38*(1+$L78)*AI$39,AI$42:AI$52)+-SUM(AI$38*(1+$L78)*AI$39,AI$42:AI$52)*0.35)+SUM(AI$60:AI$67))*AI$69</f>
        <v>17917.566823441448</v>
      </c>
      <c r="AJ78" s="169">
        <f t="shared" si="37"/>
        <v>991418.33929367526</v>
      </c>
      <c r="AK78" t="str">
        <f t="shared" si="38"/>
        <v>Px</v>
      </c>
      <c r="AM78">
        <v>991418.33929367526</v>
      </c>
      <c r="AO78">
        <v>574655.93929074053</v>
      </c>
      <c r="AP78">
        <v>678846.53929147415</v>
      </c>
      <c r="AQ78">
        <v>783037.13929220766</v>
      </c>
      <c r="AR78">
        <v>887227.73929294129</v>
      </c>
      <c r="AS78">
        <v>991418.33929367526</v>
      </c>
      <c r="AT78">
        <v>1095608.9392944088</v>
      </c>
      <c r="AU78">
        <v>1199799.5392951427</v>
      </c>
      <c r="AV78">
        <v>1303990.1392958763</v>
      </c>
      <c r="AW78">
        <v>1408180.7392966093</v>
      </c>
    </row>
    <row r="79" spans="12:68" x14ac:dyDescent="0.3">
      <c r="L79" s="412">
        <f>L78+0.05</f>
        <v>0.05</v>
      </c>
      <c r="M79" s="371" t="str">
        <f t="shared" si="39"/>
        <v>Px</v>
      </c>
      <c r="N79" s="115" t="str">
        <f t="shared" si="35"/>
        <v>Px(5%)</v>
      </c>
      <c r="O79" s="78">
        <f t="shared" ref="O79:O118" si="40">$O$70</f>
        <v>-480000</v>
      </c>
      <c r="P79" s="78">
        <f t="shared" si="36"/>
        <v>229792.74994108616</v>
      </c>
      <c r="Q79" s="78">
        <f t="shared" si="33"/>
        <v>193731.698178936</v>
      </c>
      <c r="R79" s="78">
        <f t="shared" si="33"/>
        <v>167683.41984722787</v>
      </c>
      <c r="S79" s="78">
        <f t="shared" si="33"/>
        <v>145139.00539974467</v>
      </c>
      <c r="T79" s="78">
        <f t="shared" si="33"/>
        <v>125626.87715471417</v>
      </c>
      <c r="U79" s="78">
        <f t="shared" si="33"/>
        <v>108738.96957848841</v>
      </c>
      <c r="V79" s="78">
        <f t="shared" si="33"/>
        <v>94122.168135350017</v>
      </c>
      <c r="W79" s="78">
        <f t="shared" si="33"/>
        <v>81470.903374362926</v>
      </c>
      <c r="X79" s="78">
        <f t="shared" si="33"/>
        <v>70520.744158920672</v>
      </c>
      <c r="Y79" s="78">
        <f t="shared" si="33"/>
        <v>61042.855070755111</v>
      </c>
      <c r="Z79" s="78">
        <f t="shared" si="33"/>
        <v>52839.20128119061</v>
      </c>
      <c r="AA79" s="78">
        <f t="shared" si="33"/>
        <v>45738.399967896425</v>
      </c>
      <c r="AB79" s="78">
        <f t="shared" si="33"/>
        <v>39592.13100172174</v>
      </c>
      <c r="AC79" s="78">
        <f t="shared" si="33"/>
        <v>34272.031425945919</v>
      </c>
      <c r="AD79" s="78">
        <f t="shared" si="33"/>
        <v>29667.008450424957</v>
      </c>
      <c r="AE79" s="78">
        <f t="shared" si="33"/>
        <v>25680.914502473119</v>
      </c>
      <c r="AF79" s="78">
        <f t="shared" si="33"/>
        <v>22230.535502191575</v>
      </c>
      <c r="AG79" s="78">
        <f t="shared" si="33"/>
        <v>19243.850124181794</v>
      </c>
      <c r="AH79" s="78">
        <f t="shared" si="33"/>
        <v>16658.523509991341</v>
      </c>
      <c r="AI79" s="131">
        <f t="shared" ref="AI79:AI82" si="41">((SUM(AI$38*(1+$L79)*AI$39,AI$42:AI$52)+-SUM(AI$38*(1+$L79)*AI$39,AI$42:AI$52)*0.35)+SUM(AI$60:AI$67))*AI$69</f>
        <v>18941.096278599078</v>
      </c>
      <c r="AJ79" s="169">
        <f t="shared" si="37"/>
        <v>1102733.0828842025</v>
      </c>
      <c r="AK79" t="str">
        <f t="shared" si="38"/>
        <v>Px</v>
      </c>
      <c r="AM79">
        <v>1102733.0828842025</v>
      </c>
    </row>
    <row r="80" spans="12:68" x14ac:dyDescent="0.3">
      <c r="L80" s="412">
        <f t="shared" ref="L80:L82" si="42">L79+0.05</f>
        <v>0.1</v>
      </c>
      <c r="M80" s="371" t="str">
        <f t="shared" si="39"/>
        <v>Px</v>
      </c>
      <c r="N80" s="115" t="str">
        <f t="shared" si="35"/>
        <v>Px(10%)</v>
      </c>
      <c r="O80" s="78">
        <f t="shared" si="40"/>
        <v>-480000</v>
      </c>
      <c r="P80" s="78">
        <f t="shared" si="36"/>
        <v>245620.18756506895</v>
      </c>
      <c r="Q80" s="78">
        <f t="shared" si="33"/>
        <v>207434.68794938744</v>
      </c>
      <c r="R80" s="78">
        <f t="shared" si="33"/>
        <v>179547.1171247059</v>
      </c>
      <c r="S80" s="78">
        <f t="shared" si="33"/>
        <v>155410.29038567824</v>
      </c>
      <c r="T80" s="78">
        <f t="shared" si="33"/>
        <v>134519.49239891325</v>
      </c>
      <c r="U80" s="78">
        <f t="shared" si="33"/>
        <v>116437.96790144987</v>
      </c>
      <c r="V80" s="78">
        <f t="shared" si="33"/>
        <v>100787.76352537097</v>
      </c>
      <c r="W80" s="78">
        <f t="shared" si="33"/>
        <v>87241.804995546583</v>
      </c>
      <c r="X80" s="78">
        <f t="shared" si="33"/>
        <v>75517.042849843085</v>
      </c>
      <c r="Y80" s="78">
        <f t="shared" si="33"/>
        <v>65368.522401017617</v>
      </c>
      <c r="Z80" s="78">
        <f t="shared" si="33"/>
        <v>56584.253170521486</v>
      </c>
      <c r="AA80" s="78">
        <f t="shared" si="33"/>
        <v>48980.769892106386</v>
      </c>
      <c r="AB80" s="78">
        <f t="shared" si="33"/>
        <v>42399.291766401991</v>
      </c>
      <c r="AC80" s="78">
        <f t="shared" si="33"/>
        <v>36702.399256562996</v>
      </c>
      <c r="AD80" s="78">
        <f t="shared" si="33"/>
        <v>31771.15861753203</v>
      </c>
      <c r="AE80" s="78">
        <f t="shared" si="33"/>
        <v>27502.633778856307</v>
      </c>
      <c r="AF80" s="78">
        <f t="shared" si="33"/>
        <v>23807.733353288299</v>
      </c>
      <c r="AG80" s="78">
        <f t="shared" si="33"/>
        <v>20609.347593387294</v>
      </c>
      <c r="AH80" s="78">
        <f t="shared" si="33"/>
        <v>17840.736215334604</v>
      </c>
      <c r="AI80" s="131">
        <f t="shared" si="41"/>
        <v>19964.625733756704</v>
      </c>
      <c r="AJ80" s="169">
        <f t="shared" si="37"/>
        <v>1214047.8264747302</v>
      </c>
      <c r="AK80" t="str">
        <f t="shared" si="38"/>
        <v>Px</v>
      </c>
      <c r="AM80">
        <v>1214047.8264747302</v>
      </c>
      <c r="AO80">
        <v>1027039.057242644</v>
      </c>
      <c r="AP80">
        <v>1018133.8777554017</v>
      </c>
      <c r="AQ80">
        <v>1009228.6982681596</v>
      </c>
      <c r="AR80">
        <v>1000323.5187809174</v>
      </c>
      <c r="AS80">
        <v>991418.33929367526</v>
      </c>
      <c r="AT80">
        <v>982513.1598064329</v>
      </c>
      <c r="AU80">
        <v>973607.98031919077</v>
      </c>
      <c r="AV80">
        <v>964702.80083194852</v>
      </c>
      <c r="AW80">
        <v>955797.62134470639</v>
      </c>
    </row>
    <row r="81" spans="12:49" x14ac:dyDescent="0.3">
      <c r="L81" s="412">
        <f t="shared" si="42"/>
        <v>0.15000000000000002</v>
      </c>
      <c r="M81" s="371" t="str">
        <f t="shared" si="39"/>
        <v>Px</v>
      </c>
      <c r="N81" s="115" t="str">
        <f t="shared" si="35"/>
        <v>Px(15%)</v>
      </c>
      <c r="O81" s="78">
        <f t="shared" si="40"/>
        <v>-480000</v>
      </c>
      <c r="P81" s="78">
        <f t="shared" si="36"/>
        <v>261447.62518905173</v>
      </c>
      <c r="Q81" s="78">
        <f t="shared" si="33"/>
        <v>221137.67771983892</v>
      </c>
      <c r="R81" s="78">
        <f t="shared" si="33"/>
        <v>191410.8144021839</v>
      </c>
      <c r="S81" s="78">
        <f t="shared" si="33"/>
        <v>165681.57537161178</v>
      </c>
      <c r="T81" s="78">
        <f t="shared" si="33"/>
        <v>143412.10764311231</v>
      </c>
      <c r="U81" s="78">
        <f t="shared" si="33"/>
        <v>124136.96622441131</v>
      </c>
      <c r="V81" s="78">
        <f t="shared" si="33"/>
        <v>107453.35891539193</v>
      </c>
      <c r="W81" s="78">
        <f t="shared" si="33"/>
        <v>93012.70661673024</v>
      </c>
      <c r="X81" s="78">
        <f t="shared" si="33"/>
        <v>80513.341540765512</v>
      </c>
      <c r="Y81" s="78">
        <f t="shared" si="33"/>
        <v>69694.18973128013</v>
      </c>
      <c r="Z81" s="78">
        <f t="shared" si="33"/>
        <v>60329.305059852355</v>
      </c>
      <c r="AA81" s="78">
        <f t="shared" si="33"/>
        <v>52223.139816316347</v>
      </c>
      <c r="AB81" s="78">
        <f t="shared" si="33"/>
        <v>45206.452531082243</v>
      </c>
      <c r="AC81" s="78">
        <f t="shared" si="33"/>
        <v>39132.76708718008</v>
      </c>
      <c r="AD81" s="78">
        <f t="shared" si="33"/>
        <v>33875.308784639106</v>
      </c>
      <c r="AE81" s="78">
        <f t="shared" si="33"/>
        <v>29324.353055239499</v>
      </c>
      <c r="AF81" s="78">
        <f t="shared" si="33"/>
        <v>25384.931204385026</v>
      </c>
      <c r="AG81" s="78">
        <f t="shared" si="33"/>
        <v>21974.845062592798</v>
      </c>
      <c r="AH81" s="78">
        <f t="shared" si="33"/>
        <v>19022.948920677863</v>
      </c>
      <c r="AI81" s="131">
        <f t="shared" si="41"/>
        <v>20988.155188914334</v>
      </c>
      <c r="AJ81" s="169">
        <f t="shared" si="37"/>
        <v>1325362.5700652574</v>
      </c>
      <c r="AK81" t="str">
        <f t="shared" si="38"/>
        <v>Px</v>
      </c>
      <c r="AM81">
        <v>1325362.5700652574</v>
      </c>
    </row>
    <row r="82" spans="12:49" ht="15" thickBot="1" x14ac:dyDescent="0.35">
      <c r="L82" s="413">
        <f t="shared" si="42"/>
        <v>0.2</v>
      </c>
      <c r="M82" s="416" t="str">
        <f t="shared" si="39"/>
        <v>Px</v>
      </c>
      <c r="N82" s="414" t="str">
        <f t="shared" si="35"/>
        <v>Px(20%)</v>
      </c>
      <c r="O82" s="158">
        <f t="shared" si="40"/>
        <v>-480000</v>
      </c>
      <c r="P82" s="158">
        <f t="shared" si="36"/>
        <v>277275.06281303451</v>
      </c>
      <c r="Q82" s="158">
        <f t="shared" si="33"/>
        <v>234840.66749029039</v>
      </c>
      <c r="R82" s="158">
        <f t="shared" si="33"/>
        <v>203274.5116796619</v>
      </c>
      <c r="S82" s="158">
        <f t="shared" si="33"/>
        <v>175952.86035754532</v>
      </c>
      <c r="T82" s="158">
        <f t="shared" si="33"/>
        <v>152304.72288731136</v>
      </c>
      <c r="U82" s="158">
        <f t="shared" si="33"/>
        <v>131835.96454737277</v>
      </c>
      <c r="V82" s="158">
        <f t="shared" si="33"/>
        <v>114118.95430541287</v>
      </c>
      <c r="W82" s="158">
        <f t="shared" si="33"/>
        <v>98783.608237913912</v>
      </c>
      <c r="X82" s="158">
        <f t="shared" si="33"/>
        <v>85509.640231687925</v>
      </c>
      <c r="Y82" s="158">
        <f t="shared" si="33"/>
        <v>74019.857061542643</v>
      </c>
      <c r="Z82" s="158">
        <f t="shared" si="33"/>
        <v>64074.356949183231</v>
      </c>
      <c r="AA82" s="158">
        <f t="shared" si="33"/>
        <v>55465.5097405263</v>
      </c>
      <c r="AB82" s="158">
        <f t="shared" si="33"/>
        <v>48013.613295762501</v>
      </c>
      <c r="AC82" s="158">
        <f t="shared" si="33"/>
        <v>41563.134917797164</v>
      </c>
      <c r="AD82" s="158">
        <f t="shared" si="33"/>
        <v>35979.458951746186</v>
      </c>
      <c r="AE82" s="158">
        <f t="shared" si="33"/>
        <v>31146.07233162269</v>
      </c>
      <c r="AF82" s="158">
        <f t="shared" si="33"/>
        <v>26962.129055481753</v>
      </c>
      <c r="AG82" s="158">
        <f t="shared" si="33"/>
        <v>23340.342531798302</v>
      </c>
      <c r="AH82" s="158">
        <f t="shared" si="33"/>
        <v>20205.161626021123</v>
      </c>
      <c r="AI82" s="159">
        <f t="shared" si="41"/>
        <v>22011.684644071964</v>
      </c>
      <c r="AJ82" s="170">
        <f t="shared" si="37"/>
        <v>1436677.3136557846</v>
      </c>
      <c r="AK82" t="str">
        <f t="shared" si="38"/>
        <v>Px</v>
      </c>
      <c r="AM82">
        <v>1436677.3136557846</v>
      </c>
      <c r="AO82">
        <v>990970.43580560631</v>
      </c>
      <c r="AP82">
        <v>991082.41167762352</v>
      </c>
      <c r="AQ82">
        <v>991194.38754964084</v>
      </c>
      <c r="AR82">
        <v>991306.36342165805</v>
      </c>
      <c r="AS82">
        <v>991418.33929367526</v>
      </c>
      <c r="AT82">
        <v>991530.31516569259</v>
      </c>
      <c r="AU82">
        <v>991642.2910377098</v>
      </c>
      <c r="AV82">
        <v>991754.26690972701</v>
      </c>
      <c r="AW82">
        <v>991866.24278174422</v>
      </c>
    </row>
    <row r="83" spans="12:49" x14ac:dyDescent="0.3">
      <c r="L83" s="410">
        <f>L74</f>
        <v>-0.2</v>
      </c>
      <c r="M83" s="370" t="str">
        <f>C26</f>
        <v>Cf</v>
      </c>
      <c r="N83" s="411" t="str">
        <f t="shared" si="35"/>
        <v>Cf(-20%)</v>
      </c>
      <c r="O83" s="129">
        <f t="shared" si="40"/>
        <v>-480000</v>
      </c>
      <c r="P83" s="129">
        <f t="shared" ref="P83:P86" si="43">$P$70</f>
        <v>213965.31231710338</v>
      </c>
      <c r="Q83" s="78">
        <f t="shared" ref="Q83:Z91" si="44">(SUM(Q$40:Q$46,Q$48:Q$52,-12*Cf*(1+$L83))+(-SUM(Q$40:Q$46,Q$48:Q$52,-12*Cf*(1+$L83))*0.35)+SUM(Q$60:Q$67))*Q$69</f>
        <v>181198.03020222971</v>
      </c>
      <c r="R83" s="78">
        <f t="shared" si="44"/>
        <v>156832.09140409465</v>
      </c>
      <c r="S83" s="78">
        <f t="shared" si="44"/>
        <v>135744.20339927747</v>
      </c>
      <c r="T83" s="78">
        <f t="shared" si="44"/>
        <v>117493.09841135344</v>
      </c>
      <c r="U83" s="78">
        <f t="shared" si="44"/>
        <v>101696.95244575299</v>
      </c>
      <c r="V83" s="78">
        <f t="shared" si="44"/>
        <v>88025.370218610857</v>
      </c>
      <c r="W83" s="78">
        <f t="shared" si="44"/>
        <v>76192.452024853614</v>
      </c>
      <c r="X83" s="78">
        <f t="shared" si="44"/>
        <v>65950.796289623628</v>
      </c>
      <c r="Y83" s="78">
        <f t="shared" si="44"/>
        <v>57086.311352675002</v>
      </c>
      <c r="Z83" s="78">
        <f t="shared" si="44"/>
        <v>49413.72715308264</v>
      </c>
      <c r="AA83" s="78">
        <f t="shared" ref="AA83:AI91" si="45">(SUM(AA$40:AA$46,AA$48:AA$52,-12*Cf*(1+$L83))+(-SUM(AA$40:AA$46,AA$48:AA$52,-12*Cf*(1+$L83))*0.35)+SUM(AA$60:AA$67))*AA$69</f>
        <v>42772.712277219049</v>
      </c>
      <c r="AB83" s="78">
        <f t="shared" si="45"/>
        <v>37024.514622294206</v>
      </c>
      <c r="AC83" s="78">
        <f t="shared" si="45"/>
        <v>32049.054983541489</v>
      </c>
      <c r="AD83" s="78">
        <f t="shared" si="45"/>
        <v>27742.412430911016</v>
      </c>
      <c r="AE83" s="78">
        <f t="shared" si="45"/>
        <v>24014.648604341292</v>
      </c>
      <c r="AF83" s="78">
        <f t="shared" si="45"/>
        <v>20787.925201055103</v>
      </c>
      <c r="AG83" s="78">
        <f t="shared" si="45"/>
        <v>17994.875105681826</v>
      </c>
      <c r="AH83" s="78">
        <f t="shared" si="45"/>
        <v>15577.192955504039</v>
      </c>
      <c r="AI83" s="78">
        <f t="shared" si="45"/>
        <v>18004.908003614899</v>
      </c>
      <c r="AJ83" s="168">
        <f t="shared" si="37"/>
        <v>999566.58940282022</v>
      </c>
      <c r="AK83" t="str">
        <f t="shared" si="38"/>
        <v>Cf</v>
      </c>
      <c r="AM83">
        <v>999566.58940282022</v>
      </c>
    </row>
    <row r="84" spans="12:49" x14ac:dyDescent="0.3">
      <c r="L84" s="412">
        <f t="shared" ref="L84:L91" si="46">L75</f>
        <v>-0.15000000000000002</v>
      </c>
      <c r="M84" s="371" t="str">
        <f>$M$83</f>
        <v>Cf</v>
      </c>
      <c r="N84" s="115" t="str">
        <f t="shared" si="35"/>
        <v>Cf(-15%)</v>
      </c>
      <c r="O84" s="78">
        <f t="shared" si="40"/>
        <v>-480000</v>
      </c>
      <c r="P84" s="78">
        <f t="shared" si="43"/>
        <v>213965.31231710338</v>
      </c>
      <c r="Q84" s="78">
        <f t="shared" si="44"/>
        <v>180905.69975379342</v>
      </c>
      <c r="R84" s="78">
        <f t="shared" si="44"/>
        <v>156578.99919550846</v>
      </c>
      <c r="S84" s="78">
        <f t="shared" si="44"/>
        <v>135525.08265291087</v>
      </c>
      <c r="T84" s="78">
        <f t="shared" si="44"/>
        <v>117303.38928614385</v>
      </c>
      <c r="U84" s="78">
        <f t="shared" si="44"/>
        <v>101532.70714819648</v>
      </c>
      <c r="V84" s="78">
        <f t="shared" si="44"/>
        <v>87883.170850290408</v>
      </c>
      <c r="W84" s="78">
        <f t="shared" si="44"/>
        <v>76069.33945693502</v>
      </c>
      <c r="X84" s="78">
        <f t="shared" si="44"/>
        <v>65844.208584217282</v>
      </c>
      <c r="Y84" s="78">
        <f t="shared" si="44"/>
        <v>56994.030449629397</v>
      </c>
      <c r="Z84" s="78">
        <f t="shared" si="44"/>
        <v>49333.832712776915</v>
      </c>
      <c r="AA84" s="78">
        <f t="shared" si="45"/>
        <v>42703.541718835906</v>
      </c>
      <c r="AB84" s="78">
        <f t="shared" si="45"/>
        <v>36964.628525981025</v>
      </c>
      <c r="AC84" s="78">
        <f t="shared" si="45"/>
        <v>31997.207136488327</v>
      </c>
      <c r="AD84" s="78">
        <f t="shared" si="45"/>
        <v>27697.523894012735</v>
      </c>
      <c r="AE84" s="78">
        <f t="shared" si="45"/>
        <v>23975.785259778451</v>
      </c>
      <c r="AF84" s="78">
        <f t="shared" si="45"/>
        <v>20754.278313565039</v>
      </c>
      <c r="AG84" s="78">
        <f t="shared" si="45"/>
        <v>17965.744493005441</v>
      </c>
      <c r="AH84" s="78">
        <f t="shared" si="45"/>
        <v>15551.972417790048</v>
      </c>
      <c r="AI84" s="78">
        <f t="shared" si="45"/>
        <v>17983.072708571537</v>
      </c>
      <c r="AJ84" s="169">
        <f t="shared" si="37"/>
        <v>997529.52687553421</v>
      </c>
      <c r="AK84" t="str">
        <f t="shared" si="38"/>
        <v>Cf</v>
      </c>
      <c r="AM84">
        <v>997529.52687553421</v>
      </c>
      <c r="AO84">
        <v>1019914.9136528502</v>
      </c>
      <c r="AP84">
        <v>1012790.7700630567</v>
      </c>
      <c r="AQ84">
        <v>1005666.6264732627</v>
      </c>
      <c r="AR84">
        <v>998542.48288346909</v>
      </c>
      <c r="AS84">
        <v>991418.33929367526</v>
      </c>
      <c r="AT84">
        <v>984294.19570388156</v>
      </c>
      <c r="AU84">
        <v>977170.05211408762</v>
      </c>
      <c r="AV84">
        <v>970045.90852429392</v>
      </c>
      <c r="AW84">
        <v>962921.7649345001</v>
      </c>
    </row>
    <row r="85" spans="12:49" x14ac:dyDescent="0.3">
      <c r="L85" s="412">
        <f t="shared" si="46"/>
        <v>-0.1</v>
      </c>
      <c r="M85" s="371" t="str">
        <f t="shared" ref="M85:M91" si="47">$M$83</f>
        <v>Cf</v>
      </c>
      <c r="N85" s="115" t="str">
        <f t="shared" si="35"/>
        <v>Cf(-10%)</v>
      </c>
      <c r="O85" s="78">
        <f t="shared" si="40"/>
        <v>-480000</v>
      </c>
      <c r="P85" s="78">
        <f t="shared" si="43"/>
        <v>213965.31231710338</v>
      </c>
      <c r="Q85" s="78">
        <f t="shared" si="44"/>
        <v>180613.3693053571</v>
      </c>
      <c r="R85" s="78">
        <f t="shared" si="44"/>
        <v>156325.90698692226</v>
      </c>
      <c r="S85" s="78">
        <f t="shared" si="44"/>
        <v>135305.96190654431</v>
      </c>
      <c r="T85" s="78">
        <f t="shared" si="44"/>
        <v>117113.68016093427</v>
      </c>
      <c r="U85" s="78">
        <f t="shared" si="44"/>
        <v>101368.46185063997</v>
      </c>
      <c r="V85" s="78">
        <f t="shared" si="44"/>
        <v>87740.971481969958</v>
      </c>
      <c r="W85" s="78">
        <f t="shared" si="44"/>
        <v>75946.226889016441</v>
      </c>
      <c r="X85" s="78">
        <f t="shared" si="44"/>
        <v>65737.620878810936</v>
      </c>
      <c r="Y85" s="78">
        <f t="shared" si="44"/>
        <v>56901.7495465838</v>
      </c>
      <c r="Z85" s="78">
        <f t="shared" si="44"/>
        <v>49253.93827247119</v>
      </c>
      <c r="AA85" s="78">
        <f t="shared" si="45"/>
        <v>42634.371160452756</v>
      </c>
      <c r="AB85" s="78">
        <f t="shared" si="45"/>
        <v>36904.742429667844</v>
      </c>
      <c r="AC85" s="78">
        <f t="shared" si="45"/>
        <v>31945.35928943516</v>
      </c>
      <c r="AD85" s="78">
        <f t="shared" si="45"/>
        <v>27652.63535711445</v>
      </c>
      <c r="AE85" s="78">
        <f t="shared" si="45"/>
        <v>23936.921915215607</v>
      </c>
      <c r="AF85" s="78">
        <f t="shared" si="45"/>
        <v>20720.631426074975</v>
      </c>
      <c r="AG85" s="78">
        <f t="shared" si="45"/>
        <v>17936.613880329056</v>
      </c>
      <c r="AH85" s="78">
        <f t="shared" si="45"/>
        <v>15526.751880076059</v>
      </c>
      <c r="AI85" s="78">
        <f t="shared" si="45"/>
        <v>17961.237413528175</v>
      </c>
      <c r="AJ85" s="169">
        <f t="shared" si="37"/>
        <v>995492.46434824751</v>
      </c>
      <c r="AK85" t="str">
        <f t="shared" si="38"/>
        <v>Cf</v>
      </c>
      <c r="AM85">
        <v>995492.46434824751</v>
      </c>
    </row>
    <row r="86" spans="12:49" x14ac:dyDescent="0.3">
      <c r="L86" s="412">
        <f t="shared" si="46"/>
        <v>-0.05</v>
      </c>
      <c r="M86" s="371" t="str">
        <f t="shared" si="47"/>
        <v>Cf</v>
      </c>
      <c r="N86" s="115" t="str">
        <f t="shared" si="35"/>
        <v>Cf(-5%)</v>
      </c>
      <c r="O86" s="78">
        <f t="shared" si="40"/>
        <v>-480000</v>
      </c>
      <c r="P86" s="78">
        <f t="shared" si="43"/>
        <v>213965.31231710338</v>
      </c>
      <c r="Q86" s="78">
        <f t="shared" si="44"/>
        <v>180321.03885692082</v>
      </c>
      <c r="R86" s="78">
        <f t="shared" si="44"/>
        <v>156072.81477833606</v>
      </c>
      <c r="S86" s="78">
        <f t="shared" si="44"/>
        <v>135086.84116017772</v>
      </c>
      <c r="T86" s="78">
        <f t="shared" si="44"/>
        <v>116923.97103572469</v>
      </c>
      <c r="U86" s="78">
        <f t="shared" si="44"/>
        <v>101204.21655308346</v>
      </c>
      <c r="V86" s="78">
        <f t="shared" si="44"/>
        <v>87598.772113649509</v>
      </c>
      <c r="W86" s="78">
        <f t="shared" si="44"/>
        <v>75823.114321097863</v>
      </c>
      <c r="X86" s="78">
        <f t="shared" si="44"/>
        <v>65631.03317340459</v>
      </c>
      <c r="Y86" s="78">
        <f t="shared" si="44"/>
        <v>56809.468643538203</v>
      </c>
      <c r="Z86" s="78">
        <f t="shared" si="44"/>
        <v>49174.043832165466</v>
      </c>
      <c r="AA86" s="78">
        <f t="shared" si="45"/>
        <v>42565.200602069614</v>
      </c>
      <c r="AB86" s="78">
        <f t="shared" si="45"/>
        <v>36844.856333354663</v>
      </c>
      <c r="AC86" s="78">
        <f t="shared" si="45"/>
        <v>31893.511442381998</v>
      </c>
      <c r="AD86" s="78">
        <f t="shared" si="45"/>
        <v>27607.746820216165</v>
      </c>
      <c r="AE86" s="78">
        <f t="shared" si="45"/>
        <v>23898.058570652767</v>
      </c>
      <c r="AF86" s="78">
        <f t="shared" si="45"/>
        <v>20686.984538584911</v>
      </c>
      <c r="AG86" s="78">
        <f t="shared" si="45"/>
        <v>17907.483267652675</v>
      </c>
      <c r="AH86" s="78">
        <f t="shared" si="45"/>
        <v>15501.53134236207</v>
      </c>
      <c r="AI86" s="78">
        <f t="shared" si="45"/>
        <v>17939.40211848481</v>
      </c>
      <c r="AJ86" s="169">
        <f t="shared" si="37"/>
        <v>993455.40182096139</v>
      </c>
      <c r="AK86" t="str">
        <f t="shared" si="38"/>
        <v>Cf</v>
      </c>
      <c r="AM86">
        <v>993455.40182096139</v>
      </c>
    </row>
    <row r="87" spans="12:49" x14ac:dyDescent="0.3">
      <c r="L87" s="412">
        <f t="shared" si="46"/>
        <v>0</v>
      </c>
      <c r="M87" s="371" t="str">
        <f t="shared" si="47"/>
        <v>Cf</v>
      </c>
      <c r="N87" s="115" t="str">
        <f t="shared" si="35"/>
        <v>Cf(0%)</v>
      </c>
      <c r="O87" s="78">
        <f t="shared" si="40"/>
        <v>-480000</v>
      </c>
      <c r="P87" s="78">
        <f>$P$70</f>
        <v>213965.31231710338</v>
      </c>
      <c r="Q87" s="78">
        <f t="shared" si="44"/>
        <v>180028.70840848453</v>
      </c>
      <c r="R87" s="78">
        <f t="shared" si="44"/>
        <v>155819.72256974987</v>
      </c>
      <c r="S87" s="78">
        <f t="shared" si="44"/>
        <v>134867.72041381113</v>
      </c>
      <c r="T87" s="78">
        <f t="shared" si="44"/>
        <v>116734.26191051511</v>
      </c>
      <c r="U87" s="78">
        <f t="shared" si="44"/>
        <v>101039.97125552695</v>
      </c>
      <c r="V87" s="78">
        <f t="shared" si="44"/>
        <v>87456.57274532906</v>
      </c>
      <c r="W87" s="78">
        <f t="shared" si="44"/>
        <v>75700.001753179269</v>
      </c>
      <c r="X87" s="78">
        <f t="shared" si="44"/>
        <v>65524.445467998252</v>
      </c>
      <c r="Y87" s="78">
        <f t="shared" si="44"/>
        <v>56717.187740492598</v>
      </c>
      <c r="Z87" s="78">
        <f t="shared" si="44"/>
        <v>49094.149391859733</v>
      </c>
      <c r="AA87" s="78">
        <f t="shared" si="45"/>
        <v>42496.030043686464</v>
      </c>
      <c r="AB87" s="78">
        <f t="shared" si="45"/>
        <v>36784.970237041489</v>
      </c>
      <c r="AC87" s="78">
        <f t="shared" si="45"/>
        <v>31841.663595328831</v>
      </c>
      <c r="AD87" s="78">
        <f t="shared" si="45"/>
        <v>27562.858283317881</v>
      </c>
      <c r="AE87" s="78">
        <f t="shared" si="45"/>
        <v>23859.195226089927</v>
      </c>
      <c r="AF87" s="78">
        <f t="shared" si="45"/>
        <v>20653.337651094847</v>
      </c>
      <c r="AG87" s="78">
        <f t="shared" si="45"/>
        <v>17878.35265497629</v>
      </c>
      <c r="AH87" s="78">
        <f t="shared" si="45"/>
        <v>15476.310804648079</v>
      </c>
      <c r="AI87" s="78">
        <f t="shared" si="45"/>
        <v>17917.566823441448</v>
      </c>
      <c r="AJ87" s="169">
        <f t="shared" si="37"/>
        <v>991418.33929367526</v>
      </c>
      <c r="AK87" t="str">
        <f t="shared" si="38"/>
        <v>Cf</v>
      </c>
      <c r="AM87">
        <v>991418.33929367526</v>
      </c>
    </row>
    <row r="88" spans="12:49" x14ac:dyDescent="0.3">
      <c r="L88" s="412">
        <f t="shared" si="46"/>
        <v>0.05</v>
      </c>
      <c r="M88" s="371" t="str">
        <f t="shared" si="47"/>
        <v>Cf</v>
      </c>
      <c r="N88" s="115" t="str">
        <f t="shared" si="35"/>
        <v>Cf(5%)</v>
      </c>
      <c r="O88" s="78">
        <f t="shared" si="40"/>
        <v>-480000</v>
      </c>
      <c r="P88" s="78">
        <f t="shared" ref="P88:P91" si="48">$P$70</f>
        <v>213965.31231710338</v>
      </c>
      <c r="Q88" s="78">
        <f t="shared" si="44"/>
        <v>179736.37796004821</v>
      </c>
      <c r="R88" s="78">
        <f t="shared" si="44"/>
        <v>155566.63036116367</v>
      </c>
      <c r="S88" s="78">
        <f t="shared" si="44"/>
        <v>134648.59966744456</v>
      </c>
      <c r="T88" s="78">
        <f t="shared" si="44"/>
        <v>116544.55278530552</v>
      </c>
      <c r="U88" s="78">
        <f t="shared" si="44"/>
        <v>100875.72595797044</v>
      </c>
      <c r="V88" s="78">
        <f t="shared" si="44"/>
        <v>87314.373377008611</v>
      </c>
      <c r="W88" s="78">
        <f t="shared" si="44"/>
        <v>75576.88918526069</v>
      </c>
      <c r="X88" s="78">
        <f t="shared" si="44"/>
        <v>65417.857762591906</v>
      </c>
      <c r="Y88" s="78">
        <f t="shared" si="44"/>
        <v>56624.906837447001</v>
      </c>
      <c r="Z88" s="78">
        <f t="shared" si="44"/>
        <v>49014.254951554009</v>
      </c>
      <c r="AA88" s="78">
        <f t="shared" si="45"/>
        <v>42426.859485303321</v>
      </c>
      <c r="AB88" s="78">
        <f t="shared" si="45"/>
        <v>36725.084140728308</v>
      </c>
      <c r="AC88" s="78">
        <f t="shared" si="45"/>
        <v>31789.815748275669</v>
      </c>
      <c r="AD88" s="78">
        <f t="shared" si="45"/>
        <v>27517.969746419596</v>
      </c>
      <c r="AE88" s="78">
        <f t="shared" si="45"/>
        <v>23820.331881527083</v>
      </c>
      <c r="AF88" s="78">
        <f t="shared" si="45"/>
        <v>20619.690763604784</v>
      </c>
      <c r="AG88" s="78">
        <f t="shared" si="45"/>
        <v>17849.222042299905</v>
      </c>
      <c r="AH88" s="78">
        <f t="shared" si="45"/>
        <v>15451.09026693409</v>
      </c>
      <c r="AI88" s="78">
        <f t="shared" si="45"/>
        <v>17895.731528398086</v>
      </c>
      <c r="AJ88" s="169">
        <f t="shared" si="37"/>
        <v>989381.27676638903</v>
      </c>
      <c r="AK88" t="str">
        <f t="shared" si="38"/>
        <v>Cf</v>
      </c>
      <c r="AM88">
        <v>989381.27676638903</v>
      </c>
    </row>
    <row r="89" spans="12:49" x14ac:dyDescent="0.3">
      <c r="L89" s="412">
        <f t="shared" si="46"/>
        <v>0.1</v>
      </c>
      <c r="M89" s="371" t="str">
        <f t="shared" si="47"/>
        <v>Cf</v>
      </c>
      <c r="N89" s="115" t="str">
        <f t="shared" si="35"/>
        <v>Cf(10%)</v>
      </c>
      <c r="O89" s="78">
        <f t="shared" si="40"/>
        <v>-480000</v>
      </c>
      <c r="P89" s="78">
        <f t="shared" si="48"/>
        <v>213965.31231710338</v>
      </c>
      <c r="Q89" s="78">
        <f t="shared" si="44"/>
        <v>179444.04751161192</v>
      </c>
      <c r="R89" s="78">
        <f t="shared" si="44"/>
        <v>155313.53815257747</v>
      </c>
      <c r="S89" s="78">
        <f t="shared" si="44"/>
        <v>134429.47892107797</v>
      </c>
      <c r="T89" s="78">
        <f t="shared" si="44"/>
        <v>116354.84366009595</v>
      </c>
      <c r="U89" s="78">
        <f t="shared" si="44"/>
        <v>100711.48066041393</v>
      </c>
      <c r="V89" s="78">
        <f t="shared" si="44"/>
        <v>87172.174008688176</v>
      </c>
      <c r="W89" s="78">
        <f t="shared" si="44"/>
        <v>75453.776617342097</v>
      </c>
      <c r="X89" s="78">
        <f t="shared" si="44"/>
        <v>65311.27005718556</v>
      </c>
      <c r="Y89" s="78">
        <f t="shared" si="44"/>
        <v>56532.625934401396</v>
      </c>
      <c r="Z89" s="78">
        <f t="shared" si="44"/>
        <v>48934.360511248284</v>
      </c>
      <c r="AA89" s="78">
        <f t="shared" si="45"/>
        <v>42357.688926920178</v>
      </c>
      <c r="AB89" s="78">
        <f t="shared" si="45"/>
        <v>36665.198044415127</v>
      </c>
      <c r="AC89" s="78">
        <f t="shared" si="45"/>
        <v>31737.967901222502</v>
      </c>
      <c r="AD89" s="78">
        <f t="shared" si="45"/>
        <v>27473.081209521311</v>
      </c>
      <c r="AE89" s="78">
        <f t="shared" si="45"/>
        <v>23781.468536964243</v>
      </c>
      <c r="AF89" s="78">
        <f t="shared" si="45"/>
        <v>20586.04387611472</v>
      </c>
      <c r="AG89" s="78">
        <f t="shared" si="45"/>
        <v>17820.091429623521</v>
      </c>
      <c r="AH89" s="78">
        <f t="shared" si="45"/>
        <v>15425.869729220101</v>
      </c>
      <c r="AI89" s="78">
        <f t="shared" si="45"/>
        <v>17873.896233354724</v>
      </c>
      <c r="AJ89" s="169">
        <f t="shared" si="37"/>
        <v>987344.21423910256</v>
      </c>
      <c r="AK89" t="str">
        <f t="shared" si="38"/>
        <v>Cf</v>
      </c>
      <c r="AM89">
        <v>987344.21423910256</v>
      </c>
    </row>
    <row r="90" spans="12:49" x14ac:dyDescent="0.3">
      <c r="L90" s="412">
        <f t="shared" si="46"/>
        <v>0.15000000000000002</v>
      </c>
      <c r="M90" s="371" t="str">
        <f t="shared" si="47"/>
        <v>Cf</v>
      </c>
      <c r="N90" s="115" t="str">
        <f t="shared" si="35"/>
        <v>Cf(15%)</v>
      </c>
      <c r="O90" s="78">
        <f t="shared" si="40"/>
        <v>-480000</v>
      </c>
      <c r="P90" s="78">
        <f t="shared" si="48"/>
        <v>213965.31231710338</v>
      </c>
      <c r="Q90" s="78">
        <f t="shared" si="44"/>
        <v>179151.71706317563</v>
      </c>
      <c r="R90" s="78">
        <f t="shared" si="44"/>
        <v>155060.44594399128</v>
      </c>
      <c r="S90" s="78">
        <f t="shared" si="44"/>
        <v>134210.35817471138</v>
      </c>
      <c r="T90" s="78">
        <f t="shared" si="44"/>
        <v>116165.13453488637</v>
      </c>
      <c r="U90" s="78">
        <f t="shared" si="44"/>
        <v>100547.23536285742</v>
      </c>
      <c r="V90" s="78">
        <f t="shared" si="44"/>
        <v>87029.974640367727</v>
      </c>
      <c r="W90" s="78">
        <f t="shared" si="44"/>
        <v>75330.664049423518</v>
      </c>
      <c r="X90" s="78">
        <f t="shared" si="44"/>
        <v>65204.682351779215</v>
      </c>
      <c r="Y90" s="78">
        <f t="shared" si="44"/>
        <v>56440.345031355799</v>
      </c>
      <c r="Z90" s="78">
        <f t="shared" si="44"/>
        <v>48854.466070942559</v>
      </c>
      <c r="AA90" s="78">
        <f t="shared" si="45"/>
        <v>42288.518368537028</v>
      </c>
      <c r="AB90" s="78">
        <f t="shared" si="45"/>
        <v>36605.311948101953</v>
      </c>
      <c r="AC90" s="78">
        <f t="shared" si="45"/>
        <v>31686.12005416934</v>
      </c>
      <c r="AD90" s="78">
        <f t="shared" si="45"/>
        <v>27428.192672623027</v>
      </c>
      <c r="AE90" s="78">
        <f t="shared" si="45"/>
        <v>23742.605192401403</v>
      </c>
      <c r="AF90" s="78">
        <f t="shared" si="45"/>
        <v>20552.39698862466</v>
      </c>
      <c r="AG90" s="78">
        <f t="shared" si="45"/>
        <v>17790.960816947136</v>
      </c>
      <c r="AH90" s="78">
        <f t="shared" si="45"/>
        <v>15400.649191506111</v>
      </c>
      <c r="AI90" s="78">
        <f t="shared" si="45"/>
        <v>17852.060938311359</v>
      </c>
      <c r="AJ90" s="169">
        <f t="shared" si="37"/>
        <v>985307.15171181643</v>
      </c>
      <c r="AK90" t="str">
        <f t="shared" si="38"/>
        <v>Cf</v>
      </c>
      <c r="AM90">
        <v>985307.15171181643</v>
      </c>
    </row>
    <row r="91" spans="12:49" ht="15" thickBot="1" x14ac:dyDescent="0.35">
      <c r="L91" s="413">
        <f t="shared" si="46"/>
        <v>0.2</v>
      </c>
      <c r="M91" s="416" t="str">
        <f t="shared" si="47"/>
        <v>Cf</v>
      </c>
      <c r="N91" s="414" t="str">
        <f t="shared" si="35"/>
        <v>Cf(20%)</v>
      </c>
      <c r="O91" s="158">
        <f t="shared" si="40"/>
        <v>-480000</v>
      </c>
      <c r="P91" s="158">
        <f t="shared" si="48"/>
        <v>213965.31231710338</v>
      </c>
      <c r="Q91" s="78">
        <f t="shared" si="44"/>
        <v>178859.38661473934</v>
      </c>
      <c r="R91" s="78">
        <f t="shared" si="44"/>
        <v>154807.35373540508</v>
      </c>
      <c r="S91" s="78">
        <f t="shared" si="44"/>
        <v>133991.23742834482</v>
      </c>
      <c r="T91" s="78">
        <f t="shared" si="44"/>
        <v>115975.42540967678</v>
      </c>
      <c r="U91" s="78">
        <f t="shared" si="44"/>
        <v>100382.99006530091</v>
      </c>
      <c r="V91" s="78">
        <f t="shared" si="44"/>
        <v>86887.775272047278</v>
      </c>
      <c r="W91" s="78">
        <f t="shared" si="44"/>
        <v>75207.551481504939</v>
      </c>
      <c r="X91" s="78">
        <f t="shared" si="44"/>
        <v>65098.094646372869</v>
      </c>
      <c r="Y91" s="78">
        <f t="shared" si="44"/>
        <v>56348.064128310201</v>
      </c>
      <c r="Z91" s="78">
        <f t="shared" si="44"/>
        <v>48774.571630636834</v>
      </c>
      <c r="AA91" s="78">
        <f t="shared" si="45"/>
        <v>42219.347810153886</v>
      </c>
      <c r="AB91" s="78">
        <f t="shared" si="45"/>
        <v>36545.425851788772</v>
      </c>
      <c r="AC91" s="78">
        <f t="shared" si="45"/>
        <v>31634.272207116177</v>
      </c>
      <c r="AD91" s="78">
        <f t="shared" si="45"/>
        <v>27383.304135724742</v>
      </c>
      <c r="AE91" s="78">
        <f t="shared" si="45"/>
        <v>23703.741847838559</v>
      </c>
      <c r="AF91" s="78">
        <f t="shared" si="45"/>
        <v>20518.750101134596</v>
      </c>
      <c r="AG91" s="78">
        <f t="shared" si="45"/>
        <v>17761.830204270755</v>
      </c>
      <c r="AH91" s="78">
        <f t="shared" si="45"/>
        <v>15375.428653792122</v>
      </c>
      <c r="AI91" s="78">
        <f t="shared" si="45"/>
        <v>17830.225643267997</v>
      </c>
      <c r="AJ91" s="170">
        <f t="shared" si="37"/>
        <v>983270.08918452985</v>
      </c>
      <c r="AK91" t="str">
        <f t="shared" si="38"/>
        <v>Cf</v>
      </c>
      <c r="AM91">
        <v>983270.08918452985</v>
      </c>
    </row>
    <row r="92" spans="12:49" x14ac:dyDescent="0.3">
      <c r="L92" s="410">
        <f>L83</f>
        <v>-0.2</v>
      </c>
      <c r="M92" s="370" t="str">
        <f>C28</f>
        <v>Q</v>
      </c>
      <c r="N92" s="411" t="str">
        <f t="shared" si="35"/>
        <v>Q(-20%)</v>
      </c>
      <c r="O92" s="129">
        <f t="shared" si="40"/>
        <v>-480000</v>
      </c>
      <c r="P92" s="78">
        <f t="shared" ref="P92:Y100" si="49">(SUM(P$38*P$39*(1+$L92),P$41:P$47,P$49:P$52,-Cx*P$39*(1+$L92))+-SUM(P$38*P$39*(1+$L92),P$41:P$47,P$49:P$52,-Cx*P$39*(1+$L92))*0.35+SUM(P$60:P$67))*P$69</f>
        <v>154707.38585291183</v>
      </c>
      <c r="Q92" s="78">
        <f t="shared" si="49"/>
        <v>128724.71470791422</v>
      </c>
      <c r="R92" s="78">
        <f t="shared" si="49"/>
        <v>111402.03996287219</v>
      </c>
      <c r="S92" s="78">
        <f t="shared" si="49"/>
        <v>96412.029426475929</v>
      </c>
      <c r="T92" s="78">
        <f t="shared" si="49"/>
        <v>83440.310436233834</v>
      </c>
      <c r="U92" s="78">
        <f t="shared" si="49"/>
        <v>72214.921534359266</v>
      </c>
      <c r="V92" s="78">
        <f t="shared" si="49"/>
        <v>62500.5836050906</v>
      </c>
      <c r="W92" s="78">
        <f t="shared" si="49"/>
        <v>54093.746083467646</v>
      </c>
      <c r="X92" s="78">
        <f t="shared" si="49"/>
        <v>46818.303169184692</v>
      </c>
      <c r="Y92" s="78">
        <f t="shared" si="49"/>
        <v>40521.889255989772</v>
      </c>
      <c r="Z92" s="78">
        <f t="shared" ref="Z92:AI100" si="50">(SUM(Z$38*Z$39*(1+$L92),Z$41:Z$47,Z$49:Z$52,-Cx*Z$39*(1+$L92))+-SUM(Z$38*Z$39*(1+$L92),Z$41:Z$47,Z$49:Z$52,-Cx*Z$39*(1+$L92))*0.35+SUM(Z$60:Z$67))*Z$69</f>
        <v>35072.675118204956</v>
      </c>
      <c r="AA92" s="78">
        <f t="shared" si="50"/>
        <v>30356.597047444378</v>
      </c>
      <c r="AB92" s="78">
        <f t="shared" si="50"/>
        <v>26274.960334078623</v>
      </c>
      <c r="AC92" s="78">
        <f t="shared" si="50"/>
        <v>22742.366437498473</v>
      </c>
      <c r="AD92" s="78">
        <f t="shared" si="50"/>
        <v>19684.920057668984</v>
      </c>
      <c r="AE92" s="78">
        <f t="shared" si="50"/>
        <v>17038.678255311257</v>
      </c>
      <c r="AF92" s="78">
        <f t="shared" si="50"/>
        <v>14748.308896588702</v>
      </c>
      <c r="AG92" s="78">
        <f t="shared" si="50"/>
        <v>12765.930130270877</v>
      </c>
      <c r="AH92" s="78">
        <f t="shared" si="50"/>
        <v>11050.106435842914</v>
      </c>
      <c r="AI92" s="78">
        <f t="shared" si="50"/>
        <v>14085.472543331292</v>
      </c>
      <c r="AJ92" s="168">
        <f t="shared" si="37"/>
        <v>574655.93929074053</v>
      </c>
      <c r="AK92" t="str">
        <f t="shared" si="38"/>
        <v>Q</v>
      </c>
      <c r="AM92">
        <v>574655.93929074053</v>
      </c>
    </row>
    <row r="93" spans="12:49" x14ac:dyDescent="0.3">
      <c r="L93" s="412">
        <f t="shared" ref="L93:L100" si="51">L84</f>
        <v>-0.15000000000000002</v>
      </c>
      <c r="M93" s="371" t="str">
        <f>$M$92</f>
        <v>Q</v>
      </c>
      <c r="N93" s="115" t="str">
        <f t="shared" si="35"/>
        <v>Q(-15%)</v>
      </c>
      <c r="O93" s="78">
        <f t="shared" si="40"/>
        <v>-480000</v>
      </c>
      <c r="P93" s="78">
        <f t="shared" si="49"/>
        <v>169521.86746895971</v>
      </c>
      <c r="Q93" s="78">
        <f t="shared" si="49"/>
        <v>141550.71313305679</v>
      </c>
      <c r="R93" s="78">
        <f t="shared" si="49"/>
        <v>122506.46061459162</v>
      </c>
      <c r="S93" s="78">
        <f t="shared" si="49"/>
        <v>106025.95217330972</v>
      </c>
      <c r="T93" s="78">
        <f t="shared" si="49"/>
        <v>91763.79830480415</v>
      </c>
      <c r="U93" s="78">
        <f t="shared" si="49"/>
        <v>79421.183964651194</v>
      </c>
      <c r="V93" s="78">
        <f t="shared" si="49"/>
        <v>68739.580890150217</v>
      </c>
      <c r="W93" s="78">
        <f t="shared" si="49"/>
        <v>59495.310000895552</v>
      </c>
      <c r="X93" s="78">
        <f t="shared" si="49"/>
        <v>51494.838743888082</v>
      </c>
      <c r="Y93" s="78">
        <f t="shared" si="49"/>
        <v>44570.713877115486</v>
      </c>
      <c r="Z93" s="78">
        <f t="shared" si="50"/>
        <v>38578.043686618657</v>
      </c>
      <c r="AA93" s="78">
        <f t="shared" si="50"/>
        <v>33391.455296504901</v>
      </c>
      <c r="AB93" s="78">
        <f t="shared" si="50"/>
        <v>28902.462809819343</v>
      </c>
      <c r="AC93" s="78">
        <f t="shared" si="50"/>
        <v>25017.190726956062</v>
      </c>
      <c r="AD93" s="78">
        <f t="shared" si="50"/>
        <v>21654.404614081206</v>
      </c>
      <c r="AE93" s="78">
        <f t="shared" si="50"/>
        <v>18743.807498005925</v>
      </c>
      <c r="AF93" s="78">
        <f t="shared" si="50"/>
        <v>16224.566085215238</v>
      </c>
      <c r="AG93" s="78">
        <f t="shared" si="50"/>
        <v>14044.035761447229</v>
      </c>
      <c r="AH93" s="78">
        <f t="shared" si="50"/>
        <v>12156.657528044205</v>
      </c>
      <c r="AI93" s="78">
        <f t="shared" si="50"/>
        <v>15043.496113358831</v>
      </c>
      <c r="AJ93" s="169">
        <f t="shared" si="37"/>
        <v>678846.53929147415</v>
      </c>
      <c r="AK93" t="str">
        <f t="shared" si="38"/>
        <v>Q</v>
      </c>
      <c r="AM93">
        <v>678846.53929147415</v>
      </c>
    </row>
    <row r="94" spans="12:49" x14ac:dyDescent="0.3">
      <c r="L94" s="412">
        <f t="shared" si="51"/>
        <v>-0.1</v>
      </c>
      <c r="M94" s="371" t="str">
        <f t="shared" ref="M94:M100" si="52">$M$92</f>
        <v>Q</v>
      </c>
      <c r="N94" s="115" t="str">
        <f t="shared" si="35"/>
        <v>Q(-10%)</v>
      </c>
      <c r="O94" s="78">
        <f t="shared" si="40"/>
        <v>-480000</v>
      </c>
      <c r="P94" s="78">
        <f t="shared" si="49"/>
        <v>184336.34908500759</v>
      </c>
      <c r="Q94" s="78">
        <f t="shared" si="49"/>
        <v>154376.71155819937</v>
      </c>
      <c r="R94" s="78">
        <f t="shared" si="49"/>
        <v>133610.88126631104</v>
      </c>
      <c r="S94" s="78">
        <f t="shared" si="49"/>
        <v>115639.87492014351</v>
      </c>
      <c r="T94" s="78">
        <f t="shared" si="49"/>
        <v>100087.28617337446</v>
      </c>
      <c r="U94" s="78">
        <f t="shared" si="49"/>
        <v>86627.446394943108</v>
      </c>
      <c r="V94" s="78">
        <f t="shared" si="49"/>
        <v>74978.578175209826</v>
      </c>
      <c r="W94" s="78">
        <f t="shared" si="49"/>
        <v>64896.873918323457</v>
      </c>
      <c r="X94" s="78">
        <f t="shared" si="49"/>
        <v>56171.374318591465</v>
      </c>
      <c r="Y94" s="78">
        <f t="shared" si="49"/>
        <v>48619.538498241192</v>
      </c>
      <c r="Z94" s="78">
        <f t="shared" si="50"/>
        <v>42083.412255032352</v>
      </c>
      <c r="AA94" s="78">
        <f t="shared" si="50"/>
        <v>36426.313545565419</v>
      </c>
      <c r="AB94" s="78">
        <f t="shared" si="50"/>
        <v>31529.965285560062</v>
      </c>
      <c r="AC94" s="78">
        <f t="shared" si="50"/>
        <v>27292.015016413654</v>
      </c>
      <c r="AD94" s="78">
        <f t="shared" si="50"/>
        <v>23623.889170493432</v>
      </c>
      <c r="AE94" s="78">
        <f t="shared" si="50"/>
        <v>20448.936740700592</v>
      </c>
      <c r="AF94" s="78">
        <f t="shared" si="50"/>
        <v>17700.823273841772</v>
      </c>
      <c r="AG94" s="78">
        <f t="shared" si="50"/>
        <v>15322.141392623582</v>
      </c>
      <c r="AH94" s="78">
        <f t="shared" si="50"/>
        <v>13263.208620245498</v>
      </c>
      <c r="AI94" s="78">
        <f t="shared" si="50"/>
        <v>16001.519683386372</v>
      </c>
      <c r="AJ94" s="169">
        <f t="shared" si="37"/>
        <v>783037.13929220766</v>
      </c>
      <c r="AK94" t="str">
        <f t="shared" si="38"/>
        <v>Q</v>
      </c>
      <c r="AM94">
        <v>783037.13929220766</v>
      </c>
    </row>
    <row r="95" spans="12:49" x14ac:dyDescent="0.3">
      <c r="L95" s="412">
        <f t="shared" si="51"/>
        <v>-0.05</v>
      </c>
      <c r="M95" s="371" t="str">
        <f t="shared" si="52"/>
        <v>Q</v>
      </c>
      <c r="N95" s="115" t="str">
        <f t="shared" si="35"/>
        <v>Q(-5%)</v>
      </c>
      <c r="O95" s="78">
        <f t="shared" si="40"/>
        <v>-480000</v>
      </c>
      <c r="P95" s="78">
        <f t="shared" si="49"/>
        <v>199150.83070105547</v>
      </c>
      <c r="Q95" s="78">
        <f t="shared" si="49"/>
        <v>167202.70998334195</v>
      </c>
      <c r="R95" s="78">
        <f t="shared" si="49"/>
        <v>144715.30191803045</v>
      </c>
      <c r="S95" s="78">
        <f t="shared" si="49"/>
        <v>125253.79766697731</v>
      </c>
      <c r="T95" s="78">
        <f t="shared" si="49"/>
        <v>108410.77404194479</v>
      </c>
      <c r="U95" s="78">
        <f t="shared" si="49"/>
        <v>93833.708825235037</v>
      </c>
      <c r="V95" s="78">
        <f t="shared" si="49"/>
        <v>81217.575460269436</v>
      </c>
      <c r="W95" s="78">
        <f t="shared" si="49"/>
        <v>70298.437835751363</v>
      </c>
      <c r="X95" s="78">
        <f t="shared" si="49"/>
        <v>60847.909893294855</v>
      </c>
      <c r="Y95" s="78">
        <f t="shared" si="49"/>
        <v>52668.363119366906</v>
      </c>
      <c r="Z95" s="78">
        <f t="shared" si="50"/>
        <v>45588.780823446054</v>
      </c>
      <c r="AA95" s="78">
        <f t="shared" si="50"/>
        <v>39461.171794625938</v>
      </c>
      <c r="AB95" s="78">
        <f t="shared" si="50"/>
        <v>34157.467761300781</v>
      </c>
      <c r="AC95" s="78">
        <f t="shared" si="50"/>
        <v>29566.839305871243</v>
      </c>
      <c r="AD95" s="78">
        <f t="shared" si="50"/>
        <v>25593.373726905655</v>
      </c>
      <c r="AE95" s="78">
        <f t="shared" si="50"/>
        <v>22154.06598339526</v>
      </c>
      <c r="AF95" s="78">
        <f t="shared" si="50"/>
        <v>19177.080462468308</v>
      </c>
      <c r="AG95" s="78">
        <f t="shared" si="50"/>
        <v>16600.247023799933</v>
      </c>
      <c r="AH95" s="78">
        <f t="shared" si="50"/>
        <v>14369.759712446788</v>
      </c>
      <c r="AI95" s="78">
        <f t="shared" si="50"/>
        <v>16959.543253413911</v>
      </c>
      <c r="AJ95" s="169">
        <f t="shared" si="37"/>
        <v>887227.73929294129</v>
      </c>
      <c r="AK95" t="str">
        <f t="shared" si="38"/>
        <v>Q</v>
      </c>
      <c r="AM95">
        <v>887227.73929294129</v>
      </c>
    </row>
    <row r="96" spans="12:49" x14ac:dyDescent="0.3">
      <c r="L96" s="412">
        <f t="shared" si="51"/>
        <v>0</v>
      </c>
      <c r="M96" s="371" t="str">
        <f t="shared" si="52"/>
        <v>Q</v>
      </c>
      <c r="N96" s="115" t="str">
        <f t="shared" si="35"/>
        <v>Q(0%)</v>
      </c>
      <c r="O96" s="78">
        <f t="shared" si="40"/>
        <v>-480000</v>
      </c>
      <c r="P96" s="78">
        <f t="shared" si="49"/>
        <v>213965.31231710338</v>
      </c>
      <c r="Q96" s="78">
        <f t="shared" si="49"/>
        <v>180028.70840848453</v>
      </c>
      <c r="R96" s="78">
        <f t="shared" si="49"/>
        <v>155819.72256974987</v>
      </c>
      <c r="S96" s="78">
        <f t="shared" si="49"/>
        <v>134867.72041381113</v>
      </c>
      <c r="T96" s="78">
        <f t="shared" si="49"/>
        <v>116734.26191051511</v>
      </c>
      <c r="U96" s="78">
        <f t="shared" si="49"/>
        <v>101039.97125552695</v>
      </c>
      <c r="V96" s="78">
        <f t="shared" si="49"/>
        <v>87456.57274532906</v>
      </c>
      <c r="W96" s="78">
        <f t="shared" si="49"/>
        <v>75700.001753179269</v>
      </c>
      <c r="X96" s="78">
        <f t="shared" si="49"/>
        <v>65524.445467998252</v>
      </c>
      <c r="Y96" s="78">
        <f t="shared" si="49"/>
        <v>56717.187740492598</v>
      </c>
      <c r="Z96" s="78">
        <f t="shared" si="50"/>
        <v>49094.149391859733</v>
      </c>
      <c r="AA96" s="78">
        <f t="shared" si="50"/>
        <v>42496.030043686464</v>
      </c>
      <c r="AB96" s="78">
        <f t="shared" si="50"/>
        <v>36784.970237041489</v>
      </c>
      <c r="AC96" s="78">
        <f t="shared" si="50"/>
        <v>31841.663595328831</v>
      </c>
      <c r="AD96" s="78">
        <f t="shared" si="50"/>
        <v>27562.858283317881</v>
      </c>
      <c r="AE96" s="78">
        <f t="shared" si="50"/>
        <v>23859.195226089927</v>
      </c>
      <c r="AF96" s="78">
        <f t="shared" si="50"/>
        <v>20653.337651094847</v>
      </c>
      <c r="AG96" s="78">
        <f t="shared" si="50"/>
        <v>17878.35265497629</v>
      </c>
      <c r="AH96" s="78">
        <f t="shared" si="50"/>
        <v>15476.310804648079</v>
      </c>
      <c r="AI96" s="78">
        <f t="shared" si="50"/>
        <v>17917.566823441448</v>
      </c>
      <c r="AJ96" s="169">
        <f t="shared" si="37"/>
        <v>991418.33929367526</v>
      </c>
      <c r="AK96" t="str">
        <f t="shared" si="38"/>
        <v>Q</v>
      </c>
      <c r="AM96">
        <v>991418.33929367526</v>
      </c>
    </row>
    <row r="97" spans="12:39" x14ac:dyDescent="0.3">
      <c r="L97" s="412">
        <f t="shared" si="51"/>
        <v>0.05</v>
      </c>
      <c r="M97" s="371" t="str">
        <f t="shared" si="52"/>
        <v>Q</v>
      </c>
      <c r="N97" s="115" t="str">
        <f t="shared" si="35"/>
        <v>Q(5%)</v>
      </c>
      <c r="O97" s="78">
        <f t="shared" si="40"/>
        <v>-480000</v>
      </c>
      <c r="P97" s="78">
        <f t="shared" si="49"/>
        <v>228779.79393315126</v>
      </c>
      <c r="Q97" s="78">
        <f t="shared" si="49"/>
        <v>192854.7068336271</v>
      </c>
      <c r="R97" s="78">
        <f t="shared" si="49"/>
        <v>166924.14322146928</v>
      </c>
      <c r="S97" s="78">
        <f t="shared" si="49"/>
        <v>144481.64316064492</v>
      </c>
      <c r="T97" s="78">
        <f t="shared" si="49"/>
        <v>125057.74977908542</v>
      </c>
      <c r="U97" s="78">
        <f t="shared" si="49"/>
        <v>108246.23368581888</v>
      </c>
      <c r="V97" s="78">
        <f t="shared" si="49"/>
        <v>93695.57003038867</v>
      </c>
      <c r="W97" s="78">
        <f t="shared" si="49"/>
        <v>81101.565670607175</v>
      </c>
      <c r="X97" s="78">
        <f t="shared" si="49"/>
        <v>70200.981042701635</v>
      </c>
      <c r="Y97" s="78">
        <f t="shared" si="49"/>
        <v>60766.012361618312</v>
      </c>
      <c r="Z97" s="78">
        <f t="shared" si="50"/>
        <v>52599.517960273435</v>
      </c>
      <c r="AA97" s="78">
        <f t="shared" si="50"/>
        <v>45530.888292746989</v>
      </c>
      <c r="AB97" s="78">
        <f t="shared" si="50"/>
        <v>39412.472712782204</v>
      </c>
      <c r="AC97" s="78">
        <f t="shared" si="50"/>
        <v>34116.487884786424</v>
      </c>
      <c r="AD97" s="78">
        <f t="shared" si="50"/>
        <v>29532.342839730103</v>
      </c>
      <c r="AE97" s="78">
        <f t="shared" si="50"/>
        <v>25564.324468784595</v>
      </c>
      <c r="AF97" s="78">
        <f t="shared" si="50"/>
        <v>22129.594839721383</v>
      </c>
      <c r="AG97" s="78">
        <f t="shared" si="50"/>
        <v>19156.45828615264</v>
      </c>
      <c r="AH97" s="78">
        <f t="shared" si="50"/>
        <v>16582.861896849372</v>
      </c>
      <c r="AI97" s="78">
        <f t="shared" si="50"/>
        <v>18875.590393468989</v>
      </c>
      <c r="AJ97" s="169">
        <f t="shared" si="37"/>
        <v>1095608.9392944088</v>
      </c>
      <c r="AK97" t="str">
        <f t="shared" si="38"/>
        <v>Q</v>
      </c>
      <c r="AM97">
        <v>1095608.9392944088</v>
      </c>
    </row>
    <row r="98" spans="12:39" x14ac:dyDescent="0.3">
      <c r="L98" s="412">
        <f t="shared" si="51"/>
        <v>0.1</v>
      </c>
      <c r="M98" s="371" t="str">
        <f t="shared" si="52"/>
        <v>Q</v>
      </c>
      <c r="N98" s="115" t="str">
        <f t="shared" si="35"/>
        <v>Q(10%)</v>
      </c>
      <c r="O98" s="78">
        <f t="shared" si="40"/>
        <v>-480000</v>
      </c>
      <c r="P98" s="78">
        <f t="shared" si="49"/>
        <v>243594.27554919914</v>
      </c>
      <c r="Q98" s="78">
        <f t="shared" si="49"/>
        <v>205680.70525876968</v>
      </c>
      <c r="R98" s="78">
        <f t="shared" si="49"/>
        <v>178028.56387318869</v>
      </c>
      <c r="S98" s="78">
        <f t="shared" si="49"/>
        <v>154095.56590747874</v>
      </c>
      <c r="T98" s="78">
        <f t="shared" si="49"/>
        <v>133381.23764765577</v>
      </c>
      <c r="U98" s="78">
        <f t="shared" si="49"/>
        <v>115452.49611611079</v>
      </c>
      <c r="V98" s="78">
        <f t="shared" si="49"/>
        <v>99934.567315448294</v>
      </c>
      <c r="W98" s="78">
        <f t="shared" si="49"/>
        <v>86503.129588035081</v>
      </c>
      <c r="X98" s="78">
        <f t="shared" si="49"/>
        <v>74877.51661740501</v>
      </c>
      <c r="Y98" s="78">
        <f t="shared" si="49"/>
        <v>64814.836982744033</v>
      </c>
      <c r="Z98" s="78">
        <f t="shared" si="50"/>
        <v>56104.88652868713</v>
      </c>
      <c r="AA98" s="78">
        <f t="shared" si="50"/>
        <v>48565.746541807515</v>
      </c>
      <c r="AB98" s="78">
        <f t="shared" si="50"/>
        <v>42039.97518852292</v>
      </c>
      <c r="AC98" s="78">
        <f t="shared" si="50"/>
        <v>36391.312174244013</v>
      </c>
      <c r="AD98" s="78">
        <f t="shared" si="50"/>
        <v>31501.827396142326</v>
      </c>
      <c r="AE98" s="78">
        <f t="shared" si="50"/>
        <v>27269.453711479258</v>
      </c>
      <c r="AF98" s="78">
        <f t="shared" si="50"/>
        <v>23605.852028347919</v>
      </c>
      <c r="AG98" s="78">
        <f t="shared" si="50"/>
        <v>20434.563917328989</v>
      </c>
      <c r="AH98" s="78">
        <f t="shared" si="50"/>
        <v>17689.412989050663</v>
      </c>
      <c r="AI98" s="78">
        <f t="shared" si="50"/>
        <v>19833.613963496529</v>
      </c>
      <c r="AJ98" s="169">
        <f t="shared" si="37"/>
        <v>1199799.5392951427</v>
      </c>
      <c r="AK98" t="str">
        <f t="shared" si="38"/>
        <v>Q</v>
      </c>
      <c r="AM98">
        <v>1199799.5392951427</v>
      </c>
    </row>
    <row r="99" spans="12:39" x14ac:dyDescent="0.3">
      <c r="L99" s="412">
        <f t="shared" si="51"/>
        <v>0.15000000000000002</v>
      </c>
      <c r="M99" s="371" t="str">
        <f t="shared" si="52"/>
        <v>Q</v>
      </c>
      <c r="N99" s="115" t="str">
        <f t="shared" si="35"/>
        <v>Q(15%)</v>
      </c>
      <c r="O99" s="78">
        <f t="shared" si="40"/>
        <v>-480000</v>
      </c>
      <c r="P99" s="78">
        <f t="shared" si="49"/>
        <v>258408.75716524702</v>
      </c>
      <c r="Q99" s="78">
        <f t="shared" si="49"/>
        <v>218506.70368391226</v>
      </c>
      <c r="R99" s="78">
        <f t="shared" si="49"/>
        <v>189132.98452490813</v>
      </c>
      <c r="S99" s="78">
        <f t="shared" si="49"/>
        <v>163709.48865431253</v>
      </c>
      <c r="T99" s="78">
        <f t="shared" si="49"/>
        <v>141704.72551622608</v>
      </c>
      <c r="U99" s="78">
        <f t="shared" si="49"/>
        <v>122658.75854640272</v>
      </c>
      <c r="V99" s="78">
        <f t="shared" si="49"/>
        <v>106173.5646005079</v>
      </c>
      <c r="W99" s="78">
        <f t="shared" si="49"/>
        <v>91904.693505462987</v>
      </c>
      <c r="X99" s="78">
        <f t="shared" si="49"/>
        <v>79554.0521921084</v>
      </c>
      <c r="Y99" s="78">
        <f t="shared" si="49"/>
        <v>68863.661603869725</v>
      </c>
      <c r="Z99" s="78">
        <f t="shared" si="50"/>
        <v>59610.255097100831</v>
      </c>
      <c r="AA99" s="78">
        <f t="shared" si="50"/>
        <v>51600.604790868034</v>
      </c>
      <c r="AB99" s="78">
        <f t="shared" si="50"/>
        <v>44667.477664263635</v>
      </c>
      <c r="AC99" s="78">
        <f t="shared" si="50"/>
        <v>38666.136463701601</v>
      </c>
      <c r="AD99" s="78">
        <f t="shared" si="50"/>
        <v>33471.311952554548</v>
      </c>
      <c r="AE99" s="78">
        <f t="shared" si="50"/>
        <v>28974.582954173926</v>
      </c>
      <c r="AF99" s="78">
        <f t="shared" si="50"/>
        <v>25082.109216974455</v>
      </c>
      <c r="AG99" s="78">
        <f t="shared" si="50"/>
        <v>21712.669548505342</v>
      </c>
      <c r="AH99" s="78">
        <f t="shared" si="50"/>
        <v>18795.964081251957</v>
      </c>
      <c r="AI99" s="78">
        <f t="shared" si="50"/>
        <v>20791.63753352407</v>
      </c>
      <c r="AJ99" s="169">
        <f t="shared" si="37"/>
        <v>1303990.1392958763</v>
      </c>
      <c r="AK99" t="str">
        <f t="shared" si="38"/>
        <v>Q</v>
      </c>
      <c r="AM99">
        <v>1303990.1392958763</v>
      </c>
    </row>
    <row r="100" spans="12:39" ht="15" thickBot="1" x14ac:dyDescent="0.35">
      <c r="L100" s="413">
        <f t="shared" si="51"/>
        <v>0.2</v>
      </c>
      <c r="M100" s="416" t="str">
        <f t="shared" si="52"/>
        <v>Q</v>
      </c>
      <c r="N100" s="414" t="str">
        <f t="shared" si="35"/>
        <v>Q(20%)</v>
      </c>
      <c r="O100" s="158">
        <f t="shared" si="40"/>
        <v>-480000</v>
      </c>
      <c r="P100" s="78">
        <f t="shared" si="49"/>
        <v>273223.2387812949</v>
      </c>
      <c r="Q100" s="78">
        <f t="shared" si="49"/>
        <v>231332.70210905481</v>
      </c>
      <c r="R100" s="78">
        <f t="shared" si="49"/>
        <v>200237.40517662754</v>
      </c>
      <c r="S100" s="78">
        <f t="shared" si="49"/>
        <v>173323.41140114632</v>
      </c>
      <c r="T100" s="78">
        <f t="shared" si="49"/>
        <v>150028.2133847964</v>
      </c>
      <c r="U100" s="78">
        <f t="shared" si="49"/>
        <v>129865.02097669464</v>
      </c>
      <c r="V100" s="78">
        <f t="shared" si="49"/>
        <v>112412.56188556751</v>
      </c>
      <c r="W100" s="78">
        <f t="shared" si="49"/>
        <v>97306.257422890892</v>
      </c>
      <c r="X100" s="78">
        <f t="shared" si="49"/>
        <v>84230.58776681179</v>
      </c>
      <c r="Y100" s="78">
        <f t="shared" si="49"/>
        <v>72912.486224995431</v>
      </c>
      <c r="Z100" s="78">
        <f t="shared" si="50"/>
        <v>63115.623665514526</v>
      </c>
      <c r="AA100" s="78">
        <f t="shared" si="50"/>
        <v>54635.463039928552</v>
      </c>
      <c r="AB100" s="78">
        <f t="shared" si="50"/>
        <v>47294.980140004358</v>
      </c>
      <c r="AC100" s="78">
        <f t="shared" si="50"/>
        <v>40940.96075315919</v>
      </c>
      <c r="AD100" s="78">
        <f t="shared" si="50"/>
        <v>35440.79650896677</v>
      </c>
      <c r="AE100" s="78">
        <f t="shared" si="50"/>
        <v>30679.712196868593</v>
      </c>
      <c r="AF100" s="78">
        <f t="shared" si="50"/>
        <v>26558.366405600991</v>
      </c>
      <c r="AG100" s="78">
        <f t="shared" si="50"/>
        <v>22990.775179681692</v>
      </c>
      <c r="AH100" s="78">
        <f t="shared" si="50"/>
        <v>19902.515173453248</v>
      </c>
      <c r="AI100" s="78">
        <f t="shared" si="50"/>
        <v>21749.661103551611</v>
      </c>
      <c r="AJ100" s="169">
        <f t="shared" si="37"/>
        <v>1408180.7392966093</v>
      </c>
      <c r="AK100" t="str">
        <f t="shared" si="38"/>
        <v>Q</v>
      </c>
      <c r="AM100">
        <v>1408180.7392966093</v>
      </c>
    </row>
    <row r="101" spans="12:39" x14ac:dyDescent="0.3">
      <c r="L101" s="410">
        <f>L92</f>
        <v>-0.2</v>
      </c>
      <c r="M101" s="370" t="str">
        <f>C29</f>
        <v>Rx</v>
      </c>
      <c r="N101" s="411" t="str">
        <f t="shared" si="35"/>
        <v>Rx(-20%)</v>
      </c>
      <c r="O101" s="129">
        <f t="shared" si="40"/>
        <v>-480000</v>
      </c>
      <c r="P101" s="129">
        <f t="shared" ref="P101:AE109" si="53">((SUM(P$40:P$51,P$52*(1+$L101))+-SUM(P$40:P$51,P$52*(1+$L101))*0.35)+SUM(P$60:P$67))*P$69</f>
        <v>219030.09235677787</v>
      </c>
      <c r="Q101" s="129">
        <f t="shared" si="53"/>
        <v>184413.665135029</v>
      </c>
      <c r="R101" s="129">
        <f t="shared" si="53"/>
        <v>159616.10569854281</v>
      </c>
      <c r="S101" s="129">
        <f t="shared" si="53"/>
        <v>138154.53160930987</v>
      </c>
      <c r="T101" s="129">
        <f t="shared" si="53"/>
        <v>119579.89878865881</v>
      </c>
      <c r="U101" s="129">
        <f t="shared" si="53"/>
        <v>103503.65071887462</v>
      </c>
      <c r="V101" s="129">
        <f t="shared" si="53"/>
        <v>89589.563270135768</v>
      </c>
      <c r="W101" s="129">
        <f t="shared" si="53"/>
        <v>77546.690271958039</v>
      </c>
      <c r="X101" s="129">
        <f t="shared" si="53"/>
        <v>67123.261049093431</v>
      </c>
      <c r="Y101" s="129">
        <f t="shared" si="53"/>
        <v>58101.401286176602</v>
      </c>
      <c r="Z101" s="129">
        <f t="shared" si="53"/>
        <v>50292.565996445614</v>
      </c>
      <c r="AA101" s="129">
        <f t="shared" si="53"/>
        <v>43533.588419433654</v>
      </c>
      <c r="AB101" s="129">
        <f t="shared" si="53"/>
        <v>37683.261681739168</v>
      </c>
      <c r="AC101" s="129">
        <f t="shared" si="53"/>
        <v>32619.381301126301</v>
      </c>
      <c r="AD101" s="129">
        <f t="shared" si="53"/>
        <v>28236.186336792143</v>
      </c>
      <c r="AE101" s="129">
        <f t="shared" si="53"/>
        <v>24442.145394532548</v>
      </c>
      <c r="AF101" s="129">
        <f t="shared" ref="Q101:AG109" si="54">((SUM(AF$40:AF$51,AF$52*(1+$L101))+-SUM(AF$40:AF$51,AF$52*(1+$L101))*0.35)+SUM(AF$60:AF$67))*AF$69</f>
        <v>21158.040963445801</v>
      </c>
      <c r="AG101" s="129">
        <f t="shared" si="54"/>
        <v>18315.311845122051</v>
      </c>
      <c r="AH101" s="129">
        <f t="shared" ref="AG101:AI109" si="55">((SUM(AH$40:AH$51,AH$52*(1+$L101))+-SUM(AH$40:AH$51,AH$52*(1+$L101))*0.35)+SUM(AH$60:AH$67))*AH$69</f>
        <v>15854.618870357923</v>
      </c>
      <c r="AI101" s="129">
        <f t="shared" si="55"/>
        <v>18245.09624909189</v>
      </c>
      <c r="AJ101" s="168">
        <f t="shared" si="37"/>
        <v>1027039.057242644</v>
      </c>
      <c r="AK101" t="str">
        <f t="shared" si="38"/>
        <v>Rx</v>
      </c>
      <c r="AM101">
        <v>1027039.057242644</v>
      </c>
    </row>
    <row r="102" spans="12:39" x14ac:dyDescent="0.3">
      <c r="L102" s="412">
        <f t="shared" ref="L102:L108" si="56">L93</f>
        <v>-0.15000000000000002</v>
      </c>
      <c r="M102" s="371" t="str">
        <f>$M$101</f>
        <v>Rx</v>
      </c>
      <c r="N102" s="115" t="str">
        <f t="shared" si="35"/>
        <v>Rx(-15%)</v>
      </c>
      <c r="O102" s="78">
        <f t="shared" si="40"/>
        <v>-480000</v>
      </c>
      <c r="P102" s="78">
        <f t="shared" si="53"/>
        <v>217763.89734685924</v>
      </c>
      <c r="Q102" s="78">
        <f t="shared" si="54"/>
        <v>183317.42595339287</v>
      </c>
      <c r="R102" s="78">
        <f t="shared" si="54"/>
        <v>158667.0099163446</v>
      </c>
      <c r="S102" s="78">
        <f t="shared" si="54"/>
        <v>137332.8288104352</v>
      </c>
      <c r="T102" s="78">
        <f t="shared" si="54"/>
        <v>118868.48956912289</v>
      </c>
      <c r="U102" s="78">
        <f t="shared" si="54"/>
        <v>102887.7308530377</v>
      </c>
      <c r="V102" s="78">
        <f t="shared" si="54"/>
        <v>89056.315638934087</v>
      </c>
      <c r="W102" s="78">
        <f t="shared" si="54"/>
        <v>77085.018142263347</v>
      </c>
      <c r="X102" s="78">
        <f t="shared" si="54"/>
        <v>66723.557153819638</v>
      </c>
      <c r="Y102" s="78">
        <f t="shared" si="54"/>
        <v>57755.347899755601</v>
      </c>
      <c r="Z102" s="78">
        <f t="shared" si="54"/>
        <v>49992.961845299149</v>
      </c>
      <c r="AA102" s="78">
        <f t="shared" si="54"/>
        <v>43274.198825496853</v>
      </c>
      <c r="AB102" s="78">
        <f t="shared" si="54"/>
        <v>37458.688820564748</v>
      </c>
      <c r="AC102" s="78">
        <f t="shared" si="54"/>
        <v>32424.951874676932</v>
      </c>
      <c r="AD102" s="78">
        <f t="shared" si="54"/>
        <v>28067.85432342358</v>
      </c>
      <c r="AE102" s="78">
        <f t="shared" si="54"/>
        <v>24296.407852421893</v>
      </c>
      <c r="AF102" s="78">
        <f t="shared" si="54"/>
        <v>21031.865135358061</v>
      </c>
      <c r="AG102" s="78">
        <f t="shared" si="55"/>
        <v>18206.072047585611</v>
      </c>
      <c r="AH102" s="78">
        <f t="shared" si="55"/>
        <v>15760.041853930463</v>
      </c>
      <c r="AI102" s="78">
        <f t="shared" si="55"/>
        <v>18163.21389267928</v>
      </c>
      <c r="AJ102" s="169">
        <f t="shared" si="37"/>
        <v>1018133.8777554017</v>
      </c>
      <c r="AK102" t="str">
        <f t="shared" si="38"/>
        <v>Rx</v>
      </c>
      <c r="AM102">
        <v>1018133.8777554017</v>
      </c>
    </row>
    <row r="103" spans="12:39" x14ac:dyDescent="0.3">
      <c r="L103" s="412">
        <f t="shared" si="56"/>
        <v>-0.1</v>
      </c>
      <c r="M103" s="371" t="str">
        <f t="shared" ref="M103:M109" si="57">$M$101</f>
        <v>Rx</v>
      </c>
      <c r="N103" s="115" t="str">
        <f t="shared" si="35"/>
        <v>Rx(-10%)</v>
      </c>
      <c r="O103" s="78">
        <f t="shared" si="40"/>
        <v>-480000</v>
      </c>
      <c r="P103" s="78">
        <f t="shared" si="53"/>
        <v>216497.70233694062</v>
      </c>
      <c r="Q103" s="78">
        <f t="shared" si="54"/>
        <v>182221.18677175677</v>
      </c>
      <c r="R103" s="78">
        <f t="shared" si="54"/>
        <v>157717.91413414635</v>
      </c>
      <c r="S103" s="78">
        <f t="shared" si="54"/>
        <v>136511.1260115605</v>
      </c>
      <c r="T103" s="78">
        <f t="shared" si="54"/>
        <v>118157.08034958696</v>
      </c>
      <c r="U103" s="78">
        <f t="shared" si="54"/>
        <v>102271.81098720079</v>
      </c>
      <c r="V103" s="78">
        <f t="shared" si="54"/>
        <v>88523.068007732421</v>
      </c>
      <c r="W103" s="78">
        <f t="shared" si="54"/>
        <v>76623.346012568654</v>
      </c>
      <c r="X103" s="78">
        <f t="shared" si="54"/>
        <v>66323.853258545845</v>
      </c>
      <c r="Y103" s="78">
        <f t="shared" si="54"/>
        <v>57409.2945133346</v>
      </c>
      <c r="Z103" s="78">
        <f t="shared" si="54"/>
        <v>49693.357694152677</v>
      </c>
      <c r="AA103" s="78">
        <f t="shared" si="54"/>
        <v>43014.809231560059</v>
      </c>
      <c r="AB103" s="78">
        <f t="shared" si="54"/>
        <v>37234.115959390328</v>
      </c>
      <c r="AC103" s="78">
        <f t="shared" si="54"/>
        <v>32230.522448227566</v>
      </c>
      <c r="AD103" s="78">
        <f t="shared" si="54"/>
        <v>27899.522310055014</v>
      </c>
      <c r="AE103" s="78">
        <f t="shared" si="54"/>
        <v>24150.670310311238</v>
      </c>
      <c r="AF103" s="78">
        <f t="shared" si="54"/>
        <v>20905.689307270324</v>
      </c>
      <c r="AG103" s="78">
        <f t="shared" si="55"/>
        <v>18096.83225004917</v>
      </c>
      <c r="AH103" s="78">
        <f t="shared" si="55"/>
        <v>15665.464837503001</v>
      </c>
      <c r="AI103" s="78">
        <f t="shared" si="55"/>
        <v>18081.331536266669</v>
      </c>
      <c r="AJ103" s="169">
        <f t="shared" si="37"/>
        <v>1009228.6982681596</v>
      </c>
      <c r="AK103" t="str">
        <f t="shared" si="38"/>
        <v>Rx</v>
      </c>
      <c r="AM103">
        <v>1009228.6982681596</v>
      </c>
    </row>
    <row r="104" spans="12:39" x14ac:dyDescent="0.3">
      <c r="L104" s="412">
        <f t="shared" si="56"/>
        <v>-0.05</v>
      </c>
      <c r="M104" s="371" t="str">
        <f t="shared" si="57"/>
        <v>Rx</v>
      </c>
      <c r="N104" s="115" t="str">
        <f t="shared" si="35"/>
        <v>Rx(-5%)</v>
      </c>
      <c r="O104" s="78">
        <f t="shared" si="40"/>
        <v>-480000</v>
      </c>
      <c r="P104" s="78">
        <f t="shared" si="53"/>
        <v>215231.507327022</v>
      </c>
      <c r="Q104" s="78">
        <f t="shared" si="54"/>
        <v>181124.94759012063</v>
      </c>
      <c r="R104" s="78">
        <f t="shared" si="54"/>
        <v>156768.81835194811</v>
      </c>
      <c r="S104" s="78">
        <f t="shared" si="54"/>
        <v>135689.42321268583</v>
      </c>
      <c r="T104" s="78">
        <f t="shared" si="54"/>
        <v>117445.67113005104</v>
      </c>
      <c r="U104" s="78">
        <f t="shared" si="54"/>
        <v>101655.89112136386</v>
      </c>
      <c r="V104" s="78">
        <f t="shared" si="54"/>
        <v>87989.820376530741</v>
      </c>
      <c r="W104" s="78">
        <f t="shared" si="54"/>
        <v>76161.673882873962</v>
      </c>
      <c r="X104" s="78">
        <f t="shared" si="54"/>
        <v>65924.149363272052</v>
      </c>
      <c r="Y104" s="78">
        <f t="shared" si="54"/>
        <v>57063.241126913599</v>
      </c>
      <c r="Z104" s="78">
        <f t="shared" si="54"/>
        <v>49393.753543006205</v>
      </c>
      <c r="AA104" s="78">
        <f t="shared" si="54"/>
        <v>42755.419637623265</v>
      </c>
      <c r="AB104" s="78">
        <f t="shared" si="54"/>
        <v>37009.543098215909</v>
      </c>
      <c r="AC104" s="78">
        <f t="shared" si="54"/>
        <v>32036.093021778201</v>
      </c>
      <c r="AD104" s="78">
        <f t="shared" si="54"/>
        <v>27731.190296686447</v>
      </c>
      <c r="AE104" s="78">
        <f t="shared" si="54"/>
        <v>24004.932768200582</v>
      </c>
      <c r="AF104" s="78">
        <f t="shared" si="54"/>
        <v>20779.513479182588</v>
      </c>
      <c r="AG104" s="78">
        <f t="shared" si="55"/>
        <v>17987.59245251273</v>
      </c>
      <c r="AH104" s="78">
        <f t="shared" si="55"/>
        <v>15570.887821075541</v>
      </c>
      <c r="AI104" s="78">
        <f t="shared" si="55"/>
        <v>17999.449179854058</v>
      </c>
      <c r="AJ104" s="169">
        <f t="shared" si="37"/>
        <v>1000323.5187809174</v>
      </c>
      <c r="AK104" t="str">
        <f t="shared" si="38"/>
        <v>Rx</v>
      </c>
      <c r="AM104">
        <v>1000323.5187809174</v>
      </c>
    </row>
    <row r="105" spans="12:39" x14ac:dyDescent="0.3">
      <c r="L105" s="412">
        <f t="shared" si="56"/>
        <v>0</v>
      </c>
      <c r="M105" s="371" t="str">
        <f t="shared" si="57"/>
        <v>Rx</v>
      </c>
      <c r="N105" s="115" t="str">
        <f t="shared" si="35"/>
        <v>Rx(0%)</v>
      </c>
      <c r="O105" s="78">
        <f t="shared" si="40"/>
        <v>-480000</v>
      </c>
      <c r="P105" s="78">
        <f>((SUM(P$40:P$51,P$52*(1+$L105))+-SUM(P$40:P$51,P$52*(1+$L105))*0.35)+SUM(P$60:P$67))*P$69</f>
        <v>213965.31231710338</v>
      </c>
      <c r="Q105" s="78">
        <f t="shared" si="54"/>
        <v>180028.70840848453</v>
      </c>
      <c r="R105" s="78">
        <f t="shared" si="54"/>
        <v>155819.72256974987</v>
      </c>
      <c r="S105" s="78">
        <f t="shared" si="54"/>
        <v>134867.72041381113</v>
      </c>
      <c r="T105" s="78">
        <f t="shared" si="54"/>
        <v>116734.26191051511</v>
      </c>
      <c r="U105" s="78">
        <f t="shared" si="54"/>
        <v>101039.97125552695</v>
      </c>
      <c r="V105" s="78">
        <f t="shared" si="54"/>
        <v>87456.57274532906</v>
      </c>
      <c r="W105" s="78">
        <f t="shared" si="54"/>
        <v>75700.001753179269</v>
      </c>
      <c r="X105" s="78">
        <f t="shared" si="54"/>
        <v>65524.445467998252</v>
      </c>
      <c r="Y105" s="78">
        <f t="shared" si="54"/>
        <v>56717.187740492598</v>
      </c>
      <c r="Z105" s="78">
        <f t="shared" si="54"/>
        <v>49094.149391859733</v>
      </c>
      <c r="AA105" s="78">
        <f t="shared" si="54"/>
        <v>42496.030043686464</v>
      </c>
      <c r="AB105" s="78">
        <f t="shared" si="54"/>
        <v>36784.970237041489</v>
      </c>
      <c r="AC105" s="78">
        <f t="shared" si="54"/>
        <v>31841.663595328831</v>
      </c>
      <c r="AD105" s="78">
        <f t="shared" si="54"/>
        <v>27562.858283317881</v>
      </c>
      <c r="AE105" s="78">
        <f t="shared" si="54"/>
        <v>23859.195226089927</v>
      </c>
      <c r="AF105" s="78">
        <f t="shared" si="54"/>
        <v>20653.337651094847</v>
      </c>
      <c r="AG105" s="78">
        <f t="shared" si="55"/>
        <v>17878.35265497629</v>
      </c>
      <c r="AH105" s="78">
        <f t="shared" si="55"/>
        <v>15476.310804648079</v>
      </c>
      <c r="AI105" s="78">
        <f t="shared" si="55"/>
        <v>17917.566823441448</v>
      </c>
      <c r="AJ105" s="169">
        <f t="shared" si="37"/>
        <v>991418.33929367526</v>
      </c>
      <c r="AK105" t="str">
        <f t="shared" si="38"/>
        <v>Rx</v>
      </c>
      <c r="AM105">
        <v>991418.33929367526</v>
      </c>
    </row>
    <row r="106" spans="12:39" x14ac:dyDescent="0.3">
      <c r="L106" s="412">
        <f t="shared" si="56"/>
        <v>0.05</v>
      </c>
      <c r="M106" s="371" t="str">
        <f t="shared" si="57"/>
        <v>Rx</v>
      </c>
      <c r="N106" s="115" t="str">
        <f t="shared" si="35"/>
        <v>Rx(5%)</v>
      </c>
      <c r="O106" s="78">
        <f t="shared" si="40"/>
        <v>-480000</v>
      </c>
      <c r="P106" s="78">
        <f t="shared" si="53"/>
        <v>212699.11730718476</v>
      </c>
      <c r="Q106" s="78">
        <f t="shared" si="54"/>
        <v>178932.46922684839</v>
      </c>
      <c r="R106" s="78">
        <f t="shared" si="54"/>
        <v>154870.62678755162</v>
      </c>
      <c r="S106" s="78">
        <f t="shared" si="54"/>
        <v>134046.01761493646</v>
      </c>
      <c r="T106" s="78">
        <f t="shared" si="54"/>
        <v>116022.85269097918</v>
      </c>
      <c r="U106" s="78">
        <f t="shared" si="54"/>
        <v>100424.05138969004</v>
      </c>
      <c r="V106" s="78">
        <f t="shared" si="54"/>
        <v>86923.325114127394</v>
      </c>
      <c r="W106" s="78">
        <f t="shared" si="54"/>
        <v>75238.329623484577</v>
      </c>
      <c r="X106" s="78">
        <f t="shared" si="54"/>
        <v>65124.741572724459</v>
      </c>
      <c r="Y106" s="78">
        <f t="shared" si="54"/>
        <v>56371.134354071597</v>
      </c>
      <c r="Z106" s="78">
        <f t="shared" si="54"/>
        <v>48794.545240713269</v>
      </c>
      <c r="AA106" s="78">
        <f t="shared" si="54"/>
        <v>42236.64044974967</v>
      </c>
      <c r="AB106" s="78">
        <f t="shared" si="54"/>
        <v>36560.397375867069</v>
      </c>
      <c r="AC106" s="78">
        <f t="shared" si="54"/>
        <v>31647.234168879466</v>
      </c>
      <c r="AD106" s="78">
        <f t="shared" si="54"/>
        <v>27394.526269949314</v>
      </c>
      <c r="AE106" s="78">
        <f t="shared" si="54"/>
        <v>23713.457683979272</v>
      </c>
      <c r="AF106" s="78">
        <f t="shared" si="54"/>
        <v>20527.161823007111</v>
      </c>
      <c r="AG106" s="78">
        <f t="shared" si="55"/>
        <v>17769.11285743985</v>
      </c>
      <c r="AH106" s="78">
        <f t="shared" si="55"/>
        <v>15381.733788220619</v>
      </c>
      <c r="AI106" s="78">
        <f t="shared" si="55"/>
        <v>17835.684467028837</v>
      </c>
      <c r="AJ106" s="169">
        <f t="shared" si="37"/>
        <v>982513.1598064329</v>
      </c>
      <c r="AK106" t="str">
        <f t="shared" si="38"/>
        <v>Rx</v>
      </c>
      <c r="AM106">
        <v>982513.1598064329</v>
      </c>
    </row>
    <row r="107" spans="12:39" x14ac:dyDescent="0.3">
      <c r="L107" s="412">
        <f t="shared" si="56"/>
        <v>0.1</v>
      </c>
      <c r="M107" s="371" t="str">
        <f t="shared" si="57"/>
        <v>Rx</v>
      </c>
      <c r="N107" s="115" t="str">
        <f t="shared" si="35"/>
        <v>Rx(10%)</v>
      </c>
      <c r="O107" s="78">
        <f t="shared" si="40"/>
        <v>-480000</v>
      </c>
      <c r="P107" s="78">
        <f t="shared" si="53"/>
        <v>211432.92229726614</v>
      </c>
      <c r="Q107" s="78">
        <f t="shared" si="54"/>
        <v>177836.23004521229</v>
      </c>
      <c r="R107" s="78">
        <f t="shared" si="54"/>
        <v>153921.53100535338</v>
      </c>
      <c r="S107" s="78">
        <f t="shared" si="54"/>
        <v>133224.31481606176</v>
      </c>
      <c r="T107" s="78">
        <f t="shared" si="54"/>
        <v>115311.44347144326</v>
      </c>
      <c r="U107" s="78">
        <f t="shared" si="54"/>
        <v>99808.131523853124</v>
      </c>
      <c r="V107" s="78">
        <f t="shared" si="54"/>
        <v>86390.077482925713</v>
      </c>
      <c r="W107" s="78">
        <f t="shared" si="54"/>
        <v>74776.657493789884</v>
      </c>
      <c r="X107" s="78">
        <f t="shared" si="54"/>
        <v>64725.037677450666</v>
      </c>
      <c r="Y107" s="78">
        <f t="shared" si="54"/>
        <v>56025.080967650596</v>
      </c>
      <c r="Z107" s="78">
        <f t="shared" si="54"/>
        <v>48494.941089566797</v>
      </c>
      <c r="AA107" s="78">
        <f t="shared" si="54"/>
        <v>41977.250855812876</v>
      </c>
      <c r="AB107" s="78">
        <f t="shared" si="54"/>
        <v>36335.824514692649</v>
      </c>
      <c r="AC107" s="78">
        <f t="shared" si="54"/>
        <v>31452.8047424301</v>
      </c>
      <c r="AD107" s="78">
        <f t="shared" si="54"/>
        <v>27226.194256580748</v>
      </c>
      <c r="AE107" s="78">
        <f t="shared" si="54"/>
        <v>23567.720141868616</v>
      </c>
      <c r="AF107" s="78">
        <f t="shared" si="54"/>
        <v>20400.985994919371</v>
      </c>
      <c r="AG107" s="78">
        <f t="shared" si="55"/>
        <v>17659.87305990341</v>
      </c>
      <c r="AH107" s="78">
        <f t="shared" si="55"/>
        <v>15287.156771793158</v>
      </c>
      <c r="AI107" s="78">
        <f t="shared" si="55"/>
        <v>17753.802110616227</v>
      </c>
      <c r="AJ107" s="169">
        <f t="shared" si="37"/>
        <v>973607.98031919077</v>
      </c>
      <c r="AK107" t="str">
        <f t="shared" si="38"/>
        <v>Rx</v>
      </c>
      <c r="AM107">
        <v>973607.98031919077</v>
      </c>
    </row>
    <row r="108" spans="12:39" x14ac:dyDescent="0.3">
      <c r="L108" s="412">
        <f t="shared" si="56"/>
        <v>0.15000000000000002</v>
      </c>
      <c r="M108" s="371" t="str">
        <f t="shared" si="57"/>
        <v>Rx</v>
      </c>
      <c r="N108" s="115" t="str">
        <f t="shared" si="35"/>
        <v>Rx(15%)</v>
      </c>
      <c r="O108" s="78">
        <f t="shared" si="40"/>
        <v>-480000</v>
      </c>
      <c r="P108" s="78">
        <f t="shared" si="53"/>
        <v>210166.72728734749</v>
      </c>
      <c r="Q108" s="78">
        <f t="shared" si="54"/>
        <v>176739.99086357618</v>
      </c>
      <c r="R108" s="78">
        <f t="shared" si="54"/>
        <v>152972.43522315513</v>
      </c>
      <c r="S108" s="78">
        <f t="shared" si="54"/>
        <v>132402.61201718709</v>
      </c>
      <c r="T108" s="78">
        <f t="shared" si="54"/>
        <v>114600.03425190733</v>
      </c>
      <c r="U108" s="78">
        <f t="shared" si="54"/>
        <v>99192.211658016211</v>
      </c>
      <c r="V108" s="78">
        <f t="shared" si="54"/>
        <v>85856.829851724033</v>
      </c>
      <c r="W108" s="78">
        <f t="shared" si="54"/>
        <v>74314.985364095191</v>
      </c>
      <c r="X108" s="78">
        <f t="shared" si="54"/>
        <v>64325.333782176873</v>
      </c>
      <c r="Y108" s="78">
        <f t="shared" si="54"/>
        <v>55679.027581229595</v>
      </c>
      <c r="Z108" s="78">
        <f t="shared" si="54"/>
        <v>48195.336938420325</v>
      </c>
      <c r="AA108" s="78">
        <f t="shared" si="54"/>
        <v>41717.861261876074</v>
      </c>
      <c r="AB108" s="78">
        <f t="shared" si="54"/>
        <v>36111.251653518229</v>
      </c>
      <c r="AC108" s="78">
        <f t="shared" si="54"/>
        <v>31258.375315980735</v>
      </c>
      <c r="AD108" s="78">
        <f t="shared" si="54"/>
        <v>27057.862243212181</v>
      </c>
      <c r="AE108" s="78">
        <f t="shared" si="54"/>
        <v>23421.982599757961</v>
      </c>
      <c r="AF108" s="78">
        <f t="shared" si="54"/>
        <v>20274.810166831634</v>
      </c>
      <c r="AG108" s="78">
        <f t="shared" si="55"/>
        <v>17550.63326236697</v>
      </c>
      <c r="AH108" s="78">
        <f t="shared" si="55"/>
        <v>15192.579755365698</v>
      </c>
      <c r="AI108" s="78">
        <f t="shared" si="55"/>
        <v>17671.919754203616</v>
      </c>
      <c r="AJ108" s="169">
        <f t="shared" si="37"/>
        <v>964702.80083194852</v>
      </c>
      <c r="AK108" t="str">
        <f t="shared" si="38"/>
        <v>Rx</v>
      </c>
      <c r="AM108">
        <v>964702.80083194852</v>
      </c>
    </row>
    <row r="109" spans="12:39" ht="15" thickBot="1" x14ac:dyDescent="0.35">
      <c r="L109" s="413">
        <f>L100</f>
        <v>0.2</v>
      </c>
      <c r="M109" s="416" t="str">
        <f t="shared" si="57"/>
        <v>Rx</v>
      </c>
      <c r="N109" s="414" t="str">
        <f t="shared" si="35"/>
        <v>Rx(20%)</v>
      </c>
      <c r="O109" s="158">
        <f t="shared" si="40"/>
        <v>-480000</v>
      </c>
      <c r="P109" s="158">
        <f t="shared" si="53"/>
        <v>208900.53227742887</v>
      </c>
      <c r="Q109" s="158">
        <f t="shared" si="54"/>
        <v>175643.75168194005</v>
      </c>
      <c r="R109" s="158">
        <f t="shared" si="54"/>
        <v>152023.33944095692</v>
      </c>
      <c r="S109" s="158">
        <f t="shared" si="54"/>
        <v>131580.90921831242</v>
      </c>
      <c r="T109" s="158">
        <f t="shared" si="54"/>
        <v>113888.6250323714</v>
      </c>
      <c r="U109" s="158">
        <f t="shared" si="54"/>
        <v>98576.291792179283</v>
      </c>
      <c r="V109" s="158">
        <f t="shared" si="54"/>
        <v>85323.582220522352</v>
      </c>
      <c r="W109" s="158">
        <f t="shared" si="54"/>
        <v>73853.313234400499</v>
      </c>
      <c r="X109" s="158">
        <f t="shared" si="54"/>
        <v>63925.62988690308</v>
      </c>
      <c r="Y109" s="158">
        <f t="shared" si="54"/>
        <v>55332.974194808594</v>
      </c>
      <c r="Z109" s="158">
        <f t="shared" si="54"/>
        <v>47895.732787273861</v>
      </c>
      <c r="AA109" s="158">
        <f t="shared" si="54"/>
        <v>41458.47166793928</v>
      </c>
      <c r="AB109" s="158">
        <f t="shared" si="54"/>
        <v>35886.678792343802</v>
      </c>
      <c r="AC109" s="158">
        <f t="shared" si="54"/>
        <v>31063.945889531366</v>
      </c>
      <c r="AD109" s="158">
        <f t="shared" si="54"/>
        <v>26889.530229843615</v>
      </c>
      <c r="AE109" s="158">
        <f t="shared" si="54"/>
        <v>23276.245057647306</v>
      </c>
      <c r="AF109" s="158">
        <f t="shared" si="54"/>
        <v>20148.634338743897</v>
      </c>
      <c r="AG109" s="158">
        <f t="shared" si="55"/>
        <v>17441.393464830529</v>
      </c>
      <c r="AH109" s="158">
        <f t="shared" si="55"/>
        <v>15098.002738938238</v>
      </c>
      <c r="AI109" s="158">
        <f t="shared" si="55"/>
        <v>17590.037397791009</v>
      </c>
      <c r="AJ109" s="170">
        <f t="shared" si="37"/>
        <v>955797.62134470639</v>
      </c>
      <c r="AK109" t="str">
        <f t="shared" si="38"/>
        <v>Rx</v>
      </c>
      <c r="AM109">
        <v>955797.62134470639</v>
      </c>
    </row>
    <row r="110" spans="12:39" x14ac:dyDescent="0.3">
      <c r="L110" s="410">
        <f>L101</f>
        <v>-0.2</v>
      </c>
      <c r="M110" s="370" t="str">
        <f>C30</f>
        <v>Sx</v>
      </c>
      <c r="N110" s="411" t="str">
        <f t="shared" si="35"/>
        <v>Sx(-20%)</v>
      </c>
      <c r="O110" s="129">
        <f t="shared" si="40"/>
        <v>-480000</v>
      </c>
      <c r="P110" s="129">
        <f t="shared" ref="P110:AH118" si="58">SUM(P$59:P$65,P$67,P$66*(1+$L110))*P$69</f>
        <v>213965.31231710338</v>
      </c>
      <c r="Q110" s="129">
        <f t="shared" si="58"/>
        <v>180028.70840848453</v>
      </c>
      <c r="R110" s="129">
        <f t="shared" si="58"/>
        <v>155819.72256974987</v>
      </c>
      <c r="S110" s="129">
        <f t="shared" si="58"/>
        <v>134867.72041381113</v>
      </c>
      <c r="T110" s="129">
        <f t="shared" si="58"/>
        <v>116734.26191051511</v>
      </c>
      <c r="U110" s="129">
        <f t="shared" si="58"/>
        <v>101039.97125552695</v>
      </c>
      <c r="V110" s="129">
        <f t="shared" si="58"/>
        <v>87456.57274532906</v>
      </c>
      <c r="W110" s="129">
        <f t="shared" si="58"/>
        <v>75700.001753179269</v>
      </c>
      <c r="X110" s="129">
        <f t="shared" si="58"/>
        <v>65524.445467998252</v>
      </c>
      <c r="Y110" s="129">
        <f t="shared" si="58"/>
        <v>56717.187740492598</v>
      </c>
      <c r="Z110" s="129">
        <f t="shared" si="58"/>
        <v>49094.149391859733</v>
      </c>
      <c r="AA110" s="129">
        <f t="shared" si="58"/>
        <v>42496.030043686464</v>
      </c>
      <c r="AB110" s="129">
        <f t="shared" si="58"/>
        <v>36784.970237041489</v>
      </c>
      <c r="AC110" s="129">
        <f t="shared" si="58"/>
        <v>31841.663595328831</v>
      </c>
      <c r="AD110" s="129">
        <f t="shared" si="58"/>
        <v>27562.858283317881</v>
      </c>
      <c r="AE110" s="129">
        <f t="shared" si="58"/>
        <v>23859.195226089927</v>
      </c>
      <c r="AF110" s="129">
        <f t="shared" si="58"/>
        <v>20653.337651094847</v>
      </c>
      <c r="AG110" s="129">
        <f t="shared" si="58"/>
        <v>17878.35265497629</v>
      </c>
      <c r="AH110" s="129">
        <f t="shared" si="58"/>
        <v>15476.310804648079</v>
      </c>
      <c r="AI110" s="129">
        <f>SUM(AI$59:AI$65,AI$67,AI$66*(1+$L110))*AI$69</f>
        <v>17469.663335372468</v>
      </c>
      <c r="AJ110" s="168">
        <f t="shared" si="37"/>
        <v>990970.43580560631</v>
      </c>
      <c r="AK110" t="str">
        <f t="shared" si="38"/>
        <v>Sx</v>
      </c>
      <c r="AM110">
        <v>990970.43580560631</v>
      </c>
    </row>
    <row r="111" spans="12:39" x14ac:dyDescent="0.3">
      <c r="L111" s="412">
        <f t="shared" ref="L111:L118" si="59">L102</f>
        <v>-0.15000000000000002</v>
      </c>
      <c r="M111" s="371" t="str">
        <f>$M$110</f>
        <v>Sx</v>
      </c>
      <c r="N111" s="115" t="str">
        <f t="shared" si="35"/>
        <v>Sx(-15%)</v>
      </c>
      <c r="O111" s="78">
        <f t="shared" si="40"/>
        <v>-480000</v>
      </c>
      <c r="P111" s="78">
        <f t="shared" si="58"/>
        <v>213965.31231710338</v>
      </c>
      <c r="Q111" s="78">
        <f t="shared" si="58"/>
        <v>180028.70840848453</v>
      </c>
      <c r="R111" s="78">
        <f t="shared" si="58"/>
        <v>155819.72256974987</v>
      </c>
      <c r="S111" s="78">
        <f t="shared" si="58"/>
        <v>134867.72041381113</v>
      </c>
      <c r="T111" s="78">
        <f t="shared" si="58"/>
        <v>116734.26191051511</v>
      </c>
      <c r="U111" s="78">
        <f t="shared" si="58"/>
        <v>101039.97125552695</v>
      </c>
      <c r="V111" s="78">
        <f t="shared" si="58"/>
        <v>87456.57274532906</v>
      </c>
      <c r="W111" s="78">
        <f t="shared" si="58"/>
        <v>75700.001753179269</v>
      </c>
      <c r="X111" s="78">
        <f t="shared" si="58"/>
        <v>65524.445467998252</v>
      </c>
      <c r="Y111" s="78">
        <f t="shared" si="58"/>
        <v>56717.187740492598</v>
      </c>
      <c r="Z111" s="78">
        <f t="shared" si="58"/>
        <v>49094.149391859733</v>
      </c>
      <c r="AA111" s="78">
        <f t="shared" si="58"/>
        <v>42496.030043686464</v>
      </c>
      <c r="AB111" s="78">
        <f t="shared" si="58"/>
        <v>36784.970237041489</v>
      </c>
      <c r="AC111" s="78">
        <f t="shared" si="58"/>
        <v>31841.663595328831</v>
      </c>
      <c r="AD111" s="78">
        <f t="shared" si="58"/>
        <v>27562.858283317881</v>
      </c>
      <c r="AE111" s="78">
        <f t="shared" si="58"/>
        <v>23859.195226089927</v>
      </c>
      <c r="AF111" s="78">
        <f t="shared" si="58"/>
        <v>20653.337651094847</v>
      </c>
      <c r="AG111" s="78">
        <f t="shared" si="58"/>
        <v>17878.35265497629</v>
      </c>
      <c r="AH111" s="78">
        <f t="shared" si="58"/>
        <v>15476.310804648079</v>
      </c>
      <c r="AI111" s="78">
        <f t="shared" ref="AI111:AI118" si="60">SUM(AI$59:AI$65,AI$67,AI$66*(1+$L111))*AI$69</f>
        <v>17581.639207389715</v>
      </c>
      <c r="AJ111" s="169">
        <f t="shared" si="37"/>
        <v>991082.41167762352</v>
      </c>
      <c r="AK111" t="str">
        <f t="shared" si="38"/>
        <v>Sx</v>
      </c>
      <c r="AM111">
        <v>991082.41167762352</v>
      </c>
    </row>
    <row r="112" spans="12:39" x14ac:dyDescent="0.3">
      <c r="L112" s="412">
        <f t="shared" si="59"/>
        <v>-0.1</v>
      </c>
      <c r="M112" s="371" t="str">
        <f t="shared" ref="M112:M118" si="61">$M$110</f>
        <v>Sx</v>
      </c>
      <c r="N112" s="115" t="str">
        <f t="shared" si="35"/>
        <v>Sx(-10%)</v>
      </c>
      <c r="O112" s="78">
        <f t="shared" si="40"/>
        <v>-480000</v>
      </c>
      <c r="P112" s="78">
        <f t="shared" si="58"/>
        <v>213965.31231710338</v>
      </c>
      <c r="Q112" s="78">
        <f t="shared" si="58"/>
        <v>180028.70840848453</v>
      </c>
      <c r="R112" s="78">
        <f t="shared" si="58"/>
        <v>155819.72256974987</v>
      </c>
      <c r="S112" s="78">
        <f t="shared" si="58"/>
        <v>134867.72041381113</v>
      </c>
      <c r="T112" s="78">
        <f t="shared" si="58"/>
        <v>116734.26191051511</v>
      </c>
      <c r="U112" s="78">
        <f t="shared" si="58"/>
        <v>101039.97125552695</v>
      </c>
      <c r="V112" s="78">
        <f t="shared" si="58"/>
        <v>87456.57274532906</v>
      </c>
      <c r="W112" s="78">
        <f t="shared" si="58"/>
        <v>75700.001753179269</v>
      </c>
      <c r="X112" s="78">
        <f t="shared" si="58"/>
        <v>65524.445467998252</v>
      </c>
      <c r="Y112" s="78">
        <f t="shared" si="58"/>
        <v>56717.187740492598</v>
      </c>
      <c r="Z112" s="78">
        <f t="shared" si="58"/>
        <v>49094.149391859733</v>
      </c>
      <c r="AA112" s="78">
        <f t="shared" si="58"/>
        <v>42496.030043686464</v>
      </c>
      <c r="AB112" s="78">
        <f t="shared" si="58"/>
        <v>36784.970237041489</v>
      </c>
      <c r="AC112" s="78">
        <f t="shared" si="58"/>
        <v>31841.663595328831</v>
      </c>
      <c r="AD112" s="78">
        <f t="shared" si="58"/>
        <v>27562.858283317881</v>
      </c>
      <c r="AE112" s="78">
        <f t="shared" si="58"/>
        <v>23859.195226089927</v>
      </c>
      <c r="AF112" s="78">
        <f t="shared" si="58"/>
        <v>20653.337651094847</v>
      </c>
      <c r="AG112" s="78">
        <f t="shared" si="58"/>
        <v>17878.35265497629</v>
      </c>
      <c r="AH112" s="78">
        <f t="shared" si="58"/>
        <v>15476.310804648079</v>
      </c>
      <c r="AI112" s="78">
        <f t="shared" si="60"/>
        <v>17693.615079406958</v>
      </c>
      <c r="AJ112" s="169">
        <f t="shared" si="37"/>
        <v>991194.38754964084</v>
      </c>
      <c r="AK112" t="str">
        <f t="shared" si="38"/>
        <v>Sx</v>
      </c>
      <c r="AM112">
        <v>991194.38754964084</v>
      </c>
    </row>
    <row r="113" spans="12:39" x14ac:dyDescent="0.3">
      <c r="L113" s="412">
        <f t="shared" si="59"/>
        <v>-0.05</v>
      </c>
      <c r="M113" s="371" t="str">
        <f t="shared" si="61"/>
        <v>Sx</v>
      </c>
      <c r="N113" s="115" t="str">
        <f t="shared" si="35"/>
        <v>Sx(-5%)</v>
      </c>
      <c r="O113" s="78">
        <f t="shared" si="40"/>
        <v>-480000</v>
      </c>
      <c r="P113" s="78">
        <f t="shared" si="58"/>
        <v>213965.31231710338</v>
      </c>
      <c r="Q113" s="78">
        <f t="shared" si="58"/>
        <v>180028.70840848453</v>
      </c>
      <c r="R113" s="78">
        <f t="shared" si="58"/>
        <v>155819.72256974987</v>
      </c>
      <c r="S113" s="78">
        <f t="shared" si="58"/>
        <v>134867.72041381113</v>
      </c>
      <c r="T113" s="78">
        <f t="shared" si="58"/>
        <v>116734.26191051511</v>
      </c>
      <c r="U113" s="78">
        <f t="shared" si="58"/>
        <v>101039.97125552695</v>
      </c>
      <c r="V113" s="78">
        <f t="shared" si="58"/>
        <v>87456.57274532906</v>
      </c>
      <c r="W113" s="78">
        <f t="shared" si="58"/>
        <v>75700.001753179269</v>
      </c>
      <c r="X113" s="78">
        <f t="shared" si="58"/>
        <v>65524.445467998252</v>
      </c>
      <c r="Y113" s="78">
        <f t="shared" si="58"/>
        <v>56717.187740492598</v>
      </c>
      <c r="Z113" s="78">
        <f t="shared" si="58"/>
        <v>49094.149391859733</v>
      </c>
      <c r="AA113" s="78">
        <f t="shared" si="58"/>
        <v>42496.030043686464</v>
      </c>
      <c r="AB113" s="78">
        <f t="shared" si="58"/>
        <v>36784.970237041489</v>
      </c>
      <c r="AC113" s="78">
        <f t="shared" si="58"/>
        <v>31841.663595328831</v>
      </c>
      <c r="AD113" s="78">
        <f t="shared" si="58"/>
        <v>27562.858283317881</v>
      </c>
      <c r="AE113" s="78">
        <f t="shared" si="58"/>
        <v>23859.195226089927</v>
      </c>
      <c r="AF113" s="78">
        <f t="shared" si="58"/>
        <v>20653.337651094847</v>
      </c>
      <c r="AG113" s="78">
        <f t="shared" si="58"/>
        <v>17878.35265497629</v>
      </c>
      <c r="AH113" s="78">
        <f t="shared" si="58"/>
        <v>15476.310804648079</v>
      </c>
      <c r="AI113" s="78">
        <f t="shared" si="60"/>
        <v>17805.590951424205</v>
      </c>
      <c r="AJ113" s="169">
        <f t="shared" si="37"/>
        <v>991306.36342165805</v>
      </c>
      <c r="AK113" t="str">
        <f t="shared" si="38"/>
        <v>Sx</v>
      </c>
      <c r="AM113">
        <v>991306.36342165805</v>
      </c>
    </row>
    <row r="114" spans="12:39" x14ac:dyDescent="0.3">
      <c r="L114" s="412">
        <f t="shared" si="59"/>
        <v>0</v>
      </c>
      <c r="M114" s="371" t="str">
        <f t="shared" si="61"/>
        <v>Sx</v>
      </c>
      <c r="N114" s="115" t="str">
        <f t="shared" si="35"/>
        <v>Sx(0%)</v>
      </c>
      <c r="O114" s="78">
        <f t="shared" si="40"/>
        <v>-480000</v>
      </c>
      <c r="P114" s="78">
        <f t="shared" si="58"/>
        <v>213965.31231710338</v>
      </c>
      <c r="Q114" s="78">
        <f t="shared" si="58"/>
        <v>180028.70840848453</v>
      </c>
      <c r="R114" s="78">
        <f t="shared" si="58"/>
        <v>155819.72256974987</v>
      </c>
      <c r="S114" s="78">
        <f t="shared" si="58"/>
        <v>134867.72041381113</v>
      </c>
      <c r="T114" s="78">
        <f t="shared" si="58"/>
        <v>116734.26191051511</v>
      </c>
      <c r="U114" s="78">
        <f t="shared" si="58"/>
        <v>101039.97125552695</v>
      </c>
      <c r="V114" s="78">
        <f t="shared" si="58"/>
        <v>87456.57274532906</v>
      </c>
      <c r="W114" s="78">
        <f t="shared" si="58"/>
        <v>75700.001753179269</v>
      </c>
      <c r="X114" s="78">
        <f t="shared" si="58"/>
        <v>65524.445467998252</v>
      </c>
      <c r="Y114" s="78">
        <f t="shared" si="58"/>
        <v>56717.187740492598</v>
      </c>
      <c r="Z114" s="78">
        <f t="shared" si="58"/>
        <v>49094.149391859733</v>
      </c>
      <c r="AA114" s="78">
        <f t="shared" si="58"/>
        <v>42496.030043686464</v>
      </c>
      <c r="AB114" s="78">
        <f t="shared" si="58"/>
        <v>36784.970237041489</v>
      </c>
      <c r="AC114" s="78">
        <f t="shared" si="58"/>
        <v>31841.663595328831</v>
      </c>
      <c r="AD114" s="78">
        <f t="shared" si="58"/>
        <v>27562.858283317881</v>
      </c>
      <c r="AE114" s="78">
        <f t="shared" si="58"/>
        <v>23859.195226089927</v>
      </c>
      <c r="AF114" s="78">
        <f t="shared" si="58"/>
        <v>20653.337651094847</v>
      </c>
      <c r="AG114" s="78">
        <f t="shared" si="58"/>
        <v>17878.35265497629</v>
      </c>
      <c r="AH114" s="78">
        <f t="shared" si="58"/>
        <v>15476.310804648079</v>
      </c>
      <c r="AI114" s="78">
        <f t="shared" si="60"/>
        <v>17917.566823441448</v>
      </c>
      <c r="AJ114" s="169">
        <f t="shared" si="37"/>
        <v>991418.33929367526</v>
      </c>
      <c r="AK114" t="str">
        <f t="shared" si="38"/>
        <v>Sx</v>
      </c>
      <c r="AM114">
        <v>991418.33929367526</v>
      </c>
    </row>
    <row r="115" spans="12:39" x14ac:dyDescent="0.3">
      <c r="L115" s="412">
        <f>L106</f>
        <v>0.05</v>
      </c>
      <c r="M115" s="371" t="str">
        <f t="shared" si="61"/>
        <v>Sx</v>
      </c>
      <c r="N115" s="115" t="str">
        <f t="shared" si="35"/>
        <v>Sx(5%)</v>
      </c>
      <c r="O115" s="78">
        <f t="shared" si="40"/>
        <v>-480000</v>
      </c>
      <c r="P115" s="78">
        <f t="shared" si="58"/>
        <v>213965.31231710338</v>
      </c>
      <c r="Q115" s="78">
        <f t="shared" si="58"/>
        <v>180028.70840848453</v>
      </c>
      <c r="R115" s="78">
        <f t="shared" si="58"/>
        <v>155819.72256974987</v>
      </c>
      <c r="S115" s="78">
        <f t="shared" si="58"/>
        <v>134867.72041381113</v>
      </c>
      <c r="T115" s="78">
        <f t="shared" si="58"/>
        <v>116734.26191051511</v>
      </c>
      <c r="U115" s="78">
        <f t="shared" si="58"/>
        <v>101039.97125552695</v>
      </c>
      <c r="V115" s="78">
        <f t="shared" si="58"/>
        <v>87456.57274532906</v>
      </c>
      <c r="W115" s="78">
        <f t="shared" si="58"/>
        <v>75700.001753179269</v>
      </c>
      <c r="X115" s="78">
        <f t="shared" si="58"/>
        <v>65524.445467998252</v>
      </c>
      <c r="Y115" s="78">
        <f t="shared" si="58"/>
        <v>56717.187740492598</v>
      </c>
      <c r="Z115" s="78">
        <f t="shared" si="58"/>
        <v>49094.149391859733</v>
      </c>
      <c r="AA115" s="78">
        <f t="shared" si="58"/>
        <v>42496.030043686464</v>
      </c>
      <c r="AB115" s="78">
        <f t="shared" si="58"/>
        <v>36784.970237041489</v>
      </c>
      <c r="AC115" s="78">
        <f t="shared" si="58"/>
        <v>31841.663595328831</v>
      </c>
      <c r="AD115" s="78">
        <f t="shared" si="58"/>
        <v>27562.858283317881</v>
      </c>
      <c r="AE115" s="78">
        <f t="shared" si="58"/>
        <v>23859.195226089927</v>
      </c>
      <c r="AF115" s="78">
        <f t="shared" si="58"/>
        <v>20653.337651094847</v>
      </c>
      <c r="AG115" s="78">
        <f t="shared" si="58"/>
        <v>17878.35265497629</v>
      </c>
      <c r="AH115" s="78">
        <f t="shared" si="58"/>
        <v>15476.310804648079</v>
      </c>
      <c r="AI115" s="78">
        <f t="shared" si="60"/>
        <v>18029.542695458695</v>
      </c>
      <c r="AJ115" s="169">
        <f t="shared" si="37"/>
        <v>991530.31516569259</v>
      </c>
      <c r="AK115" t="str">
        <f t="shared" si="38"/>
        <v>Sx</v>
      </c>
      <c r="AM115">
        <v>991530.31516569259</v>
      </c>
    </row>
    <row r="116" spans="12:39" x14ac:dyDescent="0.3">
      <c r="L116" s="412">
        <f t="shared" si="59"/>
        <v>0.1</v>
      </c>
      <c r="M116" s="371" t="str">
        <f t="shared" si="61"/>
        <v>Sx</v>
      </c>
      <c r="N116" s="115" t="str">
        <f t="shared" si="35"/>
        <v>Sx(10%)</v>
      </c>
      <c r="O116" s="78">
        <f t="shared" si="40"/>
        <v>-480000</v>
      </c>
      <c r="P116" s="78">
        <f t="shared" si="58"/>
        <v>213965.31231710338</v>
      </c>
      <c r="Q116" s="78">
        <f t="shared" si="58"/>
        <v>180028.70840848453</v>
      </c>
      <c r="R116" s="78">
        <f t="shared" si="58"/>
        <v>155819.72256974987</v>
      </c>
      <c r="S116" s="78">
        <f t="shared" si="58"/>
        <v>134867.72041381113</v>
      </c>
      <c r="T116" s="78">
        <f t="shared" si="58"/>
        <v>116734.26191051511</v>
      </c>
      <c r="U116" s="78">
        <f t="shared" si="58"/>
        <v>101039.97125552695</v>
      </c>
      <c r="V116" s="78">
        <f t="shared" si="58"/>
        <v>87456.57274532906</v>
      </c>
      <c r="W116" s="78">
        <f t="shared" si="58"/>
        <v>75700.001753179269</v>
      </c>
      <c r="X116" s="78">
        <f t="shared" si="58"/>
        <v>65524.445467998252</v>
      </c>
      <c r="Y116" s="78">
        <f t="shared" si="58"/>
        <v>56717.187740492598</v>
      </c>
      <c r="Z116" s="78">
        <f t="shared" si="58"/>
        <v>49094.149391859733</v>
      </c>
      <c r="AA116" s="78">
        <f t="shared" si="58"/>
        <v>42496.030043686464</v>
      </c>
      <c r="AB116" s="78">
        <f t="shared" si="58"/>
        <v>36784.970237041489</v>
      </c>
      <c r="AC116" s="78">
        <f t="shared" si="58"/>
        <v>31841.663595328831</v>
      </c>
      <c r="AD116" s="78">
        <f t="shared" si="58"/>
        <v>27562.858283317881</v>
      </c>
      <c r="AE116" s="78">
        <f t="shared" si="58"/>
        <v>23859.195226089927</v>
      </c>
      <c r="AF116" s="78">
        <f t="shared" si="58"/>
        <v>20653.337651094847</v>
      </c>
      <c r="AG116" s="78">
        <f t="shared" si="58"/>
        <v>17878.35265497629</v>
      </c>
      <c r="AH116" s="78">
        <f t="shared" si="58"/>
        <v>15476.310804648079</v>
      </c>
      <c r="AI116" s="78">
        <f t="shared" si="60"/>
        <v>18141.518567475938</v>
      </c>
      <c r="AJ116" s="169">
        <f t="shared" si="37"/>
        <v>991642.2910377098</v>
      </c>
      <c r="AK116" t="str">
        <f t="shared" si="38"/>
        <v>Sx</v>
      </c>
      <c r="AM116">
        <v>991642.2910377098</v>
      </c>
    </row>
    <row r="117" spans="12:39" x14ac:dyDescent="0.3">
      <c r="L117" s="412">
        <f>L108</f>
        <v>0.15000000000000002</v>
      </c>
      <c r="M117" s="371" t="str">
        <f t="shared" si="61"/>
        <v>Sx</v>
      </c>
      <c r="N117" s="115" t="str">
        <f t="shared" si="35"/>
        <v>Sx(15%)</v>
      </c>
      <c r="O117" s="78">
        <f t="shared" si="40"/>
        <v>-480000</v>
      </c>
      <c r="P117" s="78">
        <f t="shared" si="58"/>
        <v>213965.31231710338</v>
      </c>
      <c r="Q117" s="78">
        <f t="shared" si="58"/>
        <v>180028.70840848453</v>
      </c>
      <c r="R117" s="78">
        <f t="shared" si="58"/>
        <v>155819.72256974987</v>
      </c>
      <c r="S117" s="78">
        <f t="shared" si="58"/>
        <v>134867.72041381113</v>
      </c>
      <c r="T117" s="78">
        <f t="shared" si="58"/>
        <v>116734.26191051511</v>
      </c>
      <c r="U117" s="78">
        <f t="shared" si="58"/>
        <v>101039.97125552695</v>
      </c>
      <c r="V117" s="78">
        <f t="shared" si="58"/>
        <v>87456.57274532906</v>
      </c>
      <c r="W117" s="78">
        <f t="shared" si="58"/>
        <v>75700.001753179269</v>
      </c>
      <c r="X117" s="78">
        <f t="shared" si="58"/>
        <v>65524.445467998252</v>
      </c>
      <c r="Y117" s="78">
        <f t="shared" si="58"/>
        <v>56717.187740492598</v>
      </c>
      <c r="Z117" s="78">
        <f t="shared" si="58"/>
        <v>49094.149391859733</v>
      </c>
      <c r="AA117" s="78">
        <f t="shared" si="58"/>
        <v>42496.030043686464</v>
      </c>
      <c r="AB117" s="78">
        <f t="shared" si="58"/>
        <v>36784.970237041489</v>
      </c>
      <c r="AC117" s="78">
        <f t="shared" si="58"/>
        <v>31841.663595328831</v>
      </c>
      <c r="AD117" s="78">
        <f t="shared" si="58"/>
        <v>27562.858283317881</v>
      </c>
      <c r="AE117" s="78">
        <f t="shared" si="58"/>
        <v>23859.195226089927</v>
      </c>
      <c r="AF117" s="78">
        <f t="shared" si="58"/>
        <v>20653.337651094847</v>
      </c>
      <c r="AG117" s="78">
        <f t="shared" si="58"/>
        <v>17878.35265497629</v>
      </c>
      <c r="AH117" s="78">
        <f t="shared" si="58"/>
        <v>15476.310804648079</v>
      </c>
      <c r="AI117" s="78">
        <f t="shared" si="60"/>
        <v>18253.494439493184</v>
      </c>
      <c r="AJ117" s="169">
        <f t="shared" si="37"/>
        <v>991754.26690972701</v>
      </c>
      <c r="AK117" t="str">
        <f t="shared" si="38"/>
        <v>Sx</v>
      </c>
      <c r="AM117">
        <v>991754.26690972701</v>
      </c>
    </row>
    <row r="118" spans="12:39" ht="15" thickBot="1" x14ac:dyDescent="0.35">
      <c r="L118" s="413">
        <f t="shared" si="59"/>
        <v>0.2</v>
      </c>
      <c r="M118" s="416" t="str">
        <f t="shared" si="61"/>
        <v>Sx</v>
      </c>
      <c r="N118" s="414" t="str">
        <f t="shared" si="35"/>
        <v>Sx(20%)</v>
      </c>
      <c r="O118" s="158">
        <f t="shared" si="40"/>
        <v>-480000</v>
      </c>
      <c r="P118" s="158">
        <f t="shared" si="58"/>
        <v>213965.31231710338</v>
      </c>
      <c r="Q118" s="158">
        <f t="shared" si="58"/>
        <v>180028.70840848453</v>
      </c>
      <c r="R118" s="158">
        <f t="shared" si="58"/>
        <v>155819.72256974987</v>
      </c>
      <c r="S118" s="158">
        <f t="shared" si="58"/>
        <v>134867.72041381113</v>
      </c>
      <c r="T118" s="158">
        <f t="shared" si="58"/>
        <v>116734.26191051511</v>
      </c>
      <c r="U118" s="158">
        <f t="shared" si="58"/>
        <v>101039.97125552695</v>
      </c>
      <c r="V118" s="158">
        <f t="shared" si="58"/>
        <v>87456.57274532906</v>
      </c>
      <c r="W118" s="158">
        <f t="shared" si="58"/>
        <v>75700.001753179269</v>
      </c>
      <c r="X118" s="158">
        <f t="shared" si="58"/>
        <v>65524.445467998252</v>
      </c>
      <c r="Y118" s="158">
        <f t="shared" si="58"/>
        <v>56717.187740492598</v>
      </c>
      <c r="Z118" s="158">
        <f t="shared" si="58"/>
        <v>49094.149391859733</v>
      </c>
      <c r="AA118" s="158">
        <f t="shared" si="58"/>
        <v>42496.030043686464</v>
      </c>
      <c r="AB118" s="158">
        <f t="shared" si="58"/>
        <v>36784.970237041489</v>
      </c>
      <c r="AC118" s="158">
        <f t="shared" si="58"/>
        <v>31841.663595328831</v>
      </c>
      <c r="AD118" s="158">
        <f t="shared" si="58"/>
        <v>27562.858283317881</v>
      </c>
      <c r="AE118" s="158">
        <f t="shared" si="58"/>
        <v>23859.195226089927</v>
      </c>
      <c r="AF118" s="158">
        <f t="shared" si="58"/>
        <v>20653.337651094847</v>
      </c>
      <c r="AG118" s="158">
        <f t="shared" si="58"/>
        <v>17878.35265497629</v>
      </c>
      <c r="AH118" s="158">
        <f t="shared" si="58"/>
        <v>15476.310804648079</v>
      </c>
      <c r="AI118" s="158">
        <f t="shared" si="60"/>
        <v>18365.470311510428</v>
      </c>
      <c r="AJ118" s="170">
        <f t="shared" si="37"/>
        <v>991866.24278174422</v>
      </c>
      <c r="AK118" t="str">
        <f t="shared" si="38"/>
        <v>Sx</v>
      </c>
      <c r="AM118">
        <v>991866.24278174422</v>
      </c>
    </row>
    <row r="119" spans="12:39" x14ac:dyDescent="0.3">
      <c r="L119" s="418">
        <f t="shared" ref="L119:L127" si="62">L110</f>
        <v>-0.2</v>
      </c>
      <c r="M119" s="183" t="s">
        <v>290</v>
      </c>
      <c r="N119" s="255" t="str">
        <f t="shared" si="35"/>
        <v>Cx(-20%)</v>
      </c>
      <c r="O119" s="129">
        <f>O110</f>
        <v>-480000</v>
      </c>
      <c r="P119" s="129">
        <f t="shared" ref="P119:Y127" si="63">(SUM(P$40,P$41:P$47,P$49:P$52,-P$39*Cx*(1+$L119))+-0.35*SUM(P$40,P$41:P$47,P$49:P$52,-P$39*Cx*(1+$L119))+SUM(P$60:P$67))*P$69</f>
        <v>218017.13634884296</v>
      </c>
      <c r="Q119" s="129">
        <f t="shared" si="63"/>
        <v>183536.67378972011</v>
      </c>
      <c r="R119" s="129">
        <f t="shared" si="63"/>
        <v>158856.82907278422</v>
      </c>
      <c r="S119" s="129">
        <f t="shared" si="63"/>
        <v>137497.16937021012</v>
      </c>
      <c r="T119" s="129">
        <f t="shared" si="63"/>
        <v>119010.77141303007</v>
      </c>
      <c r="U119" s="129">
        <f t="shared" si="63"/>
        <v>103010.91482620509</v>
      </c>
      <c r="V119" s="129">
        <f t="shared" si="63"/>
        <v>89162.965165174421</v>
      </c>
      <c r="W119" s="129">
        <f t="shared" si="63"/>
        <v>77177.352568202288</v>
      </c>
      <c r="X119" s="129">
        <f t="shared" si="63"/>
        <v>66803.497932874394</v>
      </c>
      <c r="Y119" s="129">
        <f t="shared" si="63"/>
        <v>57824.558577039803</v>
      </c>
      <c r="Z119" s="129">
        <f t="shared" ref="Z119:AI127" si="64">(SUM(Z$40,Z$41:Z$47,Z$49:Z$52,-Z$39*Cx*(1+$L119))+-0.35*SUM(Z$40,Z$41:Z$47,Z$49:Z$52,-Z$39*Cx*(1+$L119))+SUM(Z$60:Z$67))*Z$69</f>
        <v>50052.882675528439</v>
      </c>
      <c r="AA119" s="129">
        <f t="shared" si="64"/>
        <v>43326.076744284219</v>
      </c>
      <c r="AB119" s="129">
        <f t="shared" si="64"/>
        <v>37503.603392799632</v>
      </c>
      <c r="AC119" s="129">
        <f t="shared" si="64"/>
        <v>32463.837759966806</v>
      </c>
      <c r="AD119" s="129">
        <f t="shared" si="64"/>
        <v>28101.520726097293</v>
      </c>
      <c r="AE119" s="129">
        <f t="shared" si="64"/>
        <v>24325.555360844024</v>
      </c>
      <c r="AF119" s="129">
        <f t="shared" si="64"/>
        <v>21057.10030097561</v>
      </c>
      <c r="AG119" s="129">
        <f t="shared" si="64"/>
        <v>18227.9200070929</v>
      </c>
      <c r="AH119" s="129">
        <f t="shared" si="64"/>
        <v>15778.957257215954</v>
      </c>
      <c r="AI119" s="129">
        <f t="shared" si="64"/>
        <v>18179.590363961801</v>
      </c>
      <c r="AJ119" s="168">
        <f>SUM(O119:AI119)</f>
        <v>1019914.9136528502</v>
      </c>
      <c r="AK119" t="str">
        <f t="shared" si="38"/>
        <v>Cx</v>
      </c>
      <c r="AM119">
        <v>1019914.9136528502</v>
      </c>
    </row>
    <row r="120" spans="12:39" x14ac:dyDescent="0.3">
      <c r="L120" s="419">
        <f t="shared" si="62"/>
        <v>-0.15000000000000002</v>
      </c>
      <c r="M120" s="184" t="s">
        <v>290</v>
      </c>
      <c r="N120" s="257" t="str">
        <f t="shared" si="35"/>
        <v>Cx(-15%)</v>
      </c>
      <c r="O120" s="78">
        <f>O111</f>
        <v>-480000</v>
      </c>
      <c r="P120" s="78">
        <f t="shared" si="63"/>
        <v>217004.18034090806</v>
      </c>
      <c r="Q120" s="78">
        <f t="shared" si="63"/>
        <v>182659.68244441121</v>
      </c>
      <c r="R120" s="78">
        <f t="shared" si="63"/>
        <v>158097.55244702564</v>
      </c>
      <c r="S120" s="78">
        <f t="shared" si="63"/>
        <v>136839.80713111037</v>
      </c>
      <c r="T120" s="78">
        <f t="shared" si="63"/>
        <v>118441.64403740133</v>
      </c>
      <c r="U120" s="78">
        <f t="shared" si="63"/>
        <v>102518.17893353556</v>
      </c>
      <c r="V120" s="78">
        <f t="shared" si="63"/>
        <v>88736.367060213088</v>
      </c>
      <c r="W120" s="78">
        <f t="shared" si="63"/>
        <v>76808.014864446537</v>
      </c>
      <c r="X120" s="78">
        <f t="shared" si="63"/>
        <v>66483.734816655357</v>
      </c>
      <c r="Y120" s="78">
        <f t="shared" si="63"/>
        <v>57547.715867903004</v>
      </c>
      <c r="Z120" s="78">
        <f t="shared" si="64"/>
        <v>49813.199354611264</v>
      </c>
      <c r="AA120" s="78">
        <f t="shared" si="64"/>
        <v>43118.565069134776</v>
      </c>
      <c r="AB120" s="78">
        <f t="shared" si="64"/>
        <v>37323.945103860096</v>
      </c>
      <c r="AC120" s="78">
        <f t="shared" si="64"/>
        <v>32308.294218807314</v>
      </c>
      <c r="AD120" s="78">
        <f t="shared" si="64"/>
        <v>27966.855115402439</v>
      </c>
      <c r="AE120" s="78">
        <f t="shared" si="64"/>
        <v>24208.9653271555</v>
      </c>
      <c r="AF120" s="78">
        <f t="shared" si="64"/>
        <v>20956.159638505418</v>
      </c>
      <c r="AG120" s="78">
        <f t="shared" si="64"/>
        <v>18140.528169063746</v>
      </c>
      <c r="AH120" s="78">
        <f t="shared" si="64"/>
        <v>15703.295644073985</v>
      </c>
      <c r="AI120" s="78">
        <f t="shared" si="64"/>
        <v>18114.084478831712</v>
      </c>
      <c r="AJ120" s="169">
        <f>SUM(O120:AI120)</f>
        <v>1012790.7700630567</v>
      </c>
      <c r="AK120" t="str">
        <f t="shared" si="38"/>
        <v>Cx</v>
      </c>
      <c r="AM120">
        <v>1012790.7700630567</v>
      </c>
    </row>
    <row r="121" spans="12:39" x14ac:dyDescent="0.3">
      <c r="L121" s="419">
        <f t="shared" si="62"/>
        <v>-0.1</v>
      </c>
      <c r="M121" s="184" t="s">
        <v>290</v>
      </c>
      <c r="N121" s="257" t="str">
        <f t="shared" si="35"/>
        <v>Cx(-10%)</v>
      </c>
      <c r="O121" s="78">
        <f t="shared" ref="O121:O127" si="65">O112</f>
        <v>-480000</v>
      </c>
      <c r="P121" s="78">
        <f t="shared" si="63"/>
        <v>215991.22433297316</v>
      </c>
      <c r="Q121" s="78">
        <f t="shared" si="63"/>
        <v>181782.69109910232</v>
      </c>
      <c r="R121" s="78">
        <f t="shared" si="63"/>
        <v>157338.27582126705</v>
      </c>
      <c r="S121" s="78">
        <f t="shared" si="63"/>
        <v>136182.44489201062</v>
      </c>
      <c r="T121" s="78">
        <f t="shared" si="63"/>
        <v>117872.51666177259</v>
      </c>
      <c r="U121" s="78">
        <f t="shared" si="63"/>
        <v>102025.44304086603</v>
      </c>
      <c r="V121" s="78">
        <f t="shared" si="63"/>
        <v>88309.76895525174</v>
      </c>
      <c r="W121" s="78">
        <f t="shared" si="63"/>
        <v>76438.677160690786</v>
      </c>
      <c r="X121" s="78">
        <f t="shared" si="63"/>
        <v>66163.971700436319</v>
      </c>
      <c r="Y121" s="78">
        <f t="shared" si="63"/>
        <v>57270.873158766197</v>
      </c>
      <c r="Z121" s="78">
        <f t="shared" si="64"/>
        <v>49573.51603369409</v>
      </c>
      <c r="AA121" s="78">
        <f t="shared" si="64"/>
        <v>42911.053393985341</v>
      </c>
      <c r="AB121" s="78">
        <f t="shared" si="64"/>
        <v>37144.286814920561</v>
      </c>
      <c r="AC121" s="78">
        <f t="shared" si="64"/>
        <v>32152.750677647819</v>
      </c>
      <c r="AD121" s="78">
        <f t="shared" si="64"/>
        <v>27832.189504707585</v>
      </c>
      <c r="AE121" s="78">
        <f t="shared" si="64"/>
        <v>24092.375293466976</v>
      </c>
      <c r="AF121" s="78">
        <f t="shared" si="64"/>
        <v>20855.21897603523</v>
      </c>
      <c r="AG121" s="78">
        <f t="shared" si="64"/>
        <v>18053.136331034595</v>
      </c>
      <c r="AH121" s="78">
        <f t="shared" si="64"/>
        <v>15627.634030932017</v>
      </c>
      <c r="AI121" s="78">
        <f t="shared" si="64"/>
        <v>18048.578593701626</v>
      </c>
      <c r="AJ121" s="169">
        <f t="shared" ref="AJ121:AJ127" si="66">SUM(O121:AI121)</f>
        <v>1005666.6264732627</v>
      </c>
      <c r="AK121" t="str">
        <f t="shared" si="38"/>
        <v>Cx</v>
      </c>
      <c r="AM121">
        <v>1005666.6264732627</v>
      </c>
    </row>
    <row r="122" spans="12:39" x14ac:dyDescent="0.3">
      <c r="L122" s="419">
        <f t="shared" si="62"/>
        <v>-0.05</v>
      </c>
      <c r="M122" s="184" t="s">
        <v>290</v>
      </c>
      <c r="N122" s="257" t="str">
        <f t="shared" si="35"/>
        <v>Cx(-5%)</v>
      </c>
      <c r="O122" s="78">
        <f t="shared" si="65"/>
        <v>-480000</v>
      </c>
      <c r="P122" s="78">
        <f t="shared" si="63"/>
        <v>214978.26832503825</v>
      </c>
      <c r="Q122" s="78">
        <f t="shared" si="63"/>
        <v>180905.69975379342</v>
      </c>
      <c r="R122" s="78">
        <f t="shared" si="63"/>
        <v>156578.99919550846</v>
      </c>
      <c r="S122" s="78">
        <f t="shared" si="63"/>
        <v>135525.08265291087</v>
      </c>
      <c r="T122" s="78">
        <f t="shared" si="63"/>
        <v>117303.38928614385</v>
      </c>
      <c r="U122" s="78">
        <f t="shared" si="63"/>
        <v>101532.70714819648</v>
      </c>
      <c r="V122" s="78">
        <f t="shared" si="63"/>
        <v>87883.170850290408</v>
      </c>
      <c r="W122" s="78">
        <f t="shared" si="63"/>
        <v>76069.33945693502</v>
      </c>
      <c r="X122" s="78">
        <f t="shared" si="63"/>
        <v>65844.208584217282</v>
      </c>
      <c r="Y122" s="78">
        <f t="shared" si="63"/>
        <v>56994.030449629397</v>
      </c>
      <c r="Z122" s="78">
        <f t="shared" si="64"/>
        <v>49333.832712776915</v>
      </c>
      <c r="AA122" s="78">
        <f t="shared" si="64"/>
        <v>42703.541718835906</v>
      </c>
      <c r="AB122" s="78">
        <f t="shared" si="64"/>
        <v>36964.628525981025</v>
      </c>
      <c r="AC122" s="78">
        <f t="shared" si="64"/>
        <v>31997.207136488327</v>
      </c>
      <c r="AD122" s="78">
        <f t="shared" si="64"/>
        <v>27697.523894012735</v>
      </c>
      <c r="AE122" s="78">
        <f t="shared" si="64"/>
        <v>23975.785259778451</v>
      </c>
      <c r="AF122" s="78">
        <f t="shared" si="64"/>
        <v>20754.278313565039</v>
      </c>
      <c r="AG122" s="78">
        <f t="shared" si="64"/>
        <v>17965.744493005441</v>
      </c>
      <c r="AH122" s="78">
        <f t="shared" si="64"/>
        <v>15551.972417790048</v>
      </c>
      <c r="AI122" s="78">
        <f t="shared" si="64"/>
        <v>17983.072708571537</v>
      </c>
      <c r="AJ122" s="169">
        <f t="shared" si="66"/>
        <v>998542.48288346909</v>
      </c>
      <c r="AK122" t="str">
        <f t="shared" si="38"/>
        <v>Cx</v>
      </c>
      <c r="AM122">
        <v>998542.48288346909</v>
      </c>
    </row>
    <row r="123" spans="12:39" x14ac:dyDescent="0.3">
      <c r="L123" s="419">
        <f t="shared" si="62"/>
        <v>0</v>
      </c>
      <c r="M123" s="184" t="s">
        <v>290</v>
      </c>
      <c r="N123" s="257" t="str">
        <f t="shared" si="35"/>
        <v>Cx(0%)</v>
      </c>
      <c r="O123" s="78">
        <f t="shared" si="65"/>
        <v>-480000</v>
      </c>
      <c r="P123" s="78">
        <f t="shared" si="63"/>
        <v>213965.31231710338</v>
      </c>
      <c r="Q123" s="78">
        <f t="shared" si="63"/>
        <v>180028.70840848453</v>
      </c>
      <c r="R123" s="78">
        <f t="shared" si="63"/>
        <v>155819.72256974987</v>
      </c>
      <c r="S123" s="78">
        <f t="shared" si="63"/>
        <v>134867.72041381113</v>
      </c>
      <c r="T123" s="78">
        <f t="shared" si="63"/>
        <v>116734.26191051511</v>
      </c>
      <c r="U123" s="78">
        <f t="shared" si="63"/>
        <v>101039.97125552695</v>
      </c>
      <c r="V123" s="78">
        <f t="shared" si="63"/>
        <v>87456.57274532906</v>
      </c>
      <c r="W123" s="78">
        <f t="shared" si="63"/>
        <v>75700.001753179269</v>
      </c>
      <c r="X123" s="78">
        <f t="shared" si="63"/>
        <v>65524.445467998252</v>
      </c>
      <c r="Y123" s="78">
        <f t="shared" si="63"/>
        <v>56717.187740492598</v>
      </c>
      <c r="Z123" s="78">
        <f t="shared" si="64"/>
        <v>49094.149391859733</v>
      </c>
      <c r="AA123" s="78">
        <f t="shared" si="64"/>
        <v>42496.030043686464</v>
      </c>
      <c r="AB123" s="78">
        <f t="shared" si="64"/>
        <v>36784.970237041489</v>
      </c>
      <c r="AC123" s="78">
        <f t="shared" si="64"/>
        <v>31841.663595328831</v>
      </c>
      <c r="AD123" s="78">
        <f t="shared" si="64"/>
        <v>27562.858283317881</v>
      </c>
      <c r="AE123" s="78">
        <f t="shared" si="64"/>
        <v>23859.195226089927</v>
      </c>
      <c r="AF123" s="78">
        <f t="shared" si="64"/>
        <v>20653.337651094847</v>
      </c>
      <c r="AG123" s="78">
        <f t="shared" si="64"/>
        <v>17878.35265497629</v>
      </c>
      <c r="AH123" s="78">
        <f t="shared" si="64"/>
        <v>15476.310804648079</v>
      </c>
      <c r="AI123" s="78">
        <f t="shared" si="64"/>
        <v>17917.566823441448</v>
      </c>
      <c r="AJ123" s="169">
        <f t="shared" si="66"/>
        <v>991418.33929367526</v>
      </c>
      <c r="AK123" t="str">
        <f t="shared" si="38"/>
        <v>Cx</v>
      </c>
      <c r="AM123">
        <v>991418.33929367526</v>
      </c>
    </row>
    <row r="124" spans="12:39" x14ac:dyDescent="0.3">
      <c r="L124" s="419">
        <f t="shared" si="62"/>
        <v>0.05</v>
      </c>
      <c r="M124" s="184" t="s">
        <v>290</v>
      </c>
      <c r="N124" s="257" t="str">
        <f t="shared" si="35"/>
        <v>Cx(5%)</v>
      </c>
      <c r="O124" s="78">
        <f t="shared" si="65"/>
        <v>-480000</v>
      </c>
      <c r="P124" s="78">
        <f t="shared" si="63"/>
        <v>212952.35630916848</v>
      </c>
      <c r="Q124" s="78">
        <f t="shared" si="63"/>
        <v>179151.71706317563</v>
      </c>
      <c r="R124" s="78">
        <f t="shared" si="63"/>
        <v>155060.44594399128</v>
      </c>
      <c r="S124" s="78">
        <f t="shared" si="63"/>
        <v>134210.35817471138</v>
      </c>
      <c r="T124" s="78">
        <f t="shared" si="63"/>
        <v>116165.13453488637</v>
      </c>
      <c r="U124" s="78">
        <f t="shared" si="63"/>
        <v>100547.23536285742</v>
      </c>
      <c r="V124" s="78">
        <f t="shared" si="63"/>
        <v>87029.974640367727</v>
      </c>
      <c r="W124" s="78">
        <f t="shared" si="63"/>
        <v>75330.664049423518</v>
      </c>
      <c r="X124" s="78">
        <f t="shared" si="63"/>
        <v>65204.682351779215</v>
      </c>
      <c r="Y124" s="78">
        <f t="shared" si="63"/>
        <v>56440.345031355799</v>
      </c>
      <c r="Z124" s="78">
        <f t="shared" si="64"/>
        <v>48854.466070942559</v>
      </c>
      <c r="AA124" s="78">
        <f t="shared" si="64"/>
        <v>42288.518368537028</v>
      </c>
      <c r="AB124" s="78">
        <f t="shared" si="64"/>
        <v>36605.311948101953</v>
      </c>
      <c r="AC124" s="78">
        <f t="shared" si="64"/>
        <v>31686.12005416934</v>
      </c>
      <c r="AD124" s="78">
        <f t="shared" si="64"/>
        <v>27428.192672623027</v>
      </c>
      <c r="AE124" s="78">
        <f t="shared" si="64"/>
        <v>23742.605192401403</v>
      </c>
      <c r="AF124" s="78">
        <f t="shared" si="64"/>
        <v>20552.39698862466</v>
      </c>
      <c r="AG124" s="78">
        <f t="shared" si="64"/>
        <v>17790.960816947136</v>
      </c>
      <c r="AH124" s="78">
        <f t="shared" si="64"/>
        <v>15400.649191506111</v>
      </c>
      <c r="AI124" s="78">
        <f t="shared" si="64"/>
        <v>17852.060938311359</v>
      </c>
      <c r="AJ124" s="169">
        <f t="shared" si="66"/>
        <v>984294.19570388156</v>
      </c>
      <c r="AK124" t="str">
        <f t="shared" si="38"/>
        <v>Cx</v>
      </c>
      <c r="AM124">
        <v>984294.19570388156</v>
      </c>
    </row>
    <row r="125" spans="12:39" x14ac:dyDescent="0.3">
      <c r="L125" s="419">
        <f t="shared" si="62"/>
        <v>0.1</v>
      </c>
      <c r="M125" s="184" t="s">
        <v>290</v>
      </c>
      <c r="N125" s="257" t="str">
        <f t="shared" si="35"/>
        <v>Cx(10%)</v>
      </c>
      <c r="O125" s="78">
        <f t="shared" si="65"/>
        <v>-480000</v>
      </c>
      <c r="P125" s="78">
        <f t="shared" si="63"/>
        <v>211939.40030123357</v>
      </c>
      <c r="Q125" s="78">
        <f t="shared" si="63"/>
        <v>178274.72571786674</v>
      </c>
      <c r="R125" s="78">
        <f t="shared" si="63"/>
        <v>154301.16931823269</v>
      </c>
      <c r="S125" s="78">
        <f t="shared" si="63"/>
        <v>133552.99593561163</v>
      </c>
      <c r="T125" s="78">
        <f t="shared" si="63"/>
        <v>115596.00715925763</v>
      </c>
      <c r="U125" s="78">
        <f t="shared" si="63"/>
        <v>100054.49947018789</v>
      </c>
      <c r="V125" s="78">
        <f t="shared" si="63"/>
        <v>86603.37653540638</v>
      </c>
      <c r="W125" s="78">
        <f t="shared" si="63"/>
        <v>74961.326345667767</v>
      </c>
      <c r="X125" s="78">
        <f t="shared" si="63"/>
        <v>64884.919235560184</v>
      </c>
      <c r="Y125" s="78">
        <f t="shared" si="63"/>
        <v>56163.502322218999</v>
      </c>
      <c r="Z125" s="78">
        <f t="shared" si="64"/>
        <v>48614.782750025384</v>
      </c>
      <c r="AA125" s="78">
        <f t="shared" si="64"/>
        <v>42081.006693387593</v>
      </c>
      <c r="AB125" s="78">
        <f t="shared" si="64"/>
        <v>36425.653659162417</v>
      </c>
      <c r="AC125" s="78">
        <f t="shared" si="64"/>
        <v>31530.576513009848</v>
      </c>
      <c r="AD125" s="78">
        <f t="shared" si="64"/>
        <v>27293.527061928173</v>
      </c>
      <c r="AE125" s="78">
        <f t="shared" si="64"/>
        <v>23626.015158712878</v>
      </c>
      <c r="AF125" s="78">
        <f t="shared" si="64"/>
        <v>20451.456326154468</v>
      </c>
      <c r="AG125" s="78">
        <f t="shared" si="64"/>
        <v>17703.568978917985</v>
      </c>
      <c r="AH125" s="78">
        <f t="shared" si="64"/>
        <v>15324.987578364142</v>
      </c>
      <c r="AI125" s="78">
        <f t="shared" si="64"/>
        <v>17786.555053181273</v>
      </c>
      <c r="AJ125" s="169">
        <f t="shared" si="66"/>
        <v>977170.05211408762</v>
      </c>
      <c r="AK125" t="str">
        <f t="shared" si="38"/>
        <v>Cx</v>
      </c>
      <c r="AM125">
        <v>977170.05211408762</v>
      </c>
    </row>
    <row r="126" spans="12:39" x14ac:dyDescent="0.3">
      <c r="L126" s="419">
        <f t="shared" si="62"/>
        <v>0.15000000000000002</v>
      </c>
      <c r="M126" s="184" t="s">
        <v>290</v>
      </c>
      <c r="N126" s="257" t="str">
        <f t="shared" si="35"/>
        <v>Cx(15%)</v>
      </c>
      <c r="O126" s="78">
        <f t="shared" si="65"/>
        <v>-480000</v>
      </c>
      <c r="P126" s="78">
        <f t="shared" si="63"/>
        <v>210926.44429329867</v>
      </c>
      <c r="Q126" s="78">
        <f t="shared" si="63"/>
        <v>177397.73437255784</v>
      </c>
      <c r="R126" s="78">
        <f t="shared" si="63"/>
        <v>153541.8926924741</v>
      </c>
      <c r="S126" s="78">
        <f t="shared" si="63"/>
        <v>132895.63369651188</v>
      </c>
      <c r="T126" s="78">
        <f t="shared" si="63"/>
        <v>115026.87978362889</v>
      </c>
      <c r="U126" s="78">
        <f t="shared" si="63"/>
        <v>99561.763577518359</v>
      </c>
      <c r="V126" s="78">
        <f t="shared" si="63"/>
        <v>86176.778430445047</v>
      </c>
      <c r="W126" s="78">
        <f t="shared" si="63"/>
        <v>74591.988641912001</v>
      </c>
      <c r="X126" s="78">
        <f t="shared" si="63"/>
        <v>64565.156119341147</v>
      </c>
      <c r="Y126" s="78">
        <f t="shared" si="63"/>
        <v>55886.6596130822</v>
      </c>
      <c r="Z126" s="78">
        <f t="shared" si="64"/>
        <v>48375.09942910821</v>
      </c>
      <c r="AA126" s="78">
        <f t="shared" si="64"/>
        <v>41873.495018238158</v>
      </c>
      <c r="AB126" s="78">
        <f t="shared" si="64"/>
        <v>36245.995370222881</v>
      </c>
      <c r="AC126" s="78">
        <f t="shared" si="64"/>
        <v>31375.032971850353</v>
      </c>
      <c r="AD126" s="78">
        <f t="shared" si="64"/>
        <v>27158.861451233322</v>
      </c>
      <c r="AE126" s="78">
        <f t="shared" si="64"/>
        <v>23509.425125024354</v>
      </c>
      <c r="AF126" s="78">
        <f t="shared" si="64"/>
        <v>20350.515663684277</v>
      </c>
      <c r="AG126" s="78">
        <f t="shared" si="64"/>
        <v>17616.177140888831</v>
      </c>
      <c r="AH126" s="78">
        <f t="shared" si="64"/>
        <v>15249.325965222173</v>
      </c>
      <c r="AI126" s="78">
        <f t="shared" si="64"/>
        <v>17721.049168051184</v>
      </c>
      <c r="AJ126" s="169">
        <f t="shared" si="66"/>
        <v>970045.90852429392</v>
      </c>
      <c r="AK126" t="str">
        <f t="shared" si="38"/>
        <v>Cx</v>
      </c>
      <c r="AM126">
        <v>970045.90852429392</v>
      </c>
    </row>
    <row r="127" spans="12:39" ht="15" thickBot="1" x14ac:dyDescent="0.35">
      <c r="L127" s="420">
        <f t="shared" si="62"/>
        <v>0.2</v>
      </c>
      <c r="M127" s="185" t="s">
        <v>290</v>
      </c>
      <c r="N127" s="417" t="str">
        <f t="shared" si="35"/>
        <v>Cx(20%)</v>
      </c>
      <c r="O127" s="158">
        <f t="shared" si="65"/>
        <v>-480000</v>
      </c>
      <c r="P127" s="158">
        <f t="shared" si="63"/>
        <v>209913.48828536377</v>
      </c>
      <c r="Q127" s="158">
        <f t="shared" si="63"/>
        <v>176520.74302724894</v>
      </c>
      <c r="R127" s="158">
        <f t="shared" si="63"/>
        <v>152782.61606671551</v>
      </c>
      <c r="S127" s="158">
        <f t="shared" si="63"/>
        <v>132238.27145741213</v>
      </c>
      <c r="T127" s="158">
        <f t="shared" si="63"/>
        <v>114457.75240800015</v>
      </c>
      <c r="U127" s="158">
        <f t="shared" si="63"/>
        <v>99069.027684848828</v>
      </c>
      <c r="V127" s="158">
        <f t="shared" si="63"/>
        <v>85750.1803254837</v>
      </c>
      <c r="W127" s="158">
        <f t="shared" si="63"/>
        <v>74222.65093815625</v>
      </c>
      <c r="X127" s="158">
        <f t="shared" si="63"/>
        <v>64245.39300312211</v>
      </c>
      <c r="Y127" s="158">
        <f t="shared" si="63"/>
        <v>55609.816903945393</v>
      </c>
      <c r="Z127" s="158">
        <f t="shared" si="64"/>
        <v>48135.416108191035</v>
      </c>
      <c r="AA127" s="158">
        <f t="shared" si="64"/>
        <v>41665.983343088716</v>
      </c>
      <c r="AB127" s="158">
        <f t="shared" si="64"/>
        <v>36066.337081283345</v>
      </c>
      <c r="AC127" s="158">
        <f t="shared" si="64"/>
        <v>31219.489430690861</v>
      </c>
      <c r="AD127" s="158">
        <f t="shared" si="64"/>
        <v>27024.195840538468</v>
      </c>
      <c r="AE127" s="158">
        <f t="shared" si="64"/>
        <v>23392.83509133583</v>
      </c>
      <c r="AF127" s="158">
        <f t="shared" si="64"/>
        <v>20249.575001214085</v>
      </c>
      <c r="AG127" s="158">
        <f t="shared" si="64"/>
        <v>17528.78530285968</v>
      </c>
      <c r="AH127" s="158">
        <f t="shared" si="64"/>
        <v>15173.664352080204</v>
      </c>
      <c r="AI127" s="158">
        <f t="shared" si="64"/>
        <v>17655.543282921095</v>
      </c>
      <c r="AJ127" s="170">
        <f t="shared" si="66"/>
        <v>962921.7649345001</v>
      </c>
      <c r="AK127" t="str">
        <f t="shared" si="38"/>
        <v>Cx</v>
      </c>
      <c r="AM127">
        <v>962921.7649345001</v>
      </c>
    </row>
    <row r="128" spans="12:39" x14ac:dyDescent="0.3">
      <c r="L128" s="80"/>
    </row>
  </sheetData>
  <mergeCells count="10">
    <mergeCell ref="AW36:AW37"/>
    <mergeCell ref="AW39:AW40"/>
    <mergeCell ref="AW42:AW43"/>
    <mergeCell ref="AW45:AW46"/>
    <mergeCell ref="AW48:AW49"/>
    <mergeCell ref="C3:G3"/>
    <mergeCell ref="C15:L15"/>
    <mergeCell ref="C23:L23"/>
    <mergeCell ref="N31:AI31"/>
    <mergeCell ref="AW33:AW34"/>
  </mergeCells>
  <conditionalFormatting sqref="O36:AI38 O39 O40:AI56 O58:AI68 O70:AI71">
    <cfRule type="cellIs" dxfId="2" priority="1" operator="lessThan">
      <formula>0</formula>
    </cfRule>
    <cfRule type="cellIs" dxfId="1" priority="2" operator="greaterThan">
      <formula>0</formula>
    </cfRule>
    <cfRule type="cellIs" dxfId="0" priority="3" operator="equal">
      <formula>0</formula>
    </cfRule>
  </conditionalFormatting>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516C4-DF7A-4048-9A27-A94D9C0C635D}">
  <sheetPr>
    <tabColor rgb="FF0070C0"/>
  </sheetPr>
  <dimension ref="A1:SP306"/>
  <sheetViews>
    <sheetView topLeftCell="I259" zoomScaleNormal="100" workbookViewId="0">
      <selection activeCell="N301" sqref="N301"/>
    </sheetView>
  </sheetViews>
  <sheetFormatPr baseColWidth="10" defaultColWidth="9.109375" defaultRowHeight="14.4" x14ac:dyDescent="0.3"/>
  <cols>
    <col min="2" max="2" width="17.33203125" customWidth="1"/>
    <col min="3" max="8" width="15.6640625" customWidth="1"/>
    <col min="9" max="9" width="45.6640625" bestFit="1" customWidth="1"/>
    <col min="10" max="10" width="13.33203125" bestFit="1" customWidth="1"/>
    <col min="11" max="11" width="16.5546875" customWidth="1"/>
    <col min="12" max="12" width="23.5546875" bestFit="1" customWidth="1"/>
    <col min="13" max="13" width="22.88671875" customWidth="1"/>
    <col min="14" max="14" width="12" bestFit="1" customWidth="1"/>
    <col min="15" max="15" width="22.5546875" bestFit="1" customWidth="1"/>
    <col min="16" max="16" width="19.6640625" bestFit="1" customWidth="1"/>
    <col min="17" max="17" width="14.44140625" bestFit="1" customWidth="1"/>
    <col min="18" max="18" width="11.44140625" bestFit="1" customWidth="1"/>
    <col min="19" max="20" width="10.109375" bestFit="1" customWidth="1"/>
    <col min="21" max="21" width="12.44140625" bestFit="1" customWidth="1"/>
    <col min="22" max="33" width="10.109375" bestFit="1" customWidth="1"/>
  </cols>
  <sheetData>
    <row r="1" spans="1:23" ht="33.6" x14ac:dyDescent="0.65">
      <c r="A1" s="79"/>
    </row>
    <row r="2" spans="1:23" x14ac:dyDescent="0.3">
      <c r="D2" s="80"/>
    </row>
    <row r="5" spans="1:23" ht="18" x14ac:dyDescent="0.35">
      <c r="B5" s="81"/>
      <c r="C5" s="78"/>
      <c r="D5" s="78"/>
      <c r="E5" s="78"/>
    </row>
    <row r="6" spans="1:23" x14ac:dyDescent="0.3">
      <c r="C6" s="78"/>
      <c r="D6" s="78"/>
      <c r="E6" s="78"/>
    </row>
    <row r="7" spans="1:23" x14ac:dyDescent="0.3">
      <c r="C7" s="78"/>
      <c r="D7" s="78"/>
      <c r="E7" s="78"/>
    </row>
    <row r="8" spans="1:23" x14ac:dyDescent="0.3">
      <c r="C8" s="78"/>
      <c r="D8" s="78"/>
      <c r="E8" s="78"/>
    </row>
    <row r="9" spans="1:23" x14ac:dyDescent="0.3">
      <c r="C9" s="78"/>
      <c r="D9" s="78"/>
      <c r="E9" s="78"/>
      <c r="F9" s="78"/>
      <c r="G9" s="78"/>
      <c r="H9" s="78"/>
      <c r="I9" s="78"/>
      <c r="J9" s="78"/>
      <c r="K9" s="78"/>
      <c r="L9" s="78"/>
      <c r="M9" s="78"/>
      <c r="N9" s="78"/>
      <c r="O9" s="78"/>
      <c r="P9" s="78"/>
      <c r="Q9" s="78"/>
      <c r="R9" s="78"/>
      <c r="S9" s="78"/>
      <c r="T9" s="78"/>
      <c r="U9" s="78"/>
      <c r="V9" s="78"/>
      <c r="W9" s="78"/>
    </row>
    <row r="10" spans="1:23" x14ac:dyDescent="0.3">
      <c r="C10" s="78"/>
      <c r="D10" s="78"/>
      <c r="E10" s="78"/>
      <c r="F10" s="78"/>
      <c r="G10" s="78"/>
      <c r="H10" s="78"/>
      <c r="I10" s="78"/>
      <c r="J10" s="78"/>
      <c r="K10" s="78"/>
      <c r="L10" s="78"/>
      <c r="M10" s="78"/>
      <c r="N10" s="78"/>
      <c r="O10" s="78"/>
      <c r="P10" s="78"/>
      <c r="Q10" s="78"/>
      <c r="R10" s="78"/>
      <c r="S10" s="78"/>
      <c r="T10" s="78"/>
      <c r="U10" s="78"/>
      <c r="V10" s="78"/>
      <c r="W10" s="78"/>
    </row>
    <row r="11" spans="1:23" x14ac:dyDescent="0.3">
      <c r="C11" s="78"/>
      <c r="D11" s="78"/>
      <c r="E11" s="78"/>
      <c r="F11" s="78"/>
      <c r="G11" s="78"/>
      <c r="H11" s="78"/>
      <c r="I11" s="78"/>
      <c r="J11" s="78"/>
      <c r="K11" s="78"/>
      <c r="L11" s="78"/>
      <c r="M11" s="78"/>
      <c r="N11" s="78"/>
      <c r="O11" s="78"/>
      <c r="P11" s="78"/>
      <c r="Q11" s="78"/>
      <c r="R11" s="78"/>
      <c r="S11" s="78"/>
      <c r="T11" s="78"/>
      <c r="U11" s="78"/>
      <c r="V11" s="78"/>
      <c r="W11" s="78"/>
    </row>
    <row r="12" spans="1:23" ht="18" x14ac:dyDescent="0.35">
      <c r="B12" s="81"/>
      <c r="C12" s="78"/>
      <c r="D12" s="78"/>
      <c r="E12" s="78"/>
    </row>
    <row r="13" spans="1:23" ht="15.6" x14ac:dyDescent="0.3">
      <c r="B13" s="60"/>
      <c r="C13" s="78"/>
      <c r="D13" s="78"/>
      <c r="E13" s="78"/>
    </row>
    <row r="14" spans="1:23" x14ac:dyDescent="0.3">
      <c r="C14" s="78"/>
      <c r="D14" s="78"/>
      <c r="E14" s="78"/>
    </row>
    <row r="15" spans="1:23" x14ac:dyDescent="0.3">
      <c r="C15" s="78"/>
      <c r="D15" s="78"/>
      <c r="E15" s="78"/>
    </row>
    <row r="16" spans="1:23" ht="15.6" x14ac:dyDescent="0.3">
      <c r="B16" s="60"/>
      <c r="C16" s="78"/>
      <c r="D16" s="78"/>
      <c r="E16" s="78"/>
    </row>
    <row r="17" spans="2:5" x14ac:dyDescent="0.3">
      <c r="C17" s="78"/>
      <c r="D17" s="78"/>
      <c r="E17" s="78"/>
    </row>
    <row r="18" spans="2:5" x14ac:dyDescent="0.3">
      <c r="C18" s="78"/>
      <c r="D18" s="78"/>
      <c r="E18" s="78"/>
    </row>
    <row r="19" spans="2:5" x14ac:dyDescent="0.3">
      <c r="C19" s="78"/>
      <c r="D19" s="78"/>
      <c r="E19" s="78"/>
    </row>
    <row r="20" spans="2:5" ht="15.6" x14ac:dyDescent="0.3">
      <c r="B20" s="60"/>
      <c r="C20" s="78"/>
      <c r="D20" s="78"/>
      <c r="E20" s="78"/>
    </row>
    <row r="21" spans="2:5" x14ac:dyDescent="0.3">
      <c r="C21" s="78"/>
      <c r="D21" s="78"/>
      <c r="E21" s="78"/>
    </row>
    <row r="22" spans="2:5" x14ac:dyDescent="0.3">
      <c r="C22" s="78"/>
      <c r="D22" s="78"/>
      <c r="E22" s="78"/>
    </row>
    <row r="23" spans="2:5" x14ac:dyDescent="0.3">
      <c r="C23" s="78"/>
      <c r="D23" s="78"/>
      <c r="E23" s="78"/>
    </row>
    <row r="24" spans="2:5" x14ac:dyDescent="0.3">
      <c r="C24" s="78"/>
      <c r="D24" s="78"/>
      <c r="E24" s="78"/>
    </row>
    <row r="25" spans="2:5" x14ac:dyDescent="0.3">
      <c r="C25" s="78"/>
      <c r="D25" s="78"/>
      <c r="E25" s="78"/>
    </row>
    <row r="26" spans="2:5" x14ac:dyDescent="0.3">
      <c r="C26" s="78"/>
      <c r="D26" s="78"/>
      <c r="E26" s="78"/>
    </row>
    <row r="33" spans="2:34" x14ac:dyDescent="0.3">
      <c r="B33" t="s">
        <v>305</v>
      </c>
    </row>
    <row r="35" spans="2:34" ht="15" thickBot="1" x14ac:dyDescent="0.35">
      <c r="I35" s="228" t="s">
        <v>64</v>
      </c>
      <c r="J35" s="228" t="s">
        <v>306</v>
      </c>
      <c r="K35" s="228" t="s">
        <v>307</v>
      </c>
      <c r="L35" s="228" t="s">
        <v>308</v>
      </c>
      <c r="M35" s="228" t="s">
        <v>309</v>
      </c>
      <c r="N35" s="228" t="s">
        <v>310</v>
      </c>
      <c r="O35" s="228" t="s">
        <v>311</v>
      </c>
      <c r="P35" s="228" t="s">
        <v>312</v>
      </c>
      <c r="Q35" s="228" t="s">
        <v>313</v>
      </c>
    </row>
    <row r="36" spans="2:34" x14ac:dyDescent="0.3">
      <c r="I36" s="229" t="s">
        <v>314</v>
      </c>
      <c r="J36" s="230">
        <v>100000</v>
      </c>
      <c r="K36" s="231">
        <f t="shared" ref="K36:K41" si="0">$J36/$J$43</f>
        <v>9.0909090909090912E-2</v>
      </c>
      <c r="L36" s="232"/>
      <c r="M36" s="233">
        <f>Tableau1[[#This Row],[Column2]]/$J$38</f>
        <v>0</v>
      </c>
      <c r="N36" s="232"/>
      <c r="O36" s="233"/>
      <c r="P36" s="234">
        <f>Tableau1[[#This Row],[Column1]]*Tableau1[[#This Row],[Pondération (%)]]</f>
        <v>0</v>
      </c>
      <c r="Q36" s="235">
        <f>Tableau1[[#This Row],[Coût Pondéré ($)]]/$J$38</f>
        <v>0</v>
      </c>
    </row>
    <row r="37" spans="2:34" ht="28.8" x14ac:dyDescent="0.3">
      <c r="I37" s="236" t="s">
        <v>315</v>
      </c>
      <c r="J37" s="237">
        <v>300000</v>
      </c>
      <c r="K37" s="238">
        <f t="shared" si="0"/>
        <v>0.27272727272727271</v>
      </c>
      <c r="L37" s="234"/>
      <c r="M37" s="233">
        <f>Tableau1[[#This Row],[Column2]]/$J$38</f>
        <v>0</v>
      </c>
      <c r="N37" s="234"/>
      <c r="O37" s="233"/>
      <c r="P37" s="234">
        <f>Tableau1[[#This Row],[Column1]]*Tableau1[[#This Row],[Pondération (%)]]</f>
        <v>0</v>
      </c>
      <c r="Q37" s="233">
        <f>Tableau1[[#This Row],[Coût Pondéré ($)]]/$J$38</f>
        <v>0</v>
      </c>
    </row>
    <row r="38" spans="2:34" ht="15" thickBot="1" x14ac:dyDescent="0.35">
      <c r="I38" s="239" t="s">
        <v>316</v>
      </c>
      <c r="J38" s="240">
        <f>SUM(J36:J37)</f>
        <v>400000</v>
      </c>
      <c r="K38" s="241">
        <f t="shared" si="0"/>
        <v>0.36363636363636365</v>
      </c>
      <c r="L38" s="242"/>
      <c r="M38" s="242"/>
      <c r="N38" s="242"/>
      <c r="O38" s="243"/>
      <c r="P38" s="242"/>
      <c r="Q38" s="243"/>
    </row>
    <row r="39" spans="2:34" x14ac:dyDescent="0.3">
      <c r="I39" s="229" t="s">
        <v>317</v>
      </c>
      <c r="J39" s="230">
        <v>116900</v>
      </c>
      <c r="K39" s="231">
        <f t="shared" si="0"/>
        <v>0.10627272727272727</v>
      </c>
      <c r="L39" s="232"/>
      <c r="M39" s="232"/>
      <c r="N39" s="232"/>
      <c r="O39" s="235"/>
      <c r="P39" s="232">
        <f>Tableau1[[#This Row],[Column1]]*Tableau1[[#This Row],[Pondération (%)]]</f>
        <v>0</v>
      </c>
      <c r="Q39" s="235">
        <f>Tableau1[[#This Row],[Coût Pondéré ($)]]/$J$38</f>
        <v>0</v>
      </c>
    </row>
    <row r="40" spans="2:34" x14ac:dyDescent="0.3">
      <c r="I40" s="244" t="s">
        <v>318</v>
      </c>
      <c r="J40" s="237">
        <v>466200</v>
      </c>
      <c r="K40" s="238">
        <f t="shared" si="0"/>
        <v>0.42381818181818182</v>
      </c>
      <c r="L40" s="234"/>
      <c r="M40" s="234"/>
      <c r="N40" s="234"/>
      <c r="O40" s="233"/>
      <c r="P40" s="234">
        <f>Tableau1[[#This Row],[Column1]]*Tableau1[[#This Row],[Pondération (%)]]</f>
        <v>0</v>
      </c>
      <c r="Q40" s="233">
        <f>Tableau1[[#This Row],[Coût Pondéré ($)]]/$J$38</f>
        <v>0</v>
      </c>
    </row>
    <row r="41" spans="2:34" x14ac:dyDescent="0.3">
      <c r="I41" s="244" t="s">
        <v>319</v>
      </c>
      <c r="J41" s="237">
        <v>116900</v>
      </c>
      <c r="K41" s="238">
        <f t="shared" si="0"/>
        <v>0.10627272727272727</v>
      </c>
      <c r="L41" s="234"/>
      <c r="M41" s="234"/>
      <c r="N41" s="234"/>
      <c r="O41" s="233"/>
      <c r="P41" s="234">
        <f>Tableau1[[#This Row],[Column1]]*Tableau1[[#This Row],[Pondération (%)]]</f>
        <v>0</v>
      </c>
      <c r="Q41" s="233">
        <f>Tableau1[[#This Row],[Coût Pondéré ($)]]/$J$38</f>
        <v>0</v>
      </c>
    </row>
    <row r="42" spans="2:34" ht="15" thickBot="1" x14ac:dyDescent="0.35">
      <c r="H42" t="s">
        <v>320</v>
      </c>
      <c r="I42" s="245" t="s">
        <v>321</v>
      </c>
      <c r="J42" s="246">
        <v>700000</v>
      </c>
      <c r="K42" s="241">
        <f>$J42/$J$43</f>
        <v>0.63636363636363635</v>
      </c>
      <c r="L42" s="247"/>
      <c r="M42" s="247"/>
      <c r="N42" s="247"/>
      <c r="O42" s="248"/>
      <c r="P42" s="247"/>
      <c r="Q42" s="248"/>
    </row>
    <row r="43" spans="2:34" ht="15" thickBot="1" x14ac:dyDescent="0.35">
      <c r="I43" s="239" t="s">
        <v>322</v>
      </c>
      <c r="J43" s="249">
        <f>SUM(J39:J41,J36:J37)</f>
        <v>1100000</v>
      </c>
      <c r="K43" s="250">
        <v>1</v>
      </c>
      <c r="L43" s="251"/>
      <c r="M43" s="251"/>
      <c r="N43" s="251"/>
      <c r="O43" s="252"/>
      <c r="P43" s="251"/>
      <c r="Q43" s="252"/>
    </row>
    <row r="44" spans="2:34" x14ac:dyDescent="0.3">
      <c r="I44" s="228"/>
      <c r="J44" s="228"/>
      <c r="K44" s="228"/>
      <c r="L44" s="228"/>
      <c r="M44" s="228"/>
      <c r="N44" s="228"/>
      <c r="O44" s="228"/>
      <c r="P44" s="228"/>
      <c r="Q44" s="228"/>
    </row>
    <row r="45" spans="2:34" x14ac:dyDescent="0.3">
      <c r="I45" t="s">
        <v>323</v>
      </c>
      <c r="J45" s="80" t="e">
        <f>TAUX_IMPOSITION</f>
        <v>#REF!</v>
      </c>
    </row>
    <row r="47" spans="2:34" ht="15" thickBot="1" x14ac:dyDescent="0.35"/>
    <row r="48" spans="2:34" ht="18" x14ac:dyDescent="0.35">
      <c r="I48" s="199" t="s">
        <v>324</v>
      </c>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c r="AG48" s="157"/>
      <c r="AH48" s="183"/>
    </row>
    <row r="49" spans="9:51" ht="13.2" customHeight="1" x14ac:dyDescent="0.3">
      <c r="I49" s="34" t="s">
        <v>325</v>
      </c>
      <c r="J49" s="78">
        <f>$J$36</f>
        <v>100000</v>
      </c>
      <c r="AH49" s="184"/>
    </row>
    <row r="50" spans="9:51" ht="15" thickBot="1" x14ac:dyDescent="0.35">
      <c r="I50" s="34" t="s">
        <v>326</v>
      </c>
      <c r="J50">
        <v>20</v>
      </c>
      <c r="AH50" s="184"/>
    </row>
    <row r="51" spans="9:51" ht="15" thickBot="1" x14ac:dyDescent="0.35">
      <c r="I51" s="34" t="s">
        <v>327</v>
      </c>
      <c r="J51">
        <v>12</v>
      </c>
      <c r="L51" s="190" t="s">
        <v>328</v>
      </c>
      <c r="M51" s="189">
        <v>0</v>
      </c>
      <c r="N51" s="187">
        <v>1</v>
      </c>
      <c r="O51" s="187">
        <v>2</v>
      </c>
      <c r="P51" s="187">
        <v>3</v>
      </c>
      <c r="Q51" s="187">
        <v>4</v>
      </c>
      <c r="R51" s="187">
        <v>5</v>
      </c>
      <c r="S51" s="187">
        <v>6</v>
      </c>
      <c r="T51" s="187">
        <v>7</v>
      </c>
      <c r="U51" s="187">
        <v>8</v>
      </c>
      <c r="V51" s="187">
        <v>9</v>
      </c>
      <c r="W51" s="187">
        <v>10</v>
      </c>
      <c r="X51" s="187">
        <v>11</v>
      </c>
      <c r="Y51" s="187">
        <v>12</v>
      </c>
      <c r="Z51" s="187">
        <v>13</v>
      </c>
      <c r="AA51" s="187">
        <v>14</v>
      </c>
      <c r="AB51" s="187">
        <v>15</v>
      </c>
      <c r="AC51" s="187">
        <v>16</v>
      </c>
      <c r="AD51" s="187">
        <v>17</v>
      </c>
      <c r="AE51" s="187">
        <v>18</v>
      </c>
      <c r="AF51" s="187">
        <v>19</v>
      </c>
      <c r="AG51" s="188">
        <v>20</v>
      </c>
      <c r="AH51" s="184"/>
    </row>
    <row r="52" spans="9:51" x14ac:dyDescent="0.3">
      <c r="I52" s="34" t="s">
        <v>329</v>
      </c>
      <c r="J52" s="186">
        <v>0.14299999999999999</v>
      </c>
      <c r="L52" s="191" t="s">
        <v>330</v>
      </c>
      <c r="M52" s="76">
        <f>$J$49</f>
        <v>100000</v>
      </c>
      <c r="N52" s="69">
        <f>M$56</f>
        <v>100000</v>
      </c>
      <c r="O52" s="69">
        <f>N$56</f>
        <v>99055.248386232401</v>
      </c>
      <c r="P52" s="69">
        <f t="shared" ref="P52:AG52" si="1">O$56</f>
        <v>97966.181307383813</v>
      </c>
      <c r="Q52" s="69">
        <f t="shared" si="1"/>
        <v>96710.753864924263</v>
      </c>
      <c r="R52" s="69">
        <f t="shared" si="1"/>
        <v>95263.553693428068</v>
      </c>
      <c r="S52" s="69">
        <f t="shared" si="1"/>
        <v>93595.286563409449</v>
      </c>
      <c r="T52" s="69">
        <f t="shared" si="1"/>
        <v>91672.183407456105</v>
      </c>
      <c r="U52" s="69">
        <f t="shared" si="1"/>
        <v>89455.316766682299</v>
      </c>
      <c r="V52" s="69">
        <f t="shared" si="1"/>
        <v>86899.81282100892</v>
      </c>
      <c r="W52" s="69">
        <f t="shared" si="1"/>
        <v>83953.9430531853</v>
      </c>
      <c r="X52" s="69">
        <f t="shared" si="1"/>
        <v>80558.077160013898</v>
      </c>
      <c r="Y52" s="69">
        <f t="shared" si="1"/>
        <v>76643.476015604028</v>
      </c>
      <c r="Z52" s="69">
        <f t="shared" si="1"/>
        <v>72130.900253813888</v>
      </c>
      <c r="AA52" s="69">
        <f t="shared" si="1"/>
        <v>66929.006304803246</v>
      </c>
      <c r="AB52" s="69">
        <f t="shared" si="1"/>
        <v>60932.497418264582</v>
      </c>
      <c r="AC52" s="69">
        <f t="shared" si="1"/>
        <v>54019.992246340407</v>
      </c>
      <c r="AD52" s="69">
        <f t="shared" si="1"/>
        <v>46051.567842076765</v>
      </c>
      <c r="AE52" s="69">
        <f t="shared" si="1"/>
        <v>36865.927338781548</v>
      </c>
      <c r="AF52" s="69">
        <f t="shared" si="1"/>
        <v>26277.134978446073</v>
      </c>
      <c r="AG52" s="77">
        <f t="shared" si="1"/>
        <v>14070.852399667099</v>
      </c>
      <c r="AH52" s="184"/>
      <c r="AY52" t="s">
        <v>304</v>
      </c>
    </row>
    <row r="53" spans="9:51" x14ac:dyDescent="0.3">
      <c r="I53" s="34" t="s">
        <v>331</v>
      </c>
      <c r="J53" s="186">
        <f>(1+J52/J51)^J51-1</f>
        <v>0.15275492836203397</v>
      </c>
      <c r="L53" s="192" t="s">
        <v>332</v>
      </c>
      <c r="M53" s="73"/>
      <c r="N53" s="67">
        <f>$J$53*N$52</f>
        <v>15275.492836203397</v>
      </c>
      <c r="O53" s="67">
        <f>$J$53*O$52</f>
        <v>15131.177371122412</v>
      </c>
      <c r="P53" s="67">
        <f t="shared" ref="P53:AG53" si="2">$J$53*P$52</f>
        <v>14964.817007511445</v>
      </c>
      <c r="Q53" s="67">
        <f t="shared" si="2"/>
        <v>14773.044278474807</v>
      </c>
      <c r="R53" s="67">
        <f t="shared" si="2"/>
        <v>14551.977319952381</v>
      </c>
      <c r="S53" s="67">
        <f t="shared" si="2"/>
        <v>14297.141294017651</v>
      </c>
      <c r="T53" s="67">
        <f t="shared" si="2"/>
        <v>14003.377809197196</v>
      </c>
      <c r="U53" s="67">
        <f t="shared" si="2"/>
        <v>13664.740504297612</v>
      </c>
      <c r="V53" s="67">
        <f t="shared" si="2"/>
        <v>13274.374682147378</v>
      </c>
      <c r="W53" s="67">
        <f t="shared" si="2"/>
        <v>12824.3785567996</v>
      </c>
      <c r="X53" s="67">
        <f t="shared" si="2"/>
        <v>12305.643305561129</v>
      </c>
      <c r="Y53" s="67">
        <f t="shared" si="2"/>
        <v>11707.668688180862</v>
      </c>
      <c r="Z53" s="67">
        <f t="shared" si="2"/>
        <v>11018.350500960358</v>
      </c>
      <c r="AA53" s="67">
        <f t="shared" si="2"/>
        <v>10223.735563432339</v>
      </c>
      <c r="AB53" s="67">
        <f t="shared" si="2"/>
        <v>9307.7392780468253</v>
      </c>
      <c r="AC53" s="67">
        <f t="shared" si="2"/>
        <v>8251.8200457073599</v>
      </c>
      <c r="AD53" s="67">
        <f t="shared" si="2"/>
        <v>7034.6039466757838</v>
      </c>
      <c r="AE53" s="67">
        <f t="shared" si="2"/>
        <v>5631.4520896355252</v>
      </c>
      <c r="AF53" s="67">
        <f t="shared" si="2"/>
        <v>4013.961871192027</v>
      </c>
      <c r="AG53" s="70">
        <f t="shared" si="2"/>
        <v>2149.3920503039017</v>
      </c>
      <c r="AH53" s="184"/>
    </row>
    <row r="54" spans="9:51" x14ac:dyDescent="0.3">
      <c r="I54" s="34" t="s">
        <v>333</v>
      </c>
      <c r="J54">
        <v>20</v>
      </c>
      <c r="L54" s="192" t="s">
        <v>334</v>
      </c>
      <c r="M54" s="73"/>
      <c r="N54" s="67">
        <f>N$55-N$53</f>
        <v>944.75161376760298</v>
      </c>
      <c r="O54" s="67">
        <f>O$55-O$53</f>
        <v>1089.0670788485877</v>
      </c>
      <c r="P54" s="67">
        <f t="shared" ref="P54:AG54" si="3">P$55-P$53</f>
        <v>1255.4274424595551</v>
      </c>
      <c r="Q54" s="67">
        <f t="shared" si="3"/>
        <v>1447.2001714961934</v>
      </c>
      <c r="R54" s="67">
        <f t="shared" si="3"/>
        <v>1668.2671300186194</v>
      </c>
      <c r="S54" s="67">
        <f t="shared" si="3"/>
        <v>1923.1031559533494</v>
      </c>
      <c r="T54" s="67">
        <f t="shared" si="3"/>
        <v>2216.8666407738037</v>
      </c>
      <c r="U54" s="67">
        <f t="shared" si="3"/>
        <v>2555.5039456733884</v>
      </c>
      <c r="V54" s="67">
        <f t="shared" si="3"/>
        <v>2945.8697678236222</v>
      </c>
      <c r="W54" s="67">
        <f t="shared" si="3"/>
        <v>3395.8658931713999</v>
      </c>
      <c r="X54" s="67">
        <f t="shared" si="3"/>
        <v>3914.6011444098713</v>
      </c>
      <c r="Y54" s="67">
        <f t="shared" si="3"/>
        <v>4512.5757617901381</v>
      </c>
      <c r="Z54" s="67">
        <f t="shared" si="3"/>
        <v>5201.8939490106422</v>
      </c>
      <c r="AA54" s="67">
        <f t="shared" si="3"/>
        <v>5996.5088865386606</v>
      </c>
      <c r="AB54" s="67">
        <f t="shared" si="3"/>
        <v>6912.5051719241746</v>
      </c>
      <c r="AC54" s="67">
        <f t="shared" si="3"/>
        <v>7968.4244042636401</v>
      </c>
      <c r="AD54" s="67">
        <f t="shared" si="3"/>
        <v>9185.6405032952171</v>
      </c>
      <c r="AE54" s="67">
        <f t="shared" si="3"/>
        <v>10588.792360335476</v>
      </c>
      <c r="AF54" s="67">
        <f t="shared" si="3"/>
        <v>12206.282578778973</v>
      </c>
      <c r="AG54" s="70">
        <f t="shared" si="3"/>
        <v>14070.852399667099</v>
      </c>
      <c r="AH54" s="184"/>
    </row>
    <row r="55" spans="9:51" x14ac:dyDescent="0.3">
      <c r="I55" s="34" t="s">
        <v>335</v>
      </c>
      <c r="J55" s="179">
        <f>POWER((1+$J$53),$J$54)</f>
        <v>17.168792530859857</v>
      </c>
      <c r="L55" s="192" t="s">
        <v>336</v>
      </c>
      <c r="M55" s="73"/>
      <c r="N55" s="67">
        <f>$J$58</f>
        <v>16220.244449971</v>
      </c>
      <c r="O55" s="67">
        <f>$J$58</f>
        <v>16220.244449971</v>
      </c>
      <c r="P55" s="67">
        <f t="shared" ref="P55:AG55" si="4">$J$58</f>
        <v>16220.244449971</v>
      </c>
      <c r="Q55" s="67">
        <f t="shared" si="4"/>
        <v>16220.244449971</v>
      </c>
      <c r="R55" s="67">
        <f t="shared" si="4"/>
        <v>16220.244449971</v>
      </c>
      <c r="S55" s="67">
        <f t="shared" si="4"/>
        <v>16220.244449971</v>
      </c>
      <c r="T55" s="67">
        <f t="shared" si="4"/>
        <v>16220.244449971</v>
      </c>
      <c r="U55" s="67">
        <f t="shared" si="4"/>
        <v>16220.244449971</v>
      </c>
      <c r="V55" s="67">
        <f t="shared" si="4"/>
        <v>16220.244449971</v>
      </c>
      <c r="W55" s="67">
        <f t="shared" si="4"/>
        <v>16220.244449971</v>
      </c>
      <c r="X55" s="67">
        <f t="shared" si="4"/>
        <v>16220.244449971</v>
      </c>
      <c r="Y55" s="67">
        <f t="shared" si="4"/>
        <v>16220.244449971</v>
      </c>
      <c r="Z55" s="67">
        <f t="shared" si="4"/>
        <v>16220.244449971</v>
      </c>
      <c r="AA55" s="67">
        <f t="shared" si="4"/>
        <v>16220.244449971</v>
      </c>
      <c r="AB55" s="67">
        <f t="shared" si="4"/>
        <v>16220.244449971</v>
      </c>
      <c r="AC55" s="67">
        <f t="shared" si="4"/>
        <v>16220.244449971</v>
      </c>
      <c r="AD55" s="67">
        <f t="shared" si="4"/>
        <v>16220.244449971</v>
      </c>
      <c r="AE55" s="67">
        <f t="shared" si="4"/>
        <v>16220.244449971</v>
      </c>
      <c r="AF55" s="67">
        <f t="shared" si="4"/>
        <v>16220.244449971</v>
      </c>
      <c r="AG55" s="70">
        <f t="shared" si="4"/>
        <v>16220.244449971</v>
      </c>
      <c r="AH55" s="184"/>
    </row>
    <row r="56" spans="9:51" ht="15" thickBot="1" x14ac:dyDescent="0.35">
      <c r="I56" s="34" t="s">
        <v>337</v>
      </c>
      <c r="J56" s="200">
        <f>($J$55-1)/($J$55*$J$53)</f>
        <v>6.1651351993143848</v>
      </c>
      <c r="L56" s="193" t="s">
        <v>338</v>
      </c>
      <c r="M56" s="194">
        <f>M$52</f>
        <v>100000</v>
      </c>
      <c r="N56" s="195">
        <f>N$53+N$52-N$55</f>
        <v>99055.248386232401</v>
      </c>
      <c r="O56" s="195">
        <f>O$53+O$52-O$55</f>
        <v>97966.181307383813</v>
      </c>
      <c r="P56" s="195">
        <f t="shared" ref="P56:AG56" si="5">P$53+P$52-P$55</f>
        <v>96710.753864924263</v>
      </c>
      <c r="Q56" s="195">
        <f t="shared" si="5"/>
        <v>95263.553693428068</v>
      </c>
      <c r="R56" s="195">
        <f t="shared" si="5"/>
        <v>93595.286563409449</v>
      </c>
      <c r="S56" s="195">
        <f t="shared" si="5"/>
        <v>91672.183407456105</v>
      </c>
      <c r="T56" s="195">
        <f t="shared" si="5"/>
        <v>89455.316766682299</v>
      </c>
      <c r="U56" s="195">
        <f t="shared" si="5"/>
        <v>86899.81282100892</v>
      </c>
      <c r="V56" s="195">
        <f t="shared" si="5"/>
        <v>83953.9430531853</v>
      </c>
      <c r="W56" s="195">
        <f t="shared" si="5"/>
        <v>80558.077160013898</v>
      </c>
      <c r="X56" s="195">
        <f t="shared" si="5"/>
        <v>76643.476015604028</v>
      </c>
      <c r="Y56" s="195">
        <f t="shared" si="5"/>
        <v>72130.900253813888</v>
      </c>
      <c r="Z56" s="195">
        <f t="shared" si="5"/>
        <v>66929.006304803246</v>
      </c>
      <c r="AA56" s="195">
        <f t="shared" si="5"/>
        <v>60932.497418264582</v>
      </c>
      <c r="AB56" s="195">
        <f t="shared" si="5"/>
        <v>54019.992246340407</v>
      </c>
      <c r="AC56" s="195">
        <f t="shared" si="5"/>
        <v>46051.567842076765</v>
      </c>
      <c r="AD56" s="195">
        <f t="shared" si="5"/>
        <v>36865.927338781548</v>
      </c>
      <c r="AE56" s="195">
        <f t="shared" si="5"/>
        <v>26277.134978446073</v>
      </c>
      <c r="AF56" s="195">
        <f t="shared" si="5"/>
        <v>14070.852399667099</v>
      </c>
      <c r="AG56" s="196">
        <f t="shared" si="5"/>
        <v>0</v>
      </c>
      <c r="AH56" s="184"/>
    </row>
    <row r="57" spans="9:51" x14ac:dyDescent="0.3">
      <c r="I57" s="34" t="s">
        <v>339</v>
      </c>
      <c r="J57" s="200">
        <f>1/$J$56</f>
        <v>0.16220244449971</v>
      </c>
      <c r="M57" s="78"/>
      <c r="O57" s="78"/>
      <c r="P57" s="78"/>
      <c r="Q57" s="78"/>
      <c r="R57" s="78"/>
      <c r="S57" s="78"/>
      <c r="T57" s="78"/>
      <c r="U57" s="78"/>
      <c r="V57" s="78"/>
      <c r="W57" s="78"/>
      <c r="X57" s="78"/>
      <c r="Y57" s="78"/>
      <c r="Z57" s="78"/>
      <c r="AA57" s="78"/>
      <c r="AB57" s="78"/>
      <c r="AC57" s="78"/>
      <c r="AD57" s="78"/>
      <c r="AE57" s="78"/>
      <c r="AF57" s="78"/>
      <c r="AG57" s="78"/>
      <c r="AH57" s="184"/>
    </row>
    <row r="58" spans="9:51" ht="15" thickBot="1" x14ac:dyDescent="0.35">
      <c r="I58" s="34" t="s">
        <v>340</v>
      </c>
      <c r="J58" s="78">
        <f>$J$49*$J$57</f>
        <v>16220.244449971</v>
      </c>
      <c r="L58" s="6" t="s">
        <v>341</v>
      </c>
      <c r="M58" s="102">
        <f>SUM($N$53:$AG$53)</f>
        <v>224404.88899942001</v>
      </c>
      <c r="AH58" s="184"/>
    </row>
    <row r="59" spans="9:51" ht="15" thickBot="1" x14ac:dyDescent="0.35">
      <c r="I59" s="198" t="s">
        <v>341</v>
      </c>
      <c r="J59" s="197">
        <f>SUM($N$53:$AG$53)</f>
        <v>224404.88899942001</v>
      </c>
      <c r="K59" s="133"/>
      <c r="L59" s="133"/>
      <c r="M59" s="133"/>
      <c r="N59" s="133"/>
      <c r="O59" s="133"/>
      <c r="P59" s="133"/>
      <c r="Q59" s="133"/>
      <c r="R59" s="133"/>
      <c r="S59" s="133"/>
      <c r="T59" s="133"/>
      <c r="U59" s="133"/>
      <c r="V59" s="133"/>
      <c r="W59" s="133"/>
      <c r="X59" s="133"/>
      <c r="Y59" s="133"/>
      <c r="Z59" s="133"/>
      <c r="AA59" s="133"/>
      <c r="AB59" s="133"/>
      <c r="AC59" s="133"/>
      <c r="AD59" s="133"/>
      <c r="AE59" s="133"/>
      <c r="AF59" s="133"/>
      <c r="AG59" s="133"/>
      <c r="AH59" s="185"/>
    </row>
    <row r="61" spans="9:51" ht="15" thickBot="1" x14ac:dyDescent="0.35"/>
    <row r="62" spans="9:51" ht="18" x14ac:dyDescent="0.35">
      <c r="I62" s="522" t="s">
        <v>342</v>
      </c>
      <c r="J62" s="512"/>
      <c r="K62" s="183"/>
    </row>
    <row r="63" spans="9:51" x14ac:dyDescent="0.3">
      <c r="I63" s="34" t="s">
        <v>343</v>
      </c>
      <c r="J63" s="78">
        <v>300000</v>
      </c>
      <c r="K63" s="184"/>
    </row>
    <row r="64" spans="9:51" x14ac:dyDescent="0.3">
      <c r="I64" s="34" t="s">
        <v>344</v>
      </c>
      <c r="J64" s="78">
        <v>1000</v>
      </c>
      <c r="K64" s="184"/>
    </row>
    <row r="65" spans="9:11" x14ac:dyDescent="0.3">
      <c r="I65" s="34" t="s">
        <v>345</v>
      </c>
      <c r="J65" s="80">
        <v>0.06</v>
      </c>
      <c r="K65" s="184"/>
    </row>
    <row r="66" spans="9:11" x14ac:dyDescent="0.3">
      <c r="I66" s="34" t="s">
        <v>346</v>
      </c>
      <c r="J66" s="78">
        <f>$J$64*$J$65</f>
        <v>60</v>
      </c>
      <c r="K66" s="184"/>
    </row>
    <row r="67" spans="9:11" x14ac:dyDescent="0.3">
      <c r="I67" s="34" t="s">
        <v>347</v>
      </c>
      <c r="J67" s="78">
        <f>$J$64-$J$66</f>
        <v>940</v>
      </c>
      <c r="K67" s="184"/>
    </row>
    <row r="68" spans="9:11" x14ac:dyDescent="0.3">
      <c r="I68" s="34" t="s">
        <v>348</v>
      </c>
      <c r="J68" s="78">
        <f>($J$63/$J$64)*$J$67</f>
        <v>282000</v>
      </c>
      <c r="K68" s="184"/>
    </row>
    <row r="69" spans="9:11" x14ac:dyDescent="0.3">
      <c r="I69" s="34" t="s">
        <v>326</v>
      </c>
      <c r="J69">
        <v>20</v>
      </c>
      <c r="K69" s="184"/>
    </row>
    <row r="70" spans="9:11" x14ac:dyDescent="0.3">
      <c r="I70" s="34" t="s">
        <v>349</v>
      </c>
      <c r="J70" s="80">
        <v>0.1</v>
      </c>
      <c r="K70" s="184"/>
    </row>
    <row r="71" spans="9:11" x14ac:dyDescent="0.3">
      <c r="I71" s="201" t="s">
        <v>350</v>
      </c>
      <c r="J71" s="102">
        <f>$J$70*$J$63*$J$69</f>
        <v>600000</v>
      </c>
      <c r="K71" s="184"/>
    </row>
    <row r="72" spans="9:11" ht="15" thickBot="1" x14ac:dyDescent="0.35">
      <c r="I72" s="201" t="s">
        <v>351</v>
      </c>
      <c r="J72" s="102">
        <f>$J$66*($J$63/$J$64)</f>
        <v>18000</v>
      </c>
      <c r="K72" s="184"/>
    </row>
    <row r="73" spans="9:11" ht="15" thickBot="1" x14ac:dyDescent="0.35">
      <c r="I73" s="198" t="s">
        <v>352</v>
      </c>
      <c r="J73" s="197">
        <f>SUM($J$71:$J$72)</f>
        <v>618000</v>
      </c>
      <c r="K73" s="185"/>
    </row>
    <row r="75" spans="9:11" ht="15" thickBot="1" x14ac:dyDescent="0.35"/>
    <row r="76" spans="9:11" ht="18" x14ac:dyDescent="0.3">
      <c r="I76" s="219" t="s">
        <v>353</v>
      </c>
      <c r="J76" s="157"/>
      <c r="K76" s="183"/>
    </row>
    <row r="77" spans="9:11" ht="18" x14ac:dyDescent="0.3">
      <c r="I77" s="220" t="s">
        <v>354</v>
      </c>
      <c r="J77">
        <v>20</v>
      </c>
      <c r="K77" s="184"/>
    </row>
    <row r="78" spans="9:11" x14ac:dyDescent="0.3">
      <c r="I78" s="34" t="s">
        <v>355</v>
      </c>
      <c r="J78" s="118">
        <v>0.35</v>
      </c>
      <c r="K78" s="184"/>
    </row>
    <row r="79" spans="9:11" x14ac:dyDescent="0.3">
      <c r="I79" s="34" t="s">
        <v>356</v>
      </c>
      <c r="J79" s="80">
        <f>$J$36/$J$38</f>
        <v>0.25</v>
      </c>
      <c r="K79" s="184"/>
    </row>
    <row r="80" spans="9:11" x14ac:dyDescent="0.3">
      <c r="I80" s="34"/>
      <c r="K80" s="184"/>
    </row>
    <row r="81" spans="9:11" x14ac:dyDescent="0.3">
      <c r="I81" s="34" t="s">
        <v>357</v>
      </c>
      <c r="J81" s="186">
        <f>$J$53</f>
        <v>0.15275492836203397</v>
      </c>
      <c r="K81" s="166"/>
    </row>
    <row r="82" spans="9:11" x14ac:dyDescent="0.3">
      <c r="I82" s="34" t="s">
        <v>358</v>
      </c>
      <c r="J82" s="186">
        <f>$J81*(1-$J$78)</f>
        <v>9.9290703435322078E-2</v>
      </c>
      <c r="K82" s="166"/>
    </row>
    <row r="83" spans="9:11" x14ac:dyDescent="0.3">
      <c r="I83" s="34"/>
      <c r="J83" s="186"/>
      <c r="K83" s="166"/>
    </row>
    <row r="84" spans="9:11" x14ac:dyDescent="0.3">
      <c r="I84" s="34"/>
      <c r="K84" s="184"/>
    </row>
    <row r="85" spans="9:11" x14ac:dyDescent="0.3">
      <c r="I85" s="34"/>
      <c r="K85" s="184"/>
    </row>
    <row r="86" spans="9:11" x14ac:dyDescent="0.3">
      <c r="I86" s="34" t="s">
        <v>359</v>
      </c>
      <c r="J86" s="221">
        <f>$J$114</f>
        <v>0.10752</v>
      </c>
      <c r="K86" s="184"/>
    </row>
    <row r="87" spans="9:11" x14ac:dyDescent="0.3">
      <c r="I87" s="34" t="s">
        <v>360</v>
      </c>
      <c r="J87" s="186">
        <f>$J86*(1-$J$78)</f>
        <v>6.9888000000000006E-2</v>
      </c>
      <c r="K87" s="184"/>
    </row>
    <row r="88" spans="9:11" ht="15" thickBot="1" x14ac:dyDescent="0.35">
      <c r="I88" s="34"/>
      <c r="K88" s="184"/>
    </row>
    <row r="89" spans="9:11" ht="15" thickBot="1" x14ac:dyDescent="0.35">
      <c r="I89" s="209" t="s">
        <v>361</v>
      </c>
      <c r="J89" s="210">
        <f>ROUND(($J$79*$J$82+(1-$J$79)*$J$87),5)</f>
        <v>7.7240000000000003E-2</v>
      </c>
      <c r="K89" s="184"/>
    </row>
    <row r="90" spans="9:11" x14ac:dyDescent="0.3">
      <c r="I90" s="34"/>
      <c r="K90" s="184"/>
    </row>
    <row r="91" spans="9:11" x14ac:dyDescent="0.3">
      <c r="I91" s="34" t="s">
        <v>362</v>
      </c>
      <c r="J91">
        <v>940</v>
      </c>
      <c r="K91" s="184"/>
    </row>
    <row r="92" spans="9:11" x14ac:dyDescent="0.3">
      <c r="I92" s="34" t="s">
        <v>363</v>
      </c>
      <c r="J92" s="78">
        <f>$J$64</f>
        <v>1000</v>
      </c>
      <c r="K92" s="184"/>
    </row>
    <row r="93" spans="9:11" x14ac:dyDescent="0.3">
      <c r="I93" s="34"/>
      <c r="K93" s="184"/>
    </row>
    <row r="94" spans="9:11" x14ac:dyDescent="0.3">
      <c r="I94" s="34"/>
      <c r="K94" s="184"/>
    </row>
    <row r="95" spans="9:11" x14ac:dyDescent="0.3">
      <c r="I95" s="34"/>
      <c r="K95" s="184"/>
    </row>
    <row r="96" spans="9:11" x14ac:dyDescent="0.3">
      <c r="I96" s="34"/>
      <c r="K96" s="184"/>
    </row>
    <row r="97" spans="9:11" x14ac:dyDescent="0.3">
      <c r="I97" s="34" t="s">
        <v>364</v>
      </c>
      <c r="J97" s="80">
        <v>0.1</v>
      </c>
      <c r="K97" s="184"/>
    </row>
    <row r="98" spans="9:11" x14ac:dyDescent="0.3">
      <c r="I98" s="34" t="s">
        <v>365</v>
      </c>
      <c r="J98" s="179">
        <f>POWER(1+$J97,$J$77)</f>
        <v>6.7274999493256091</v>
      </c>
      <c r="K98" s="184"/>
    </row>
    <row r="99" spans="9:11" x14ac:dyDescent="0.3">
      <c r="I99" s="34" t="s">
        <v>366</v>
      </c>
      <c r="J99" s="179">
        <f>ROUND(($J98-1)/($J98*$J97),2)</f>
        <v>8.51</v>
      </c>
      <c r="K99" s="184"/>
    </row>
    <row r="100" spans="9:11" x14ac:dyDescent="0.3">
      <c r="I100" s="34" t="s">
        <v>367</v>
      </c>
      <c r="J100" s="222">
        <f>ROUND((POWER(1+$J97,-$J$77)),4)</f>
        <v>0.14860000000000001</v>
      </c>
      <c r="K100" s="184"/>
    </row>
    <row r="101" spans="9:11" x14ac:dyDescent="0.3">
      <c r="I101" s="34" t="s">
        <v>368</v>
      </c>
      <c r="J101" s="223">
        <f>100*$J99</f>
        <v>851</v>
      </c>
      <c r="K101" s="184"/>
    </row>
    <row r="102" spans="9:11" x14ac:dyDescent="0.3">
      <c r="I102" s="34" t="s">
        <v>369</v>
      </c>
      <c r="J102" s="78">
        <f>$J$92*$J100</f>
        <v>148.60000000000002</v>
      </c>
      <c r="K102" s="184"/>
    </row>
    <row r="103" spans="9:11" x14ac:dyDescent="0.3">
      <c r="I103" s="34" t="str">
        <f>_xlfn.CONCAT("PE(",J97*100,"%)")</f>
        <v>PE(10%)</v>
      </c>
      <c r="J103" s="223">
        <f>SUM(J101:J102)</f>
        <v>999.6</v>
      </c>
      <c r="K103" s="184"/>
    </row>
    <row r="104" spans="9:11" x14ac:dyDescent="0.3">
      <c r="I104" s="34"/>
      <c r="K104" s="184"/>
    </row>
    <row r="105" spans="9:11" x14ac:dyDescent="0.3">
      <c r="I105" s="34"/>
      <c r="K105" s="184"/>
    </row>
    <row r="106" spans="9:11" x14ac:dyDescent="0.3">
      <c r="I106" s="34" t="s">
        <v>370</v>
      </c>
      <c r="J106" s="80">
        <v>0.11</v>
      </c>
      <c r="K106" s="184"/>
    </row>
    <row r="107" spans="9:11" x14ac:dyDescent="0.3">
      <c r="I107" s="34" t="s">
        <v>365</v>
      </c>
      <c r="J107" s="179">
        <f>POWER(1+$J106,$J$77)</f>
        <v>8.0623115361291529</v>
      </c>
      <c r="K107" s="184"/>
    </row>
    <row r="108" spans="9:11" x14ac:dyDescent="0.3">
      <c r="I108" s="34" t="s">
        <v>366</v>
      </c>
      <c r="J108" s="179">
        <f>ROUND(($J107-1)/($J107*$J106),4)</f>
        <v>7.9633000000000003</v>
      </c>
      <c r="K108" s="184"/>
    </row>
    <row r="109" spans="9:11" x14ac:dyDescent="0.3">
      <c r="I109" s="34" t="s">
        <v>367</v>
      </c>
      <c r="J109" s="222">
        <f>ROUND((POWER(1+$J106,-$J$77)),4)</f>
        <v>0.124</v>
      </c>
      <c r="K109" s="184"/>
    </row>
    <row r="110" spans="9:11" x14ac:dyDescent="0.3">
      <c r="I110" s="34" t="s">
        <v>368</v>
      </c>
      <c r="J110" s="223">
        <f>100*$J108</f>
        <v>796.33</v>
      </c>
      <c r="K110" s="184"/>
    </row>
    <row r="111" spans="9:11" x14ac:dyDescent="0.3">
      <c r="I111" s="34" t="s">
        <v>369</v>
      </c>
      <c r="J111" s="78">
        <f>$J$92*$J109</f>
        <v>124</v>
      </c>
      <c r="K111" s="184"/>
    </row>
    <row r="112" spans="9:11" x14ac:dyDescent="0.3">
      <c r="I112" s="34" t="str">
        <f>_xlfn.CONCAT("PE(",J106*100,"%)")</f>
        <v>PE(11%)</v>
      </c>
      <c r="J112" s="223">
        <f>SUM(J110:J111)</f>
        <v>920.33</v>
      </c>
      <c r="K112" s="184"/>
    </row>
    <row r="113" spans="9:11" x14ac:dyDescent="0.3">
      <c r="I113" s="34"/>
      <c r="K113" s="184"/>
    </row>
    <row r="114" spans="9:11" x14ac:dyDescent="0.3">
      <c r="I114" s="34" t="s">
        <v>371</v>
      </c>
      <c r="J114" s="221">
        <f>ROUND($J$97+($J$106-$J$97)*($J$103-$J$91)/($J$103-$J$112),5)</f>
        <v>0.10752</v>
      </c>
      <c r="K114" s="184"/>
    </row>
    <row r="115" spans="9:11" x14ac:dyDescent="0.3">
      <c r="I115" s="34"/>
      <c r="K115" s="184"/>
    </row>
    <row r="116" spans="9:11" ht="15" thickBot="1" x14ac:dyDescent="0.35">
      <c r="I116" s="35" t="s">
        <v>361</v>
      </c>
      <c r="J116" s="254">
        <f>ROUND($J$79*$J$82+(1-$J$79)*$J$87,5)</f>
        <v>7.7240000000000003E-2</v>
      </c>
      <c r="K116" s="185"/>
    </row>
    <row r="144" spans="8:51" x14ac:dyDescent="0.3">
      <c r="H144" s="228"/>
      <c r="I144" s="228"/>
      <c r="J144" s="228"/>
      <c r="K144" s="228"/>
      <c r="L144" s="228"/>
      <c r="M144" s="228"/>
      <c r="N144" s="228"/>
      <c r="O144" s="228"/>
      <c r="P144" s="228"/>
      <c r="Q144" s="228"/>
      <c r="R144" s="228"/>
      <c r="S144" s="228"/>
      <c r="T144" s="228"/>
      <c r="U144" s="228"/>
      <c r="V144" s="228"/>
      <c r="W144" s="228"/>
      <c r="X144" s="228"/>
      <c r="Y144" s="228"/>
      <c r="Z144" s="228"/>
      <c r="AA144" s="228"/>
      <c r="AB144" s="228"/>
      <c r="AC144" s="228"/>
      <c r="AD144" s="228"/>
      <c r="AE144" s="228"/>
      <c r="AF144" s="228"/>
      <c r="AG144" s="228"/>
      <c r="AH144" s="228"/>
      <c r="AI144" s="228"/>
      <c r="AJ144" s="228"/>
      <c r="AK144" s="228"/>
      <c r="AL144" s="228"/>
      <c r="AM144" s="228"/>
      <c r="AN144" s="228"/>
      <c r="AO144" s="228"/>
      <c r="AP144" s="228"/>
      <c r="AQ144" s="228"/>
      <c r="AR144" s="228"/>
      <c r="AS144" s="228"/>
      <c r="AT144" s="228"/>
      <c r="AU144" s="228"/>
      <c r="AV144" s="228"/>
      <c r="AW144" s="228"/>
      <c r="AX144" s="228"/>
      <c r="AY144" s="228"/>
    </row>
    <row r="145" spans="8:51" x14ac:dyDescent="0.3">
      <c r="H145" s="228"/>
      <c r="I145" s="228"/>
      <c r="J145" s="228"/>
      <c r="K145" s="228"/>
      <c r="L145" s="228"/>
      <c r="M145" s="228"/>
      <c r="N145" s="228"/>
      <c r="O145" s="228"/>
      <c r="P145" s="228"/>
      <c r="Q145" s="228"/>
      <c r="R145" s="228"/>
      <c r="S145" s="228"/>
      <c r="T145" s="228"/>
      <c r="U145" s="228"/>
      <c r="V145" s="228"/>
      <c r="W145" s="228"/>
      <c r="X145" s="228"/>
      <c r="Y145" s="228"/>
      <c r="Z145" s="228"/>
      <c r="AA145" s="228"/>
      <c r="AB145" s="228"/>
      <c r="AC145" s="228"/>
      <c r="AD145" s="228"/>
      <c r="AE145" s="228"/>
      <c r="AF145" s="228"/>
      <c r="AG145" s="228"/>
      <c r="AH145" s="228"/>
      <c r="AI145" s="228"/>
      <c r="AJ145" s="228"/>
      <c r="AK145" s="228"/>
      <c r="AL145" s="228"/>
      <c r="AM145" s="228"/>
      <c r="AN145" s="228"/>
      <c r="AO145" s="228"/>
      <c r="AP145" s="228"/>
      <c r="AQ145" s="228"/>
      <c r="AR145" s="228"/>
      <c r="AS145" s="228"/>
      <c r="AT145" s="228"/>
      <c r="AU145" s="228"/>
      <c r="AV145" s="228"/>
      <c r="AW145" s="228"/>
      <c r="AX145" s="228"/>
      <c r="AY145" s="228"/>
    </row>
    <row r="151" spans="8:51" x14ac:dyDescent="0.3">
      <c r="H151" s="433"/>
      <c r="I151" s="433"/>
      <c r="J151" s="433"/>
      <c r="K151" s="433"/>
      <c r="L151" s="433"/>
      <c r="M151" s="433"/>
      <c r="N151" s="433"/>
      <c r="O151" s="433"/>
    </row>
    <row r="152" spans="8:51" ht="15" thickBot="1" x14ac:dyDescent="0.35">
      <c r="H152" s="433"/>
      <c r="I152" s="280" t="s">
        <v>64</v>
      </c>
      <c r="J152" s="280" t="s">
        <v>306</v>
      </c>
      <c r="K152" s="280" t="s">
        <v>307</v>
      </c>
      <c r="L152" s="253" t="s">
        <v>372</v>
      </c>
      <c r="M152" s="253" t="s">
        <v>373</v>
      </c>
      <c r="N152" s="253" t="s">
        <v>374</v>
      </c>
      <c r="O152" s="433"/>
    </row>
    <row r="153" spans="8:51" x14ac:dyDescent="0.3">
      <c r="H153" s="433"/>
      <c r="I153" s="277" t="s">
        <v>314</v>
      </c>
      <c r="J153" s="224">
        <v>100000</v>
      </c>
      <c r="K153" s="225">
        <f t="shared" ref="K153:K158" si="6">$J153/$J$43</f>
        <v>9.0909090909090912E-2</v>
      </c>
      <c r="L153" s="80">
        <f>$J$53</f>
        <v>0.15275492836203397</v>
      </c>
      <c r="M153" s="80">
        <f>ROUND(L153*(1-$J$78),5)</f>
        <v>9.9290000000000003E-2</v>
      </c>
      <c r="N153" s="80">
        <f>$M153*K153</f>
        <v>9.0263636363636362E-3</v>
      </c>
      <c r="O153" s="433"/>
    </row>
    <row r="154" spans="8:51" ht="28.8" x14ac:dyDescent="0.3">
      <c r="H154" s="433"/>
      <c r="I154" s="278" t="s">
        <v>315</v>
      </c>
      <c r="J154" s="226">
        <v>300000</v>
      </c>
      <c r="K154" s="227">
        <f t="shared" si="6"/>
        <v>0.27272727272727271</v>
      </c>
      <c r="L154" s="80">
        <f>$J$114</f>
        <v>0.10752</v>
      </c>
      <c r="M154" s="80">
        <f t="shared" ref="M154:M155" si="7">ROUND(L154*(1-$J$78),5)</f>
        <v>6.9889999999999994E-2</v>
      </c>
      <c r="N154" s="80">
        <f>$M154*K154</f>
        <v>1.9060909090909087E-2</v>
      </c>
      <c r="O154" s="433"/>
    </row>
    <row r="155" spans="8:51" ht="15" thickBot="1" x14ac:dyDescent="0.35">
      <c r="H155" s="433"/>
      <c r="I155" s="279" t="s">
        <v>375</v>
      </c>
      <c r="J155" s="289">
        <f>SUM(J153:J154)</f>
        <v>400000</v>
      </c>
      <c r="K155" s="282">
        <f t="shared" si="6"/>
        <v>0.36363636363636365</v>
      </c>
      <c r="L155" s="306">
        <f>J153/Table2[[#This Row],[Montant ($)]]*L153+J154/Table2[[#This Row],[Montant ($)]]*L154</f>
        <v>0.1188287320905085</v>
      </c>
      <c r="M155" s="80">
        <f t="shared" si="7"/>
        <v>7.7240000000000003E-2</v>
      </c>
      <c r="N155" s="304">
        <f>SUM(N153:N154)</f>
        <v>2.8087272727272725E-2</v>
      </c>
      <c r="O155" s="433"/>
    </row>
    <row r="156" spans="8:51" x14ac:dyDescent="0.3">
      <c r="H156" s="433"/>
      <c r="I156" s="292" t="s">
        <v>317</v>
      </c>
      <c r="J156" s="296">
        <v>116900</v>
      </c>
      <c r="K156" s="301">
        <f t="shared" si="6"/>
        <v>0.10627272727272727</v>
      </c>
      <c r="L156" s="163">
        <f>H175</f>
        <v>0.20500000000000002</v>
      </c>
      <c r="M156" s="163">
        <f>Table2[[#This Row],[Cout avant impots]]</f>
        <v>0.20500000000000002</v>
      </c>
      <c r="N156" s="165">
        <f>K156*Table2[[#This Row],[Cout après]]</f>
        <v>2.1785909090909092E-2</v>
      </c>
      <c r="O156" s="433"/>
    </row>
    <row r="157" spans="8:51" x14ac:dyDescent="0.3">
      <c r="H157" s="433"/>
      <c r="I157" s="293" t="s">
        <v>318</v>
      </c>
      <c r="J157" s="297">
        <v>466200</v>
      </c>
      <c r="K157" s="302">
        <f t="shared" si="6"/>
        <v>0.42381818181818182</v>
      </c>
      <c r="L157" s="80">
        <f>H182</f>
        <v>0.22269406392694063</v>
      </c>
      <c r="M157" s="80">
        <f>Table2[[#This Row],[Cout avant impots]]</f>
        <v>0.22269406392694063</v>
      </c>
      <c r="N157" s="166">
        <f>K157*Table2[[#This Row],[Cout après]]</f>
        <v>9.4381793275217923E-2</v>
      </c>
      <c r="O157" s="433"/>
    </row>
    <row r="158" spans="8:51" x14ac:dyDescent="0.3">
      <c r="H158" s="433"/>
      <c r="I158" s="294" t="s">
        <v>319</v>
      </c>
      <c r="J158" s="298">
        <v>116900</v>
      </c>
      <c r="K158" s="303">
        <f t="shared" si="6"/>
        <v>0.10627272727272727</v>
      </c>
      <c r="L158" s="80">
        <f>H190</f>
        <v>0.1007838745800672</v>
      </c>
      <c r="M158" s="80">
        <f>Table2[[#This Row],[Cout avant impots]]</f>
        <v>0.1007838745800672</v>
      </c>
      <c r="N158" s="166">
        <f>K158*Table2[[#This Row],[Cout après]]</f>
        <v>1.0710577216736232E-2</v>
      </c>
      <c r="O158" s="433"/>
    </row>
    <row r="159" spans="8:51" ht="15" thickBot="1" x14ac:dyDescent="0.35">
      <c r="H159" s="433"/>
      <c r="I159" s="295" t="s">
        <v>376</v>
      </c>
      <c r="J159" s="299">
        <v>700000</v>
      </c>
      <c r="K159" s="300">
        <f>$J159/$J$43</f>
        <v>0.63636363636363635</v>
      </c>
      <c r="L159" s="307">
        <f>J156/Table2[[#This Row],[Montant ($)]]*L156+J157/Table2[[#This Row],[Montant ($)]]*L157+J158/Table2[[#This Row],[Montant ($)]]*L158</f>
        <v>0.19938015363021372</v>
      </c>
      <c r="M159" s="164">
        <f>Table2[[#This Row],[Cout avant impots]]</f>
        <v>0.19938015363021372</v>
      </c>
      <c r="N159" s="305">
        <f>SUM(N156:N158)</f>
        <v>0.12687827958286324</v>
      </c>
      <c r="O159" s="433"/>
    </row>
    <row r="160" spans="8:51" ht="15" thickBot="1" x14ac:dyDescent="0.35">
      <c r="H160" s="433"/>
      <c r="I160" s="283" t="s">
        <v>322</v>
      </c>
      <c r="J160" s="290">
        <f>SUM(J156:J158,J153:J154)</f>
        <v>1100000</v>
      </c>
      <c r="K160" s="291">
        <v>1</v>
      </c>
      <c r="L160" s="164"/>
      <c r="M160" s="80"/>
      <c r="N160" s="167">
        <f>SUM(N155,N159)</f>
        <v>0.15496555231013598</v>
      </c>
      <c r="O160" s="433"/>
    </row>
    <row r="161" spans="7:510" x14ac:dyDescent="0.3">
      <c r="H161" s="433"/>
      <c r="I161" s="433"/>
      <c r="J161" s="433"/>
      <c r="K161" s="433"/>
      <c r="L161" s="433"/>
      <c r="M161" s="433"/>
      <c r="N161" s="433"/>
      <c r="O161" s="433"/>
    </row>
    <row r="163" spans="7:510" x14ac:dyDescent="0.3">
      <c r="L163" t="s">
        <v>377</v>
      </c>
      <c r="M163" s="221">
        <f>$J$116</f>
        <v>7.7240000000000003E-2</v>
      </c>
    </row>
    <row r="164" spans="7:510" x14ac:dyDescent="0.3">
      <c r="L164" t="s">
        <v>378</v>
      </c>
      <c r="M164" s="186">
        <f>H199</f>
        <v>0.19938015363021366</v>
      </c>
    </row>
    <row r="167" spans="7:510" x14ac:dyDescent="0.3">
      <c r="G167" s="228"/>
      <c r="H167" s="228"/>
      <c r="I167" s="228"/>
      <c r="J167" s="228"/>
      <c r="K167" s="228"/>
      <c r="L167" s="228"/>
      <c r="M167" s="228"/>
      <c r="N167" s="228"/>
      <c r="O167" s="228"/>
      <c r="P167" s="228"/>
      <c r="Q167" s="228"/>
      <c r="R167" s="228"/>
      <c r="S167" s="228"/>
      <c r="T167" s="228"/>
      <c r="U167" s="228"/>
      <c r="V167" s="228"/>
      <c r="W167" s="228"/>
      <c r="X167" s="228"/>
      <c r="Y167" s="228"/>
      <c r="Z167" s="228"/>
      <c r="AA167" s="228"/>
      <c r="AB167" s="228"/>
      <c r="AC167" s="228"/>
      <c r="AD167" s="228"/>
      <c r="AE167" s="228"/>
      <c r="AF167" s="228"/>
      <c r="AG167" s="228"/>
      <c r="AH167" s="228"/>
      <c r="AI167" s="228"/>
      <c r="AJ167" s="228"/>
      <c r="AK167" s="228"/>
      <c r="AL167" s="228"/>
      <c r="AM167" s="228"/>
      <c r="AN167" s="228"/>
      <c r="AO167" s="228"/>
      <c r="AP167" s="228"/>
      <c r="AQ167" s="228"/>
      <c r="AR167" s="228"/>
      <c r="AS167" s="228"/>
      <c r="AT167" s="228"/>
      <c r="AU167" s="228"/>
      <c r="AV167" s="228"/>
      <c r="AW167" s="228"/>
      <c r="AX167" s="228"/>
      <c r="AY167" s="228"/>
      <c r="AZ167" s="228"/>
      <c r="BA167" s="228"/>
      <c r="BB167" s="228"/>
      <c r="BC167" s="228"/>
      <c r="BD167" s="228"/>
      <c r="BE167" s="228"/>
      <c r="BF167" s="228"/>
      <c r="BG167" s="228"/>
      <c r="BH167" s="228"/>
      <c r="BI167" s="228"/>
      <c r="BJ167" s="228"/>
      <c r="BK167" s="228"/>
      <c r="BL167" s="228"/>
      <c r="BM167" s="228"/>
      <c r="BN167" s="228"/>
      <c r="BO167" s="228"/>
      <c r="BP167" s="228"/>
      <c r="BQ167" s="228"/>
      <c r="BR167" s="228"/>
      <c r="BS167" s="228"/>
      <c r="BT167" s="228"/>
      <c r="BU167" s="228"/>
      <c r="BV167" s="228"/>
      <c r="BW167" s="228"/>
      <c r="BX167" s="228"/>
      <c r="BY167" s="228"/>
      <c r="BZ167" s="228"/>
      <c r="CA167" s="228"/>
      <c r="CB167" s="228"/>
      <c r="CC167" s="228"/>
      <c r="CD167" s="228"/>
      <c r="CE167" s="228"/>
      <c r="CF167" s="228"/>
      <c r="CG167" s="228"/>
      <c r="CH167" s="228"/>
      <c r="CI167" s="228"/>
      <c r="CJ167" s="228"/>
      <c r="CK167" s="228"/>
      <c r="CL167" s="228"/>
      <c r="CM167" s="228"/>
      <c r="CN167" s="228"/>
      <c r="CO167" s="228"/>
      <c r="CP167" s="228"/>
      <c r="CQ167" s="228"/>
      <c r="CR167" s="228"/>
      <c r="CS167" s="228"/>
      <c r="CT167" s="228"/>
      <c r="CU167" s="228"/>
      <c r="CV167" s="228"/>
      <c r="CW167" s="228"/>
      <c r="CX167" s="228"/>
      <c r="CY167" s="228"/>
      <c r="CZ167" s="228"/>
      <c r="DA167" s="228"/>
      <c r="DB167" s="228"/>
      <c r="DC167" s="228"/>
      <c r="DD167" s="228"/>
      <c r="DE167" s="228"/>
      <c r="DF167" s="228"/>
      <c r="DG167" s="228"/>
      <c r="DH167" s="228"/>
      <c r="DI167" s="228"/>
      <c r="DJ167" s="228"/>
      <c r="DK167" s="228"/>
      <c r="DL167" s="228"/>
      <c r="DM167" s="228"/>
      <c r="DN167" s="228"/>
      <c r="DO167" s="228"/>
      <c r="DP167" s="228"/>
      <c r="DQ167" s="228"/>
      <c r="DR167" s="228"/>
      <c r="DS167" s="228"/>
      <c r="DT167" s="228"/>
      <c r="DU167" s="228"/>
      <c r="DV167" s="228"/>
      <c r="DW167" s="228"/>
      <c r="DX167" s="228"/>
      <c r="DY167" s="228"/>
      <c r="DZ167" s="228"/>
      <c r="EA167" s="228"/>
      <c r="EB167" s="228"/>
      <c r="EC167" s="228"/>
      <c r="ED167" s="228"/>
      <c r="EE167" s="228"/>
      <c r="EF167" s="228"/>
      <c r="EG167" s="228"/>
      <c r="EH167" s="228"/>
      <c r="EI167" s="228"/>
      <c r="EJ167" s="228"/>
      <c r="EK167" s="228"/>
      <c r="EL167" s="228"/>
      <c r="EM167" s="228"/>
      <c r="EN167" s="228"/>
      <c r="EO167" s="228"/>
      <c r="EP167" s="228"/>
      <c r="EQ167" s="228"/>
      <c r="ER167" s="228"/>
      <c r="ES167" s="228"/>
      <c r="ET167" s="228"/>
      <c r="EU167" s="228"/>
      <c r="EV167" s="228"/>
      <c r="EW167" s="228"/>
      <c r="EX167" s="228"/>
      <c r="EY167" s="228"/>
      <c r="EZ167" s="228"/>
      <c r="FA167" s="228"/>
      <c r="FB167" s="228"/>
      <c r="FC167" s="228"/>
      <c r="FD167" s="228"/>
      <c r="FE167" s="228"/>
      <c r="FF167" s="228"/>
      <c r="FG167" s="228"/>
      <c r="FH167" s="228"/>
      <c r="FI167" s="228"/>
      <c r="FJ167" s="228"/>
      <c r="FK167" s="228"/>
      <c r="FL167" s="228"/>
      <c r="FM167" s="228"/>
      <c r="FN167" s="228"/>
      <c r="FO167" s="228"/>
      <c r="FP167" s="228"/>
      <c r="FQ167" s="228"/>
      <c r="FR167" s="228"/>
      <c r="FS167" s="228"/>
      <c r="FT167" s="228"/>
      <c r="FU167" s="228"/>
      <c r="FV167" s="228"/>
      <c r="FW167" s="228"/>
      <c r="FX167" s="228"/>
      <c r="FY167" s="228"/>
      <c r="FZ167" s="228"/>
      <c r="GA167" s="228"/>
      <c r="GB167" s="228"/>
      <c r="GC167" s="228"/>
      <c r="GD167" s="228"/>
      <c r="GE167" s="228"/>
      <c r="GF167" s="228"/>
      <c r="GG167" s="228"/>
      <c r="GH167" s="228"/>
      <c r="GI167" s="228"/>
      <c r="GJ167" s="228"/>
      <c r="GK167" s="228"/>
      <c r="GL167" s="228"/>
      <c r="GM167" s="228"/>
      <c r="GN167" s="228"/>
      <c r="GO167" s="228"/>
      <c r="GP167" s="228"/>
      <c r="GQ167" s="228"/>
      <c r="GR167" s="228"/>
      <c r="GS167" s="228"/>
      <c r="GT167" s="228"/>
      <c r="GU167" s="228"/>
      <c r="GV167" s="228"/>
      <c r="GW167" s="228"/>
      <c r="GX167" s="228"/>
      <c r="GY167" s="228"/>
      <c r="GZ167" s="228"/>
      <c r="HA167" s="228"/>
      <c r="HB167" s="228"/>
      <c r="HC167" s="228"/>
      <c r="HD167" s="228"/>
      <c r="HE167" s="228"/>
      <c r="HF167" s="228"/>
      <c r="HG167" s="228"/>
      <c r="HH167" s="228"/>
      <c r="HI167" s="228"/>
      <c r="HJ167" s="228"/>
      <c r="HK167" s="228"/>
      <c r="HL167" s="228"/>
      <c r="HM167" s="228"/>
      <c r="HN167" s="228"/>
      <c r="HO167" s="228"/>
      <c r="HP167" s="228"/>
      <c r="HQ167" s="228"/>
      <c r="HR167" s="228"/>
      <c r="HS167" s="228"/>
      <c r="HT167" s="228"/>
      <c r="HU167" s="228"/>
      <c r="HV167" s="228"/>
      <c r="HW167" s="228"/>
      <c r="HX167" s="228"/>
      <c r="HY167" s="228"/>
      <c r="HZ167" s="228"/>
      <c r="IA167" s="228"/>
      <c r="IB167" s="228"/>
      <c r="IC167" s="228"/>
      <c r="ID167" s="228"/>
      <c r="IE167" s="228"/>
      <c r="IF167" s="228"/>
      <c r="IG167" s="228"/>
      <c r="IH167" s="228"/>
      <c r="II167" s="228"/>
      <c r="IJ167" s="228"/>
      <c r="IK167" s="228"/>
      <c r="IL167" s="228"/>
      <c r="IM167" s="228"/>
      <c r="IN167" s="228"/>
      <c r="IO167" s="228"/>
      <c r="IP167" s="228"/>
      <c r="IQ167" s="228"/>
      <c r="IR167" s="228"/>
      <c r="IS167" s="228"/>
      <c r="IT167" s="228"/>
      <c r="IU167" s="228"/>
      <c r="IV167" s="228"/>
      <c r="IW167" s="228"/>
      <c r="IX167" s="228"/>
      <c r="IY167" s="228"/>
      <c r="IZ167" s="228"/>
      <c r="JA167" s="228"/>
      <c r="JB167" s="228"/>
      <c r="JC167" s="228"/>
      <c r="JD167" s="228"/>
      <c r="JE167" s="228"/>
      <c r="JF167" s="228"/>
      <c r="JG167" s="228"/>
      <c r="JH167" s="228"/>
      <c r="JI167" s="228"/>
      <c r="JJ167" s="228"/>
      <c r="JK167" s="228"/>
      <c r="JL167" s="228"/>
      <c r="JM167" s="228"/>
      <c r="JN167" s="228"/>
      <c r="JO167" s="228"/>
      <c r="JP167" s="228"/>
      <c r="JQ167" s="228"/>
      <c r="JR167" s="228"/>
      <c r="JS167" s="228"/>
      <c r="JT167" s="228"/>
      <c r="JU167" s="228"/>
      <c r="JV167" s="228"/>
      <c r="JW167" s="228"/>
      <c r="JX167" s="228"/>
      <c r="JY167" s="228"/>
      <c r="JZ167" s="228"/>
      <c r="KA167" s="228"/>
      <c r="KB167" s="228"/>
      <c r="KC167" s="228"/>
      <c r="KD167" s="228"/>
      <c r="KE167" s="228"/>
      <c r="KF167" s="228"/>
      <c r="KG167" s="228"/>
      <c r="KH167" s="228"/>
      <c r="KI167" s="228"/>
      <c r="KJ167" s="228"/>
      <c r="KK167" s="228"/>
      <c r="KL167" s="228"/>
      <c r="KM167" s="228"/>
      <c r="KN167" s="228"/>
      <c r="KO167" s="228"/>
      <c r="KP167" s="228"/>
      <c r="KQ167" s="228"/>
      <c r="KR167" s="228"/>
      <c r="KS167" s="228"/>
      <c r="KT167" s="228"/>
      <c r="KU167" s="228"/>
      <c r="KV167" s="228"/>
      <c r="KW167" s="228"/>
      <c r="KX167" s="228"/>
      <c r="KY167" s="228"/>
      <c r="KZ167" s="228"/>
      <c r="LA167" s="228"/>
      <c r="LB167" s="228"/>
      <c r="LC167" s="228"/>
      <c r="LD167" s="228"/>
      <c r="LE167" s="228"/>
      <c r="LF167" s="228"/>
      <c r="LG167" s="228"/>
      <c r="LH167" s="228"/>
      <c r="LI167" s="228"/>
      <c r="LJ167" s="228"/>
      <c r="LK167" s="228"/>
      <c r="LL167" s="228"/>
      <c r="LM167" s="228"/>
      <c r="LN167" s="228"/>
      <c r="LO167" s="228"/>
      <c r="LP167" s="228"/>
      <c r="LQ167" s="228"/>
      <c r="LR167" s="228"/>
      <c r="LS167" s="228"/>
      <c r="LT167" s="228"/>
      <c r="LU167" s="228"/>
      <c r="LV167" s="228"/>
      <c r="LW167" s="228"/>
      <c r="LX167" s="228"/>
      <c r="LY167" s="228"/>
      <c r="LZ167" s="228"/>
      <c r="MA167" s="228"/>
      <c r="MB167" s="228"/>
      <c r="MC167" s="228"/>
      <c r="MD167" s="228"/>
      <c r="ME167" s="228"/>
      <c r="MF167" s="228"/>
      <c r="MG167" s="228"/>
      <c r="MH167" s="228"/>
      <c r="MI167" s="228"/>
      <c r="MJ167" s="228"/>
      <c r="MK167" s="228"/>
      <c r="ML167" s="228"/>
      <c r="MM167" s="228"/>
      <c r="MN167" s="228"/>
      <c r="MO167" s="228"/>
      <c r="MP167" s="228"/>
      <c r="MQ167" s="228"/>
      <c r="MR167" s="228"/>
      <c r="MS167" s="228"/>
      <c r="MT167" s="228"/>
      <c r="MU167" s="228"/>
      <c r="MV167" s="228"/>
      <c r="MW167" s="228"/>
      <c r="MX167" s="228"/>
      <c r="MY167" s="228"/>
      <c r="MZ167" s="228"/>
      <c r="NA167" s="228"/>
      <c r="NB167" s="228"/>
      <c r="NC167" s="228"/>
      <c r="ND167" s="228"/>
      <c r="NE167" s="228"/>
      <c r="NF167" s="228"/>
      <c r="NG167" s="228"/>
      <c r="NH167" s="228"/>
      <c r="NI167" s="228"/>
      <c r="NJ167" s="228"/>
      <c r="NK167" s="228"/>
      <c r="NL167" s="228"/>
      <c r="NM167" s="228"/>
      <c r="NN167" s="228"/>
      <c r="NO167" s="228"/>
      <c r="NP167" s="228"/>
      <c r="NQ167" s="228"/>
      <c r="NR167" s="228"/>
      <c r="NS167" s="228"/>
      <c r="NT167" s="228"/>
      <c r="NU167" s="228"/>
      <c r="NV167" s="228"/>
      <c r="NW167" s="228"/>
      <c r="NX167" s="228"/>
      <c r="NY167" s="228"/>
      <c r="NZ167" s="228"/>
      <c r="OA167" s="228"/>
      <c r="OB167" s="228"/>
      <c r="OC167" s="228"/>
      <c r="OD167" s="228"/>
      <c r="OE167" s="228"/>
      <c r="OF167" s="228"/>
      <c r="OG167" s="228"/>
      <c r="OH167" s="228"/>
      <c r="OI167" s="228"/>
      <c r="OJ167" s="228"/>
      <c r="OK167" s="228"/>
      <c r="OL167" s="228"/>
      <c r="OM167" s="228"/>
      <c r="ON167" s="228"/>
      <c r="OO167" s="228"/>
      <c r="OP167" s="228"/>
      <c r="OQ167" s="228"/>
      <c r="OR167" s="228"/>
      <c r="OS167" s="228"/>
      <c r="OT167" s="228"/>
      <c r="OU167" s="228"/>
      <c r="OV167" s="228"/>
      <c r="OW167" s="228"/>
      <c r="OX167" s="228"/>
      <c r="OY167" s="228"/>
      <c r="OZ167" s="228"/>
      <c r="PA167" s="228"/>
      <c r="PB167" s="228"/>
      <c r="PC167" s="228"/>
      <c r="PD167" s="228"/>
      <c r="PE167" s="228"/>
      <c r="PF167" s="228"/>
      <c r="PG167" s="228"/>
      <c r="PH167" s="228"/>
      <c r="PI167" s="228"/>
      <c r="PJ167" s="228"/>
      <c r="PK167" s="228"/>
      <c r="PL167" s="228"/>
      <c r="PM167" s="228"/>
      <c r="PN167" s="228"/>
      <c r="PO167" s="228"/>
      <c r="PP167" s="228"/>
      <c r="PQ167" s="228"/>
      <c r="PR167" s="228"/>
      <c r="PS167" s="228"/>
      <c r="PT167" s="228"/>
      <c r="PU167" s="228"/>
      <c r="PV167" s="228"/>
      <c r="PW167" s="228"/>
      <c r="PX167" s="228"/>
      <c r="PY167" s="228"/>
      <c r="PZ167" s="228"/>
      <c r="QA167" s="228"/>
      <c r="QB167" s="228"/>
      <c r="QC167" s="228"/>
      <c r="QD167" s="228"/>
      <c r="QE167" s="228"/>
      <c r="QF167" s="228"/>
      <c r="QG167" s="228"/>
      <c r="QH167" s="228"/>
      <c r="QI167" s="228"/>
      <c r="QJ167" s="228"/>
      <c r="QK167" s="228"/>
      <c r="QL167" s="228"/>
      <c r="QM167" s="228"/>
      <c r="QN167" s="228"/>
      <c r="QO167" s="228"/>
      <c r="QP167" s="228"/>
      <c r="QQ167" s="228"/>
      <c r="QR167" s="228"/>
      <c r="QS167" s="228"/>
      <c r="QT167" s="228"/>
      <c r="QU167" s="228"/>
      <c r="QV167" s="228"/>
      <c r="QW167" s="228"/>
      <c r="QX167" s="228"/>
      <c r="QY167" s="228"/>
      <c r="QZ167" s="228"/>
      <c r="RA167" s="228"/>
      <c r="RB167" s="228"/>
      <c r="RC167" s="228"/>
      <c r="RD167" s="228"/>
      <c r="RE167" s="228"/>
      <c r="RF167" s="228"/>
      <c r="RG167" s="228"/>
      <c r="RH167" s="228"/>
      <c r="RI167" s="228"/>
      <c r="RJ167" s="228"/>
      <c r="RK167" s="228"/>
      <c r="RL167" s="228"/>
      <c r="RM167" s="228"/>
      <c r="RN167" s="228"/>
      <c r="RO167" s="228"/>
      <c r="RP167" s="228"/>
      <c r="RQ167" s="228"/>
      <c r="RR167" s="228"/>
      <c r="RS167" s="228"/>
      <c r="RT167" s="228"/>
      <c r="RU167" s="228"/>
      <c r="RV167" s="228"/>
      <c r="RW167" s="228"/>
      <c r="RX167" s="228"/>
      <c r="RY167" s="228"/>
      <c r="RZ167" s="228"/>
      <c r="SA167" s="228"/>
      <c r="SB167" s="228"/>
      <c r="SC167" s="228"/>
      <c r="SD167" s="228"/>
      <c r="SE167" s="228"/>
      <c r="SF167" s="228"/>
      <c r="SG167" s="228"/>
      <c r="SH167" s="228"/>
      <c r="SI167" s="228"/>
      <c r="SJ167" s="228"/>
      <c r="SK167" s="228"/>
      <c r="SL167" s="228"/>
      <c r="SM167" s="228"/>
      <c r="SN167" s="228"/>
      <c r="SO167" s="228"/>
      <c r="SP167" s="228"/>
    </row>
    <row r="168" spans="7:510" x14ac:dyDescent="0.3">
      <c r="G168" t="s">
        <v>379</v>
      </c>
    </row>
    <row r="169" spans="7:510" x14ac:dyDescent="0.3">
      <c r="G169" t="s">
        <v>380</v>
      </c>
    </row>
    <row r="170" spans="7:510" ht="15" thickBot="1" x14ac:dyDescent="0.35"/>
    <row r="171" spans="7:510" x14ac:dyDescent="0.3">
      <c r="G171" s="59" t="s">
        <v>381</v>
      </c>
      <c r="H171" s="183"/>
    </row>
    <row r="172" spans="7:510" x14ac:dyDescent="0.3">
      <c r="G172" s="257" t="s">
        <v>382</v>
      </c>
      <c r="H172" s="268">
        <f>40</f>
        <v>40</v>
      </c>
    </row>
    <row r="173" spans="7:510" x14ac:dyDescent="0.3">
      <c r="G173" s="257" t="s">
        <v>383</v>
      </c>
      <c r="H173" s="269">
        <f>8%</f>
        <v>0.08</v>
      </c>
    </row>
    <row r="174" spans="7:510" x14ac:dyDescent="0.3">
      <c r="G174" s="257" t="s">
        <v>384</v>
      </c>
      <c r="H174" s="270">
        <f>5</f>
        <v>5</v>
      </c>
    </row>
    <row r="175" spans="7:510" ht="15" thickBot="1" x14ac:dyDescent="0.35">
      <c r="G175" s="260" t="s">
        <v>385</v>
      </c>
      <c r="H175" s="261">
        <f>(H174/H172)+H173</f>
        <v>0.20500000000000002</v>
      </c>
    </row>
    <row r="176" spans="7:510" ht="15" thickBot="1" x14ac:dyDescent="0.35"/>
    <row r="177" spans="7:8" x14ac:dyDescent="0.3">
      <c r="G177" s="262" t="s">
        <v>386</v>
      </c>
      <c r="H177" s="183"/>
    </row>
    <row r="178" spans="7:8" x14ac:dyDescent="0.3">
      <c r="G178" s="257" t="s">
        <v>382</v>
      </c>
      <c r="H178" s="50">
        <f>40</f>
        <v>40</v>
      </c>
    </row>
    <row r="179" spans="7:8" x14ac:dyDescent="0.3">
      <c r="G179" s="257" t="s">
        <v>384</v>
      </c>
      <c r="H179" s="267">
        <f>H174</f>
        <v>5</v>
      </c>
    </row>
    <row r="180" spans="7:8" x14ac:dyDescent="0.3">
      <c r="G180" s="257" t="s">
        <v>387</v>
      </c>
      <c r="H180" s="281">
        <v>0.124</v>
      </c>
    </row>
    <row r="181" spans="7:8" x14ac:dyDescent="0.3">
      <c r="G181" s="257" t="s">
        <v>383</v>
      </c>
      <c r="H181" s="266">
        <f>8%</f>
        <v>0.08</v>
      </c>
    </row>
    <row r="182" spans="7:8" ht="15" thickBot="1" x14ac:dyDescent="0.35">
      <c r="G182" s="260" t="s">
        <v>388</v>
      </c>
      <c r="H182" s="261">
        <f>H179/(H178*(1-H180))+H181</f>
        <v>0.22269406392694063</v>
      </c>
    </row>
    <row r="183" spans="7:8" ht="15" thickBot="1" x14ac:dyDescent="0.35"/>
    <row r="184" spans="7:8" x14ac:dyDescent="0.3">
      <c r="G184" s="262" t="s">
        <v>389</v>
      </c>
      <c r="H184" s="183"/>
    </row>
    <row r="185" spans="7:8" x14ac:dyDescent="0.3">
      <c r="G185" s="257" t="s">
        <v>390</v>
      </c>
      <c r="H185" s="50">
        <f>100</f>
        <v>100</v>
      </c>
    </row>
    <row r="186" spans="7:8" x14ac:dyDescent="0.3">
      <c r="G186" s="257" t="s">
        <v>391</v>
      </c>
      <c r="H186" s="50">
        <v>95</v>
      </c>
    </row>
    <row r="187" spans="7:8" x14ac:dyDescent="0.3">
      <c r="G187" s="34"/>
      <c r="H187" s="266">
        <f>9%</f>
        <v>0.09</v>
      </c>
    </row>
    <row r="188" spans="7:8" x14ac:dyDescent="0.3">
      <c r="G188" s="257" t="s">
        <v>392</v>
      </c>
      <c r="H188" s="50">
        <f>H187*H185</f>
        <v>9</v>
      </c>
    </row>
    <row r="189" spans="7:8" x14ac:dyDescent="0.3">
      <c r="G189" s="257" t="s">
        <v>387</v>
      </c>
      <c r="H189" s="266">
        <f>6%</f>
        <v>0.06</v>
      </c>
    </row>
    <row r="190" spans="7:8" ht="15" thickBot="1" x14ac:dyDescent="0.35">
      <c r="G190" s="260" t="s">
        <v>393</v>
      </c>
      <c r="H190" s="261">
        <f>(H188/(H186*(1-H189)))</f>
        <v>0.1007838745800672</v>
      </c>
    </row>
    <row r="191" spans="7:8" ht="15" thickBot="1" x14ac:dyDescent="0.35"/>
    <row r="192" spans="7:8" x14ac:dyDescent="0.3">
      <c r="G192" s="262" t="s">
        <v>394</v>
      </c>
      <c r="H192" s="183"/>
    </row>
    <row r="193" spans="7:217" x14ac:dyDescent="0.3">
      <c r="G193" s="257" t="s">
        <v>395</v>
      </c>
      <c r="H193" s="263">
        <f>16.7%</f>
        <v>0.16699999999999998</v>
      </c>
    </row>
    <row r="194" spans="7:217" x14ac:dyDescent="0.3">
      <c r="G194" s="257" t="s">
        <v>396</v>
      </c>
      <c r="H194" s="263">
        <f>66.6%</f>
        <v>0.66599999999999993</v>
      </c>
    </row>
    <row r="195" spans="7:217" x14ac:dyDescent="0.3">
      <c r="G195" s="257" t="s">
        <v>397</v>
      </c>
      <c r="H195" s="263">
        <f>16.7%</f>
        <v>0.16699999999999998</v>
      </c>
    </row>
    <row r="196" spans="7:217" x14ac:dyDescent="0.3">
      <c r="G196" s="257" t="s">
        <v>398</v>
      </c>
      <c r="H196" s="264">
        <f>H175</f>
        <v>0.20500000000000002</v>
      </c>
    </row>
    <row r="197" spans="7:217" x14ac:dyDescent="0.3">
      <c r="G197" s="257" t="s">
        <v>399</v>
      </c>
      <c r="H197" s="264">
        <f>H182</f>
        <v>0.22269406392694063</v>
      </c>
    </row>
    <row r="198" spans="7:217" x14ac:dyDescent="0.3">
      <c r="G198" s="257" t="s">
        <v>400</v>
      </c>
      <c r="H198" s="264">
        <f>H190</f>
        <v>0.1007838745800672</v>
      </c>
    </row>
    <row r="199" spans="7:217" ht="15" thickBot="1" x14ac:dyDescent="0.35">
      <c r="G199" s="260" t="s">
        <v>401</v>
      </c>
      <c r="H199" s="265">
        <f>H193*H196+H194*H197+H195*H198</f>
        <v>0.19938015363021366</v>
      </c>
    </row>
    <row r="201" spans="7:217" x14ac:dyDescent="0.3">
      <c r="G201" s="228"/>
      <c r="H201" s="228"/>
      <c r="I201" s="228"/>
      <c r="J201" s="228"/>
      <c r="K201" s="228"/>
      <c r="L201" s="228"/>
      <c r="M201" s="228"/>
      <c r="N201" s="228"/>
      <c r="O201" s="228"/>
      <c r="P201" s="228"/>
      <c r="Q201" s="228"/>
      <c r="R201" s="228"/>
      <c r="S201" s="228"/>
      <c r="T201" s="228"/>
      <c r="U201" s="228"/>
      <c r="V201" s="228"/>
      <c r="W201" s="228"/>
      <c r="X201" s="228"/>
      <c r="Y201" s="228"/>
      <c r="Z201" s="228"/>
      <c r="AA201" s="228"/>
      <c r="AB201" s="228"/>
      <c r="AC201" s="228"/>
      <c r="AD201" s="228"/>
      <c r="AE201" s="228"/>
      <c r="AF201" s="228"/>
      <c r="AG201" s="228"/>
      <c r="AH201" s="228"/>
      <c r="AI201" s="228"/>
      <c r="AJ201" s="228"/>
      <c r="AK201" s="228"/>
      <c r="AL201" s="228"/>
      <c r="AM201" s="228"/>
      <c r="AN201" s="228"/>
      <c r="AO201" s="228"/>
      <c r="AP201" s="228"/>
      <c r="AQ201" s="228"/>
      <c r="AR201" s="228"/>
      <c r="AS201" s="228"/>
      <c r="AT201" s="228"/>
      <c r="AU201" s="228"/>
      <c r="AV201" s="228"/>
      <c r="AW201" s="228"/>
      <c r="AX201" s="228"/>
      <c r="AY201" s="228"/>
      <c r="AZ201" s="228"/>
      <c r="BA201" s="228"/>
      <c r="BB201" s="228"/>
      <c r="BC201" s="228"/>
      <c r="BD201" s="228"/>
      <c r="BE201" s="228"/>
      <c r="BF201" s="228"/>
      <c r="BG201" s="228"/>
      <c r="BH201" s="228"/>
      <c r="BI201" s="228"/>
      <c r="BJ201" s="228"/>
      <c r="BK201" s="228"/>
      <c r="BL201" s="228"/>
      <c r="BM201" s="228"/>
      <c r="BN201" s="228"/>
      <c r="BO201" s="228"/>
      <c r="BP201" s="228"/>
      <c r="BQ201" s="228"/>
      <c r="BR201" s="228"/>
      <c r="BS201" s="228"/>
      <c r="BT201" s="228"/>
      <c r="BU201" s="228"/>
      <c r="BV201" s="228"/>
      <c r="BW201" s="228"/>
      <c r="BX201" s="228"/>
      <c r="BY201" s="228"/>
      <c r="BZ201" s="228"/>
      <c r="CA201" s="228"/>
      <c r="CB201" s="228"/>
      <c r="CC201" s="228"/>
      <c r="CD201" s="228"/>
      <c r="CE201" s="228"/>
      <c r="CF201" s="228"/>
      <c r="CG201" s="228"/>
      <c r="CH201" s="228"/>
      <c r="CI201" s="228"/>
      <c r="CJ201" s="228"/>
      <c r="CK201" s="228"/>
      <c r="CL201" s="228"/>
      <c r="CM201" s="228"/>
      <c r="CN201" s="228"/>
      <c r="CO201" s="228"/>
      <c r="CP201" s="228"/>
      <c r="CQ201" s="228"/>
      <c r="CR201" s="228"/>
      <c r="CS201" s="228"/>
      <c r="CT201" s="228"/>
      <c r="CU201" s="228"/>
      <c r="CV201" s="228"/>
      <c r="CW201" s="228"/>
      <c r="CX201" s="228"/>
      <c r="CY201" s="228"/>
      <c r="CZ201" s="228"/>
      <c r="DA201" s="228"/>
      <c r="DB201" s="228"/>
      <c r="DC201" s="228"/>
      <c r="DD201" s="228"/>
      <c r="DE201" s="228"/>
      <c r="DF201" s="228"/>
      <c r="DG201" s="228"/>
      <c r="DH201" s="228"/>
      <c r="DI201" s="228"/>
      <c r="DJ201" s="228"/>
      <c r="DK201" s="228"/>
      <c r="DL201" s="228"/>
      <c r="DM201" s="228"/>
      <c r="DN201" s="228"/>
      <c r="DO201" s="228"/>
      <c r="DP201" s="228"/>
      <c r="DQ201" s="228"/>
      <c r="DR201" s="228"/>
      <c r="DS201" s="228"/>
      <c r="DT201" s="228"/>
      <c r="DU201" s="228"/>
      <c r="DV201" s="228"/>
      <c r="DW201" s="228"/>
      <c r="DX201" s="228"/>
      <c r="DY201" s="228"/>
      <c r="DZ201" s="228"/>
      <c r="EA201" s="228"/>
      <c r="EB201" s="228"/>
      <c r="EC201" s="228"/>
      <c r="ED201" s="228"/>
      <c r="EE201" s="228"/>
      <c r="EF201" s="228"/>
      <c r="EG201" s="228"/>
      <c r="EH201" s="228"/>
      <c r="EI201" s="228"/>
      <c r="EJ201" s="228"/>
      <c r="EK201" s="228"/>
      <c r="EL201" s="228"/>
      <c r="EM201" s="228"/>
      <c r="EN201" s="228"/>
      <c r="EO201" s="228"/>
      <c r="EP201" s="228"/>
      <c r="EQ201" s="228"/>
      <c r="ER201" s="228"/>
      <c r="ES201" s="228"/>
      <c r="ET201" s="228"/>
      <c r="EU201" s="228"/>
      <c r="EV201" s="228"/>
      <c r="EW201" s="228"/>
      <c r="EX201" s="228"/>
      <c r="EY201" s="228"/>
      <c r="EZ201" s="228"/>
      <c r="FA201" s="228"/>
      <c r="FB201" s="228"/>
      <c r="FC201" s="228"/>
      <c r="FD201" s="228"/>
      <c r="FE201" s="228"/>
      <c r="FF201" s="228"/>
      <c r="FG201" s="228"/>
      <c r="FH201" s="228"/>
      <c r="FI201" s="228"/>
      <c r="FJ201" s="228"/>
      <c r="FK201" s="228"/>
      <c r="FL201" s="228"/>
      <c r="FM201" s="228"/>
      <c r="FN201" s="228"/>
      <c r="FO201" s="228"/>
      <c r="FP201" s="228"/>
      <c r="FQ201" s="228"/>
      <c r="FR201" s="228"/>
      <c r="FS201" s="228"/>
      <c r="FT201" s="228"/>
      <c r="FU201" s="228"/>
      <c r="FV201" s="228"/>
      <c r="FW201" s="228"/>
      <c r="FX201" s="228"/>
      <c r="FY201" s="228"/>
      <c r="FZ201" s="228"/>
      <c r="GA201" s="228"/>
      <c r="GB201" s="228"/>
      <c r="GC201" s="228"/>
      <c r="GD201" s="228"/>
      <c r="GE201" s="228"/>
      <c r="GF201" s="228"/>
      <c r="GG201" s="228"/>
      <c r="GH201" s="228"/>
      <c r="GI201" s="228"/>
      <c r="GJ201" s="228"/>
      <c r="GK201" s="228"/>
      <c r="GL201" s="228"/>
      <c r="GM201" s="228"/>
      <c r="GN201" s="228"/>
      <c r="GO201" s="228"/>
      <c r="GP201" s="228"/>
      <c r="GQ201" s="228"/>
      <c r="GR201" s="228"/>
      <c r="GS201" s="228"/>
      <c r="GT201" s="228"/>
      <c r="GU201" s="228"/>
      <c r="GV201" s="228"/>
      <c r="GW201" s="228"/>
      <c r="GX201" s="228"/>
      <c r="GY201" s="228"/>
      <c r="GZ201" s="228"/>
      <c r="HA201" s="228"/>
      <c r="HB201" s="228"/>
      <c r="HC201" s="228"/>
      <c r="HD201" s="228"/>
      <c r="HE201" s="228"/>
      <c r="HF201" s="228"/>
      <c r="HG201" s="228"/>
      <c r="HH201" s="228"/>
      <c r="HI201" s="228"/>
    </row>
    <row r="202" spans="7:217" x14ac:dyDescent="0.3">
      <c r="G202" t="s">
        <v>402</v>
      </c>
    </row>
    <row r="203" spans="7:217" ht="15" thickBot="1" x14ac:dyDescent="0.35"/>
    <row r="204" spans="7:217" x14ac:dyDescent="0.3">
      <c r="G204" s="255" t="s">
        <v>403</v>
      </c>
      <c r="H204" s="256">
        <f>M163</f>
        <v>7.7240000000000003E-2</v>
      </c>
    </row>
    <row r="205" spans="7:217" x14ac:dyDescent="0.3">
      <c r="G205" s="257" t="s">
        <v>404</v>
      </c>
      <c r="H205" s="131">
        <f>J155</f>
        <v>400000</v>
      </c>
    </row>
    <row r="206" spans="7:217" x14ac:dyDescent="0.3">
      <c r="G206" s="257" t="s">
        <v>405</v>
      </c>
      <c r="H206" s="258">
        <f>H199</f>
        <v>0.19938015363021366</v>
      </c>
    </row>
    <row r="207" spans="7:217" x14ac:dyDescent="0.3">
      <c r="G207" s="257" t="s">
        <v>406</v>
      </c>
      <c r="H207" s="131">
        <f>J159</f>
        <v>700000</v>
      </c>
    </row>
    <row r="208" spans="7:217" x14ac:dyDescent="0.3">
      <c r="G208" s="257" t="s">
        <v>407</v>
      </c>
      <c r="H208" s="259">
        <f>H205+H207</f>
        <v>1100000</v>
      </c>
    </row>
    <row r="209" spans="7:8" ht="15" thickBot="1" x14ac:dyDescent="0.35">
      <c r="G209" s="260" t="s">
        <v>408</v>
      </c>
      <c r="H209" s="261">
        <f>H204*H205/H208 + H206*H207/H208</f>
        <v>0.15496555231013598</v>
      </c>
    </row>
    <row r="249" spans="7:60" x14ac:dyDescent="0.3">
      <c r="G249" s="228"/>
      <c r="H249" s="228"/>
      <c r="I249" s="228"/>
      <c r="J249" s="228"/>
      <c r="K249" s="228"/>
      <c r="L249" s="228"/>
      <c r="M249" s="228"/>
      <c r="N249" s="228"/>
      <c r="O249" s="228"/>
      <c r="P249" s="228"/>
      <c r="Q249" s="228"/>
      <c r="R249" s="228"/>
      <c r="S249" s="228"/>
      <c r="T249" s="228"/>
      <c r="U249" s="228"/>
      <c r="V249" s="228"/>
      <c r="W249" s="228"/>
      <c r="X249" s="228"/>
      <c r="Y249" s="228"/>
      <c r="Z249" s="228"/>
      <c r="AA249" s="228"/>
      <c r="AB249" s="228"/>
      <c r="AC249" s="228"/>
      <c r="AD249" s="228"/>
      <c r="AE249" s="228"/>
      <c r="AF249" s="228"/>
      <c r="AG249" s="228"/>
      <c r="AH249" s="228"/>
      <c r="AI249" s="228"/>
      <c r="AJ249" s="228"/>
      <c r="AK249" s="228"/>
      <c r="AL249" s="228"/>
      <c r="AM249" s="228"/>
      <c r="AN249" s="228"/>
      <c r="AO249" s="228"/>
      <c r="AP249" s="228"/>
      <c r="AQ249" s="228"/>
      <c r="AR249" s="228"/>
      <c r="AS249" s="228"/>
      <c r="AT249" s="228"/>
      <c r="AU249" s="228"/>
      <c r="AV249" s="228"/>
      <c r="AW249" s="228"/>
      <c r="AX249" s="228"/>
      <c r="AY249" s="228"/>
      <c r="AZ249" s="228"/>
      <c r="BA249" s="228"/>
      <c r="BB249" s="228"/>
      <c r="BC249" s="228"/>
      <c r="BD249" s="228"/>
      <c r="BE249" s="228"/>
      <c r="BF249" s="228"/>
      <c r="BG249" s="228"/>
      <c r="BH249" s="228"/>
    </row>
    <row r="251" spans="7:60" x14ac:dyDescent="0.3">
      <c r="J251" t="s">
        <v>409</v>
      </c>
      <c r="K251" t="s">
        <v>410</v>
      </c>
      <c r="L251" t="s">
        <v>411</v>
      </c>
      <c r="M251" t="s">
        <v>412</v>
      </c>
      <c r="N251" t="s">
        <v>429</v>
      </c>
      <c r="O251" t="s">
        <v>427</v>
      </c>
      <c r="P251" s="78" t="s">
        <v>428</v>
      </c>
      <c r="Q251" t="s">
        <v>430</v>
      </c>
      <c r="R251" t="s">
        <v>431</v>
      </c>
      <c r="S251" t="s">
        <v>432</v>
      </c>
      <c r="T251" t="s">
        <v>435</v>
      </c>
      <c r="U251" t="s">
        <v>436</v>
      </c>
    </row>
    <row r="252" spans="7:60" x14ac:dyDescent="0.3">
      <c r="J252" t="s">
        <v>413</v>
      </c>
      <c r="K252">
        <v>25</v>
      </c>
      <c r="L252">
        <v>7</v>
      </c>
      <c r="M252" s="80">
        <v>0.06</v>
      </c>
      <c r="N252">
        <v>2</v>
      </c>
      <c r="O252">
        <v>1000</v>
      </c>
      <c r="P252" s="78">
        <f>O252*(M252/N252)</f>
        <v>30</v>
      </c>
      <c r="Q252">
        <f>N252*L252</f>
        <v>14</v>
      </c>
      <c r="R252" s="78">
        <f>P252*(((1+O259)^Q252)-1)/(O259*(1+O259)^Q252)</f>
        <v>301.76334083678336</v>
      </c>
      <c r="S252" s="78">
        <f>O252/(1+O259)^Q252</f>
        <v>522.20804367509299</v>
      </c>
      <c r="T252" s="78">
        <f>SUM(R252:S252)</f>
        <v>823.97138451187629</v>
      </c>
      <c r="U252" s="78">
        <f>T252*K252</f>
        <v>20599.284612796906</v>
      </c>
    </row>
    <row r="253" spans="7:60" x14ac:dyDescent="0.3">
      <c r="J253" t="s">
        <v>413</v>
      </c>
      <c r="K253">
        <v>50</v>
      </c>
      <c r="L253">
        <v>15</v>
      </c>
      <c r="M253" s="80">
        <v>0.1</v>
      </c>
      <c r="N253">
        <v>2</v>
      </c>
      <c r="O253">
        <v>1000</v>
      </c>
      <c r="P253" s="78">
        <f t="shared" ref="P253:P256" si="8">O253*(M253/N253)</f>
        <v>50</v>
      </c>
      <c r="Q253">
        <f t="shared" ref="Q253:Q256" si="9">N253*L253</f>
        <v>30</v>
      </c>
      <c r="R253" s="78">
        <f t="shared" ref="R253:R256" si="10">P253*(((1+O260)^Q253)-1)/(O260*(1+O260)^Q253)</f>
        <v>590.51931327910677</v>
      </c>
      <c r="S253" s="78">
        <f t="shared" ref="S253:S256" si="11">O253/(1+O260)^Q253</f>
        <v>114.22103008133993</v>
      </c>
      <c r="T253" s="78">
        <f t="shared" ref="T253:T256" si="12">SUM(R253:S253)</f>
        <v>704.74034336044667</v>
      </c>
      <c r="U253" s="78">
        <f t="shared" ref="U253:U256" si="13">T253*K253</f>
        <v>35237.017168022336</v>
      </c>
    </row>
    <row r="254" spans="7:60" x14ac:dyDescent="0.3">
      <c r="J254" t="s">
        <v>413</v>
      </c>
      <c r="K254">
        <v>30</v>
      </c>
      <c r="L254">
        <v>20</v>
      </c>
      <c r="M254" s="80">
        <v>0.12</v>
      </c>
      <c r="N254">
        <v>2</v>
      </c>
      <c r="O254">
        <v>1000</v>
      </c>
      <c r="P254" s="78">
        <f t="shared" si="8"/>
        <v>60</v>
      </c>
      <c r="Q254">
        <f t="shared" si="9"/>
        <v>40</v>
      </c>
      <c r="R254" s="78">
        <f t="shared" si="10"/>
        <v>875.05972080861056</v>
      </c>
      <c r="S254" s="78">
        <f t="shared" si="11"/>
        <v>88.479457491030772</v>
      </c>
      <c r="T254" s="78">
        <f t="shared" si="12"/>
        <v>963.53917829964132</v>
      </c>
      <c r="U254" s="78">
        <f t="shared" si="13"/>
        <v>28906.17534898924</v>
      </c>
    </row>
    <row r="255" spans="7:60" x14ac:dyDescent="0.3">
      <c r="J255" t="s">
        <v>414</v>
      </c>
      <c r="K255">
        <v>60</v>
      </c>
      <c r="L255">
        <v>0.5</v>
      </c>
      <c r="M255" s="80"/>
      <c r="N255">
        <v>2</v>
      </c>
      <c r="O255">
        <v>1000</v>
      </c>
      <c r="P255" s="78" t="s">
        <v>300</v>
      </c>
      <c r="Q255">
        <f t="shared" si="9"/>
        <v>1</v>
      </c>
      <c r="R255" s="78" t="s">
        <v>300</v>
      </c>
      <c r="S255" s="78">
        <f t="shared" si="11"/>
        <v>966.18357487922708</v>
      </c>
      <c r="T255" s="78">
        <f t="shared" si="12"/>
        <v>966.18357487922708</v>
      </c>
      <c r="U255" s="78">
        <f t="shared" si="13"/>
        <v>57971.014492753624</v>
      </c>
    </row>
    <row r="256" spans="7:60" x14ac:dyDescent="0.3">
      <c r="J256" t="s">
        <v>415</v>
      </c>
      <c r="K256">
        <v>35</v>
      </c>
      <c r="L256">
        <v>5</v>
      </c>
      <c r="M256" s="80">
        <v>0.05</v>
      </c>
      <c r="N256">
        <v>2</v>
      </c>
      <c r="O256">
        <v>1000</v>
      </c>
      <c r="P256" s="78">
        <f t="shared" si="8"/>
        <v>25</v>
      </c>
      <c r="Q256">
        <f t="shared" si="9"/>
        <v>10</v>
      </c>
      <c r="R256" s="78">
        <f t="shared" si="10"/>
        <v>184.00217628536754</v>
      </c>
      <c r="S256" s="78">
        <f t="shared" si="11"/>
        <v>558.39477691511786</v>
      </c>
      <c r="T256" s="78">
        <f t="shared" si="12"/>
        <v>742.39695320048543</v>
      </c>
      <c r="U256" s="78">
        <f t="shared" si="13"/>
        <v>25983.893362016988</v>
      </c>
    </row>
    <row r="257" spans="10:18" x14ac:dyDescent="0.3">
      <c r="O257" s="80"/>
      <c r="Q257" s="78"/>
    </row>
    <row r="258" spans="10:18" x14ac:dyDescent="0.3">
      <c r="M258" t="s">
        <v>433</v>
      </c>
      <c r="O258" t="s">
        <v>434</v>
      </c>
      <c r="Q258" s="78"/>
    </row>
    <row r="259" spans="10:18" x14ac:dyDescent="0.3">
      <c r="M259" s="80">
        <v>9.5000000000000001E-2</v>
      </c>
      <c r="N259">
        <f t="shared" ref="N259" si="14">N252</f>
        <v>2</v>
      </c>
      <c r="O259" s="80">
        <f>M259/N259</f>
        <v>4.7500000000000001E-2</v>
      </c>
      <c r="P259" s="78"/>
      <c r="Q259" s="78"/>
    </row>
    <row r="260" spans="10:18" x14ac:dyDescent="0.3">
      <c r="M260" s="80">
        <v>0.15</v>
      </c>
      <c r="N260">
        <f t="shared" ref="N260" si="15">N253</f>
        <v>2</v>
      </c>
      <c r="O260" s="80">
        <f t="shared" ref="O260:O263" si="16">M260/N260</f>
        <v>7.4999999999999997E-2</v>
      </c>
      <c r="P260" s="78"/>
      <c r="Q260" s="78"/>
    </row>
    <row r="261" spans="10:18" x14ac:dyDescent="0.3">
      <c r="M261" s="80">
        <v>0.125</v>
      </c>
      <c r="N261">
        <f t="shared" ref="N261" si="17">N254</f>
        <v>2</v>
      </c>
      <c r="O261" s="80">
        <f t="shared" si="16"/>
        <v>6.25E-2</v>
      </c>
      <c r="P261" s="78"/>
      <c r="Q261" s="78"/>
    </row>
    <row r="262" spans="10:18" x14ac:dyDescent="0.3">
      <c r="M262" s="80">
        <v>7.0000000000000007E-2</v>
      </c>
      <c r="N262">
        <v>2</v>
      </c>
      <c r="O262" s="80">
        <f t="shared" si="16"/>
        <v>3.5000000000000003E-2</v>
      </c>
      <c r="P262" s="78"/>
      <c r="Q262" s="78"/>
    </row>
    <row r="263" spans="10:18" x14ac:dyDescent="0.3">
      <c r="M263" s="80">
        <v>0.12</v>
      </c>
      <c r="N263">
        <f t="shared" ref="N263" si="18">N256</f>
        <v>2</v>
      </c>
      <c r="O263" s="80">
        <f t="shared" si="16"/>
        <v>0.06</v>
      </c>
      <c r="P263" s="78"/>
      <c r="Q263" s="78"/>
    </row>
    <row r="265" spans="10:18" x14ac:dyDescent="0.3">
      <c r="Q265" s="78"/>
      <c r="R265" s="78"/>
    </row>
    <row r="266" spans="10:18" x14ac:dyDescent="0.3">
      <c r="Q266" s="78"/>
      <c r="R266" s="78"/>
    </row>
    <row r="267" spans="10:18" x14ac:dyDescent="0.3">
      <c r="Q267" s="78"/>
      <c r="R267" s="78"/>
    </row>
    <row r="268" spans="10:18" x14ac:dyDescent="0.3">
      <c r="Q268" s="78"/>
      <c r="R268" s="78"/>
    </row>
    <row r="269" spans="10:18" x14ac:dyDescent="0.3">
      <c r="Q269" s="78"/>
      <c r="R269" s="78"/>
    </row>
    <row r="271" spans="10:18" x14ac:dyDescent="0.3">
      <c r="Q271" s="78"/>
    </row>
    <row r="272" spans="10:18" ht="15" hidden="1" thickBot="1" x14ac:dyDescent="0.35">
      <c r="J272" s="520" t="s">
        <v>416</v>
      </c>
      <c r="K272" s="521"/>
      <c r="L272" s="286"/>
      <c r="M272" s="286"/>
      <c r="N272" s="286"/>
      <c r="O272" s="287"/>
    </row>
    <row r="273" spans="9:16" hidden="1" x14ac:dyDescent="0.3">
      <c r="J273" s="523" t="str">
        <f>_xlfn.CONCAT("Obligation Du Canada ",L252," ans")</f>
        <v>Obligation Du Canada 7 ans</v>
      </c>
      <c r="K273" s="524"/>
      <c r="L273" s="145"/>
      <c r="M273" s="284"/>
      <c r="N273" s="145"/>
      <c r="O273" s="285"/>
    </row>
    <row r="274" spans="9:16" hidden="1" x14ac:dyDescent="0.3">
      <c r="J274" s="525" t="str">
        <f t="shared" ref="J274:J275" si="19">_xlfn.CONCAT("Obligation Du Canada ",L253," ans")</f>
        <v>Obligation Du Canada 15 ans</v>
      </c>
      <c r="K274" s="526"/>
      <c r="L274" s="66"/>
      <c r="M274" s="67"/>
      <c r="N274" s="66"/>
      <c r="O274" s="70"/>
    </row>
    <row r="275" spans="9:16" hidden="1" x14ac:dyDescent="0.3">
      <c r="J275" s="525" t="str">
        <f t="shared" si="19"/>
        <v>Obligation Du Canada 20 ans</v>
      </c>
      <c r="K275" s="526"/>
      <c r="L275" s="66"/>
      <c r="M275" s="67"/>
      <c r="N275" s="66"/>
      <c r="O275" s="70"/>
    </row>
    <row r="276" spans="9:16" hidden="1" x14ac:dyDescent="0.3">
      <c r="J276" s="525" t="s">
        <v>417</v>
      </c>
      <c r="K276" s="526"/>
      <c r="L276" s="66"/>
      <c r="M276" s="67"/>
      <c r="N276" s="66"/>
      <c r="O276" s="70"/>
    </row>
    <row r="277" spans="9:16" ht="15" hidden="1" thickBot="1" x14ac:dyDescent="0.35">
      <c r="J277" s="518" t="s">
        <v>418</v>
      </c>
      <c r="K277" s="519"/>
      <c r="L277" s="68"/>
      <c r="M277" s="71"/>
      <c r="N277" s="68"/>
      <c r="O277" s="72"/>
    </row>
    <row r="282" spans="9:16" ht="15" thickBot="1" x14ac:dyDescent="0.35">
      <c r="I282" s="433"/>
      <c r="J282" s="433"/>
      <c r="K282" s="433"/>
      <c r="L282" s="433"/>
      <c r="M282" s="433"/>
      <c r="N282" s="433"/>
      <c r="O282" s="433"/>
      <c r="P282" s="433"/>
    </row>
    <row r="283" spans="9:16" x14ac:dyDescent="0.3">
      <c r="I283" s="433"/>
      <c r="J283" s="532" t="s">
        <v>437</v>
      </c>
      <c r="K283" s="533"/>
      <c r="L283" s="533"/>
      <c r="M283" s="308" t="s">
        <v>438</v>
      </c>
      <c r="N283" s="308" t="s">
        <v>410</v>
      </c>
      <c r="O283" s="309" t="s">
        <v>440</v>
      </c>
    </row>
    <row r="284" spans="9:16" x14ac:dyDescent="0.3">
      <c r="I284" s="433"/>
      <c r="J284" s="525" t="str">
        <f>_xlfn.CONCAT(J273," - taux coup. (",M252*100,"%,",N252,") Exi.(",M259*100,"%,",N259,")")</f>
        <v>Obligation Du Canada 7 ans - taux coup. (6%,2) Exi.(9.5%,2)</v>
      </c>
      <c r="K284" s="526"/>
      <c r="L284" s="526"/>
      <c r="M284" s="67">
        <f>T252</f>
        <v>823.97138451187629</v>
      </c>
      <c r="N284" s="66">
        <f>K252</f>
        <v>25</v>
      </c>
      <c r="O284" s="70">
        <f>N284*M284</f>
        <v>20599.284612796906</v>
      </c>
      <c r="P284" s="433"/>
    </row>
    <row r="285" spans="9:16" x14ac:dyDescent="0.3">
      <c r="I285" s="433"/>
      <c r="J285" s="525" t="str">
        <f t="shared" ref="J285:J288" si="20">_xlfn.CONCAT(J274," - taux coup. (",M253*100,"%,",N253,") Exi.(",M260*100,"%,",N260,")")</f>
        <v>Obligation Du Canada 15 ans - taux coup. (10%,2) Exi.(15%,2)</v>
      </c>
      <c r="K285" s="526"/>
      <c r="L285" s="526"/>
      <c r="M285" s="67">
        <f t="shared" ref="M285:M288" si="21">T253</f>
        <v>704.74034336044667</v>
      </c>
      <c r="N285" s="66">
        <f t="shared" ref="N285:N288" si="22">K253</f>
        <v>50</v>
      </c>
      <c r="O285" s="70">
        <f t="shared" ref="O285:O288" si="23">N285*M285</f>
        <v>35237.017168022336</v>
      </c>
      <c r="P285" s="433"/>
    </row>
    <row r="286" spans="9:16" x14ac:dyDescent="0.3">
      <c r="I286" s="433"/>
      <c r="J286" s="525" t="str">
        <f t="shared" si="20"/>
        <v>Obligation Du Canada 20 ans - taux coup. (12%,2) Exi.(12.5%,2)</v>
      </c>
      <c r="K286" s="526"/>
      <c r="L286" s="526"/>
      <c r="M286" s="67">
        <f t="shared" si="21"/>
        <v>963.53917829964132</v>
      </c>
      <c r="N286" s="66">
        <f t="shared" si="22"/>
        <v>30</v>
      </c>
      <c r="O286" s="70">
        <f t="shared" si="23"/>
        <v>28906.17534898924</v>
      </c>
      <c r="P286" s="433"/>
    </row>
    <row r="287" spans="9:16" x14ac:dyDescent="0.3">
      <c r="I287" s="433"/>
      <c r="J287" s="525" t="str">
        <f>_xlfn.CONCAT(J276," - Exi.(",M262*100,"%,",N262,")")</f>
        <v>Bon du Trésor 6 mois - Exi.(7%,2)</v>
      </c>
      <c r="K287" s="526"/>
      <c r="L287" s="526"/>
      <c r="M287" s="67">
        <f t="shared" si="21"/>
        <v>966.18357487922708</v>
      </c>
      <c r="N287" s="66">
        <f t="shared" si="22"/>
        <v>60</v>
      </c>
      <c r="O287" s="70">
        <f t="shared" si="23"/>
        <v>57971.014492753624</v>
      </c>
      <c r="P287" s="433"/>
    </row>
    <row r="288" spans="9:16" ht="15" thickBot="1" x14ac:dyDescent="0.35">
      <c r="I288" s="433"/>
      <c r="J288" s="527" t="str">
        <f t="shared" si="20"/>
        <v>Obligation de Nova Railways 5 ans - taux coup. (5%,2) Exi.(12%,2)</v>
      </c>
      <c r="K288" s="528"/>
      <c r="L288" s="528"/>
      <c r="M288" s="311">
        <f t="shared" si="21"/>
        <v>742.39695320048543</v>
      </c>
      <c r="N288" s="312">
        <f t="shared" si="22"/>
        <v>35</v>
      </c>
      <c r="O288" s="313">
        <f t="shared" si="23"/>
        <v>25983.893362016988</v>
      </c>
      <c r="P288" s="433"/>
    </row>
    <row r="289" spans="8:31" ht="15.6" thickTop="1" thickBot="1" x14ac:dyDescent="0.35">
      <c r="I289" s="433"/>
      <c r="J289" s="529" t="s">
        <v>439</v>
      </c>
      <c r="K289" s="530"/>
      <c r="L289" s="530"/>
      <c r="M289" s="531"/>
      <c r="N289" s="531"/>
      <c r="O289" s="310">
        <f>SUM(O284:O288)</f>
        <v>168697.38498457911</v>
      </c>
      <c r="P289" s="433"/>
    </row>
    <row r="290" spans="8:31" x14ac:dyDescent="0.3">
      <c r="I290" s="433"/>
      <c r="J290" s="433"/>
      <c r="K290" s="433"/>
      <c r="L290" s="433"/>
      <c r="M290" s="433"/>
      <c r="N290" s="433"/>
      <c r="P290" s="433"/>
    </row>
    <row r="291" spans="8:31" x14ac:dyDescent="0.3">
      <c r="O291" s="433"/>
    </row>
    <row r="296" spans="8:31" x14ac:dyDescent="0.3">
      <c r="H296" s="228"/>
      <c r="I296" s="228"/>
      <c r="J296" s="228"/>
      <c r="K296" s="228"/>
      <c r="L296" s="228"/>
      <c r="M296" s="228"/>
      <c r="N296" s="228"/>
      <c r="O296" s="228"/>
      <c r="P296" s="228"/>
      <c r="Q296" s="228"/>
      <c r="R296" s="228"/>
      <c r="S296" s="228"/>
      <c r="T296" s="228"/>
      <c r="U296" s="228"/>
      <c r="V296" s="228"/>
      <c r="W296" s="228"/>
      <c r="X296" s="228"/>
      <c r="Y296" s="228"/>
      <c r="Z296" s="228"/>
      <c r="AA296" s="228"/>
      <c r="AB296" s="228"/>
      <c r="AC296" s="228"/>
      <c r="AD296" s="228"/>
      <c r="AE296" s="228"/>
    </row>
    <row r="301" spans="8:31" ht="23.4" x14ac:dyDescent="0.45">
      <c r="J301" s="314" t="s">
        <v>441</v>
      </c>
      <c r="L301" s="78"/>
      <c r="N301" s="78"/>
    </row>
    <row r="304" spans="8:31" ht="15" thickBot="1" x14ac:dyDescent="0.35"/>
    <row r="305" spans="10:14" x14ac:dyDescent="0.3">
      <c r="J305" s="59" t="s">
        <v>443</v>
      </c>
      <c r="K305" s="157" t="s">
        <v>442</v>
      </c>
      <c r="L305" s="157" t="str">
        <f>R251</f>
        <v>A(P/A,kb,N)</v>
      </c>
      <c r="M305" s="157" t="str">
        <f>S251</f>
        <v>Vn(P/F,kb,N)</v>
      </c>
      <c r="N305" s="434" t="s">
        <v>512</v>
      </c>
    </row>
    <row r="306" spans="10:14" ht="15" thickBot="1" x14ac:dyDescent="0.35">
      <c r="J306" s="35">
        <v>16</v>
      </c>
      <c r="K306" s="133">
        <f>($L$254-$J$306)*$N$254</f>
        <v>8</v>
      </c>
      <c r="L306" s="158">
        <f>P254*(((1+O261)^K306-1)/(O261*(1+O261)^K306))</f>
        <v>368.92890284199319</v>
      </c>
      <c r="M306" s="158">
        <f>O254/((1+O261)^K306)</f>
        <v>615.69905953959039</v>
      </c>
      <c r="N306" s="435">
        <f>SUM(L306:M306)</f>
        <v>984.62796238158353</v>
      </c>
    </row>
  </sheetData>
  <mergeCells count="15">
    <mergeCell ref="J288:L288"/>
    <mergeCell ref="J289:L289"/>
    <mergeCell ref="M289:N289"/>
    <mergeCell ref="J284:L284"/>
    <mergeCell ref="J283:L283"/>
    <mergeCell ref="J285:L285"/>
    <mergeCell ref="J286:L286"/>
    <mergeCell ref="J287:L287"/>
    <mergeCell ref="J277:K277"/>
    <mergeCell ref="J272:K272"/>
    <mergeCell ref="I62:J62"/>
    <mergeCell ref="J273:K273"/>
    <mergeCell ref="J274:K274"/>
    <mergeCell ref="J275:K275"/>
    <mergeCell ref="J276:K276"/>
  </mergeCells>
  <phoneticPr fontId="21" type="noConversion"/>
  <pageMargins left="0.7" right="0.7" top="0.75" bottom="0.75" header="0.3" footer="0.3"/>
  <pageSetup orientation="portrait" r:id="rId1"/>
  <ignoredErrors>
    <ignoredError sqref="J287" formula="1"/>
    <ignoredError sqref="J160" formulaRange="1"/>
    <ignoredError sqref="M156:M159" calculatedColumn="1"/>
  </ignoredErrors>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FFF4-2BD6-4DCE-81E0-DDD8D7787883}">
  <sheetPr>
    <tabColor rgb="FF0070C0"/>
  </sheetPr>
  <dimension ref="C12:E18"/>
  <sheetViews>
    <sheetView topLeftCell="A51" workbookViewId="0"/>
  </sheetViews>
  <sheetFormatPr baseColWidth="10" defaultColWidth="8.88671875" defaultRowHeight="14.4" x14ac:dyDescent="0.3"/>
  <cols>
    <col min="3" max="3" width="50.88671875" customWidth="1"/>
    <col min="4" max="4" width="12.88671875" customWidth="1"/>
    <col min="5" max="5" width="13.109375" customWidth="1"/>
  </cols>
  <sheetData>
    <row r="12" spans="3:5" ht="15" thickBot="1" x14ac:dyDescent="0.35"/>
    <row r="13" spans="3:5" x14ac:dyDescent="0.3">
      <c r="C13" s="271" t="s">
        <v>419</v>
      </c>
      <c r="D13" s="272" t="s">
        <v>404</v>
      </c>
      <c r="E13" s="275">
        <f>'Partie 2C'!J155</f>
        <v>400000</v>
      </c>
    </row>
    <row r="14" spans="3:5" x14ac:dyDescent="0.3">
      <c r="C14" s="101" t="s">
        <v>321</v>
      </c>
      <c r="D14" s="273" t="s">
        <v>406</v>
      </c>
      <c r="E14" s="104">
        <f>'Partie 2C'!J159</f>
        <v>700000</v>
      </c>
    </row>
    <row r="15" spans="3:5" x14ac:dyDescent="0.3">
      <c r="C15" s="101" t="s">
        <v>420</v>
      </c>
      <c r="D15" s="273" t="s">
        <v>407</v>
      </c>
      <c r="E15" s="104">
        <f>'Partie 2C'!J160</f>
        <v>1100000</v>
      </c>
    </row>
    <row r="16" spans="3:5" x14ac:dyDescent="0.3">
      <c r="C16" s="101" t="s">
        <v>421</v>
      </c>
      <c r="D16" s="273" t="s">
        <v>405</v>
      </c>
      <c r="E16" s="276">
        <f>'Partie 2C'!M164</f>
        <v>0.19938015363021366</v>
      </c>
    </row>
    <row r="17" spans="3:5" x14ac:dyDescent="0.3">
      <c r="C17" s="101" t="s">
        <v>422</v>
      </c>
      <c r="D17" s="273" t="s">
        <v>403</v>
      </c>
      <c r="E17" s="276">
        <f>'Partie 2C'!M163</f>
        <v>7.7240000000000003E-2</v>
      </c>
    </row>
    <row r="18" spans="3:5" ht="15" thickBot="1" x14ac:dyDescent="0.35">
      <c r="C18" s="112" t="s">
        <v>423</v>
      </c>
      <c r="D18" s="274" t="s">
        <v>424</v>
      </c>
      <c r="E18" s="126">
        <f>(E13/E15)*E17+(E14/E15)*E16</f>
        <v>0.15496555231013598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78F3D-EBB7-4AB6-84C9-27C4B04EF1B8}">
  <sheetPr>
    <tabColor rgb="FF0070C0"/>
  </sheetPr>
  <dimension ref="A1"/>
  <sheetViews>
    <sheetView workbookViewId="0"/>
  </sheetViews>
  <sheetFormatPr baseColWidth="10" defaultColWidth="8.88671875"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84EC-ADD4-4B79-A840-A22DE19FC666}">
  <sheetPr>
    <tabColor rgb="FFFF0000"/>
  </sheetPr>
  <dimension ref="B3:I3"/>
  <sheetViews>
    <sheetView workbookViewId="0">
      <selection activeCell="F12" sqref="F12"/>
    </sheetView>
  </sheetViews>
  <sheetFormatPr baseColWidth="10" defaultColWidth="8.88671875" defaultRowHeight="14.4" x14ac:dyDescent="0.3"/>
  <sheetData>
    <row r="3" spans="2:9" x14ac:dyDescent="0.3">
      <c r="B3" s="441" t="s">
        <v>425</v>
      </c>
      <c r="C3" s="441"/>
      <c r="D3" s="441"/>
      <c r="E3" s="441"/>
      <c r="F3" s="534" t="s">
        <v>426</v>
      </c>
      <c r="G3" s="534"/>
      <c r="H3" s="534"/>
      <c r="I3" s="534"/>
    </row>
  </sheetData>
  <mergeCells count="2">
    <mergeCell ref="F3:I3"/>
    <mergeCell ref="B3:E3"/>
  </mergeCells>
  <hyperlinks>
    <hyperlink ref="F3" r:id="rId1" xr:uid="{ECEABDF1-8208-4F3D-9C14-75193E3A204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a4e279b-894b-4c0c-8311-d973e560474e">
      <Terms xmlns="http://schemas.microsoft.com/office/infopath/2007/PartnerControls"/>
    </lcf76f155ced4ddcb4097134ff3c332f>
    <TaxCatchAll xmlns="e7673b21-9e4a-4d8a-a7fc-518fa36769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D43948FDB4924C921C57A4764658AB" ma:contentTypeVersion="13" ma:contentTypeDescription="Crée un document." ma:contentTypeScope="" ma:versionID="6d33804c378c41158d0e0c98662bd22e">
  <xsd:schema xmlns:xsd="http://www.w3.org/2001/XMLSchema" xmlns:xs="http://www.w3.org/2001/XMLSchema" xmlns:p="http://schemas.microsoft.com/office/2006/metadata/properties" xmlns:ns2="5a4e279b-894b-4c0c-8311-d973e560474e" xmlns:ns3="e7673b21-9e4a-4d8a-a7fc-518fa36769e7" targetNamespace="http://schemas.microsoft.com/office/2006/metadata/properties" ma:root="true" ma:fieldsID="75fb38d2bb8e1d676a54c47ce2143b8e" ns2:_="" ns3:_="">
    <xsd:import namespace="5a4e279b-894b-4c0c-8311-d973e560474e"/>
    <xsd:import namespace="e7673b21-9e4a-4d8a-a7fc-518fa36769e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4e279b-894b-4c0c-8311-d973e56047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d264a842-8adc-43f3-ad4e-91e5e271ce18"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673b21-9e4a-4d8a-a7fc-518fa36769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91c56bc-b366-4192-8623-0434691150d9}" ma:internalName="TaxCatchAll" ma:showField="CatchAllData" ma:web="e7673b21-9e4a-4d8a-a7fc-518fa36769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F1FB3-194A-41EA-A477-9172625F962A}">
  <ds:schemaRefs>
    <ds:schemaRef ds:uri="http://schemas.microsoft.com/sharepoint/v3/contenttype/forms"/>
  </ds:schemaRefs>
</ds:datastoreItem>
</file>

<file path=customXml/itemProps2.xml><?xml version="1.0" encoding="utf-8"?>
<ds:datastoreItem xmlns:ds="http://schemas.openxmlformats.org/officeDocument/2006/customXml" ds:itemID="{7EC52186-382B-42AC-8D39-04782E84B56F}">
  <ds:schemaRefs>
    <ds:schemaRef ds:uri="http://schemas.openxmlformats.org/package/2006/metadata/core-properties"/>
    <ds:schemaRef ds:uri="http://schemas.microsoft.com/office/2006/documentManagement/types"/>
    <ds:schemaRef ds:uri="e7673b21-9e4a-4d8a-a7fc-518fa36769e7"/>
    <ds:schemaRef ds:uri="5a4e279b-894b-4c0c-8311-d973e560474e"/>
    <ds:schemaRef ds:uri="http://schemas.microsoft.com/office/2006/metadata/properties"/>
    <ds:schemaRef ds:uri="http://purl.org/dc/elements/1.1/"/>
    <ds:schemaRef ds:uri="http://purl.org/dc/dcmitype/"/>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1E806517-9059-4C27-AD16-8A0B02EC3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4e279b-894b-4c0c-8311-d973e560474e"/>
    <ds:schemaRef ds:uri="e7673b21-9e4a-4d8a-a7fc-518fa36769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11</vt:i4>
      </vt:variant>
      <vt:variant>
        <vt:lpstr>Plages nommées</vt:lpstr>
      </vt:variant>
      <vt:variant>
        <vt:i4>11</vt:i4>
      </vt:variant>
    </vt:vector>
  </HeadingPairs>
  <TitlesOfParts>
    <vt:vector size="22" baseType="lpstr">
      <vt:lpstr>Partie 1 - MagNet</vt:lpstr>
      <vt:lpstr>Partie 1 - SARLOS</vt:lpstr>
      <vt:lpstr>Partie 1 - SkyTransit</vt:lpstr>
      <vt:lpstr>Partie 1 - Ratios</vt:lpstr>
      <vt:lpstr>Partie 2A (old)</vt:lpstr>
      <vt:lpstr>Partie 2A</vt:lpstr>
      <vt:lpstr>Partie 2B achat new</vt:lpstr>
      <vt:lpstr>Partie 2C</vt:lpstr>
      <vt:lpstr>Partie 3</vt:lpstr>
      <vt:lpstr>Partie 4</vt:lpstr>
      <vt:lpstr>Paradis fiscal</vt:lpstr>
      <vt:lpstr>'Partie 2B achat new'!Cf</vt:lpstr>
      <vt:lpstr>'Partie 2B achat new'!Cx</vt:lpstr>
      <vt:lpstr>'Partie 2B achat new'!Px</vt:lpstr>
      <vt:lpstr>Q_item</vt:lpstr>
      <vt:lpstr>'Partie 2B achat new'!RISQUE</vt:lpstr>
      <vt:lpstr>'Partie 2B achat new'!Rx</vt:lpstr>
      <vt:lpstr>'Partie 2B achat new'!SOLD_UNIT_MOY</vt:lpstr>
      <vt:lpstr>'Partie 2B achat new'!Sx</vt:lpstr>
      <vt:lpstr>'Partie 2B achat new'!TAUX_IMPOSITION</vt:lpstr>
      <vt:lpstr>'Partie 2A'!TRAM</vt:lpstr>
      <vt:lpstr>'Partie 2A'!Zone_d_impression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2024-03-19T19:26:57Z</dcterms:created>
  <dcterms:modified xsi:type="dcterms:W3CDTF">2024-03-30T21:56:24Z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0x01010011D43948FDB4924C921C57A4764658AB</vt:lpwstr>
  </property>
</Properties>
</file>