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ate1904="1"/>
  <mc:AlternateContent xmlns:mc="http://schemas.openxmlformats.org/markup-compatibility/2006">
    <mc:Choice Requires="x15">
      <x15ac:absPath xmlns:x15ac="http://schemas.microsoft.com/office/spreadsheetml/2010/11/ac" url="/All My Stuff/Home Page 2002/pc/"/>
    </mc:Choice>
  </mc:AlternateContent>
  <bookViews>
    <workbookView xWindow="480" yWindow="460" windowWidth="32020" windowHeight="19960" activeTab="2" xr2:uid="{00000000-000D-0000-FFFF-FFFF00000000}"/>
  </bookViews>
  <sheets>
    <sheet name="READ ME 1ST" sheetId="8" r:id="rId1"/>
    <sheet name="FAQs" sheetId="9" r:id="rId2"/>
    <sheet name="Inputs" sheetId="4" r:id="rId3"/>
    <sheet name="Marginal tax rate by country" sheetId="12" r:id="rId4"/>
    <sheet name="Operating leases" sheetId="10" r:id="rId5"/>
    <sheet name="Default Spreads and Ratios" sheetId="5" r:id="rId6"/>
    <sheet name="Optimal Capital Structure" sheetId="3" r:id="rId7"/>
    <sheet name="Repurchase price Worksheet" sheetId="14" r:id="rId8"/>
    <sheet name="ValueChart" sheetId="13" r:id="rId9"/>
    <sheet name="Summary Table" sheetId="2" r:id="rId10"/>
    <sheet name="Input choices page" sheetId="11" r:id="rId11"/>
    <sheet name="Sheet1" sheetId="15" r:id="rId12"/>
  </sheets>
  <definedNames>
    <definedName name="solver_opt" localSheetId="6" hidden="1">'Optimal Capital Structure'!#REF!</definedName>
  </definedNames>
  <calcPr calcId="171027" iterate="1"/>
</workbook>
</file>

<file path=xl/calcChain.xml><?xml version="1.0" encoding="utf-8"?>
<calcChain xmlns="http://schemas.openxmlformats.org/spreadsheetml/2006/main">
  <c r="B10" i="4" l="1"/>
  <c r="C4" i="3"/>
  <c r="F40" i="3" s="1"/>
  <c r="C5" i="3"/>
  <c r="C6" i="3"/>
  <c r="F7" i="3"/>
  <c r="G91" i="3" s="1"/>
  <c r="F4" i="3"/>
  <c r="B40" i="3" s="1"/>
  <c r="C8" i="3"/>
  <c r="E15" i="3"/>
  <c r="F8" i="3"/>
  <c r="I6" i="3"/>
  <c r="B13" i="14"/>
  <c r="B3" i="14"/>
  <c r="B27" i="10"/>
  <c r="B28" i="10"/>
  <c r="A28" i="10"/>
  <c r="B29" i="10"/>
  <c r="A29" i="10"/>
  <c r="B30" i="10"/>
  <c r="A30" i="10"/>
  <c r="B31" i="10"/>
  <c r="A31" i="10"/>
  <c r="D23" i="10"/>
  <c r="B32" i="10"/>
  <c r="B42" i="3"/>
  <c r="E65" i="3" s="1"/>
  <c r="D20" i="10"/>
  <c r="D21" i="10"/>
  <c r="D88" i="3"/>
  <c r="D92" i="3"/>
  <c r="D94" i="3"/>
  <c r="D95" i="3"/>
  <c r="D81" i="3"/>
  <c r="E81" i="3"/>
  <c r="F81" i="3"/>
  <c r="G81" i="3"/>
  <c r="E15" i="5"/>
  <c r="E34" i="5" s="1"/>
  <c r="H81" i="3"/>
  <c r="D82" i="3"/>
  <c r="E82" i="3"/>
  <c r="F82" i="3"/>
  <c r="E16" i="5"/>
  <c r="E35" i="5" s="1"/>
  <c r="H82" i="3"/>
  <c r="D83" i="3"/>
  <c r="E83" i="3"/>
  <c r="F83" i="3"/>
  <c r="E17" i="5"/>
  <c r="H83" i="3"/>
  <c r="D84" i="3"/>
  <c r="E84" i="3"/>
  <c r="F84" i="3"/>
  <c r="G84" i="3"/>
  <c r="E18" i="5"/>
  <c r="H84" i="3"/>
  <c r="D85" i="3"/>
  <c r="E85" i="3"/>
  <c r="F85" i="3"/>
  <c r="G85" i="3"/>
  <c r="E19" i="5"/>
  <c r="E38" i="5" s="1"/>
  <c r="H85" i="3"/>
  <c r="D86" i="3"/>
  <c r="E86" i="3"/>
  <c r="F86" i="3"/>
  <c r="E20" i="5"/>
  <c r="G34" i="3" s="1"/>
  <c r="H86" i="3"/>
  <c r="D87" i="3"/>
  <c r="E87" i="3"/>
  <c r="F87" i="3"/>
  <c r="E21" i="5"/>
  <c r="H87" i="3"/>
  <c r="E88" i="3"/>
  <c r="F88" i="3"/>
  <c r="G88" i="3"/>
  <c r="E22" i="5"/>
  <c r="H88" i="3" s="1"/>
  <c r="D89" i="3"/>
  <c r="E89" i="3"/>
  <c r="F89" i="3"/>
  <c r="G89" i="3"/>
  <c r="E23" i="5"/>
  <c r="E42" i="5" s="1"/>
  <c r="H89" i="3"/>
  <c r="D90" i="3"/>
  <c r="E90" i="3"/>
  <c r="F90" i="3"/>
  <c r="E24" i="5"/>
  <c r="H90" i="3"/>
  <c r="D91" i="3"/>
  <c r="E91" i="3"/>
  <c r="F91" i="3"/>
  <c r="E25" i="5"/>
  <c r="H91" i="3" s="1"/>
  <c r="E92" i="3"/>
  <c r="F92" i="3"/>
  <c r="G92" i="3"/>
  <c r="E26" i="5"/>
  <c r="E45" i="5" s="1"/>
  <c r="H92" i="3"/>
  <c r="D93" i="3"/>
  <c r="E93" i="3"/>
  <c r="F93" i="3"/>
  <c r="E27" i="5"/>
  <c r="E46" i="5" s="1"/>
  <c r="H93" i="3"/>
  <c r="E94" i="3"/>
  <c r="F94" i="3"/>
  <c r="E28" i="5"/>
  <c r="H94" i="3"/>
  <c r="E95" i="3"/>
  <c r="F95" i="3"/>
  <c r="B63" i="3" s="1"/>
  <c r="D2" i="2" s="1"/>
  <c r="E15" i="2" s="1"/>
  <c r="E29" i="5"/>
  <c r="G26" i="3" s="1"/>
  <c r="H95" i="3"/>
  <c r="D15" i="2"/>
  <c r="B15" i="2"/>
  <c r="A24" i="2"/>
  <c r="A23" i="2"/>
  <c r="A22" i="2"/>
  <c r="A21" i="2"/>
  <c r="A20" i="2"/>
  <c r="A19" i="2"/>
  <c r="A18" i="2"/>
  <c r="A17" i="2"/>
  <c r="A16" i="2"/>
  <c r="A15" i="2"/>
  <c r="M3" i="3"/>
  <c r="A2" i="3"/>
  <c r="F5" i="3"/>
  <c r="K28" i="3" s="1"/>
  <c r="E16" i="3"/>
  <c r="E48" i="5"/>
  <c r="E47" i="5"/>
  <c r="E44" i="5"/>
  <c r="E43" i="5"/>
  <c r="E40" i="5"/>
  <c r="E39" i="5"/>
  <c r="E37" i="5"/>
  <c r="E36" i="5"/>
  <c r="F5" i="5"/>
  <c r="C2" i="5"/>
  <c r="A27" i="10"/>
  <c r="A32" i="10"/>
  <c r="A1" i="3"/>
  <c r="I7" i="3"/>
  <c r="B46" i="3"/>
  <c r="D26" i="3"/>
  <c r="E26" i="3"/>
  <c r="F26" i="3"/>
  <c r="D27" i="3"/>
  <c r="E27" i="3"/>
  <c r="F27" i="3"/>
  <c r="G27" i="3"/>
  <c r="D28" i="3"/>
  <c r="E28" i="3"/>
  <c r="F28" i="3"/>
  <c r="D29" i="3"/>
  <c r="E29" i="3"/>
  <c r="F29" i="3"/>
  <c r="K29" i="3"/>
  <c r="D30" i="3"/>
  <c r="E30" i="3"/>
  <c r="F30" i="3"/>
  <c r="G30" i="3"/>
  <c r="D31" i="3"/>
  <c r="E31" i="3"/>
  <c r="F31" i="3"/>
  <c r="G31" i="3"/>
  <c r="D32" i="3"/>
  <c r="E32" i="3"/>
  <c r="F32" i="3"/>
  <c r="D33" i="3"/>
  <c r="E33" i="3"/>
  <c r="F33" i="3"/>
  <c r="G33" i="3"/>
  <c r="D34" i="3"/>
  <c r="E34" i="3"/>
  <c r="F34" i="3"/>
  <c r="D35" i="3"/>
  <c r="E35" i="3"/>
  <c r="F35" i="3"/>
  <c r="G35" i="3"/>
  <c r="D36" i="3"/>
  <c r="E36" i="3"/>
  <c r="F36" i="3"/>
  <c r="G36" i="3"/>
  <c r="D37" i="3"/>
  <c r="E37" i="3"/>
  <c r="F37" i="3"/>
  <c r="G37" i="3"/>
  <c r="D38" i="3"/>
  <c r="E38" i="3"/>
  <c r="F38" i="3"/>
  <c r="D39" i="3"/>
  <c r="E39" i="3"/>
  <c r="F39" i="3"/>
  <c r="G39" i="3"/>
  <c r="F42" i="3"/>
  <c r="C46" i="3"/>
  <c r="D46" i="3"/>
  <c r="E46" i="3"/>
  <c r="F46" i="3"/>
  <c r="G46" i="3"/>
  <c r="H46" i="3"/>
  <c r="I46" i="3"/>
  <c r="J46" i="3"/>
  <c r="K46" i="3"/>
  <c r="B70" i="3"/>
  <c r="C70" i="3"/>
  <c r="D70" i="3"/>
  <c r="E70" i="3"/>
  <c r="F70" i="3"/>
  <c r="G70" i="3"/>
  <c r="H70" i="3"/>
  <c r="I70" i="3"/>
  <c r="J70" i="3"/>
  <c r="K70" i="3"/>
  <c r="B71" i="3"/>
  <c r="C65" i="3"/>
  <c r="D65" i="3"/>
  <c r="J65" i="3" l="1"/>
  <c r="E14" i="3"/>
  <c r="K65" i="3"/>
  <c r="G29" i="3"/>
  <c r="I65" i="3"/>
  <c r="H65" i="3"/>
  <c r="G65" i="3"/>
  <c r="G38" i="3"/>
  <c r="G32" i="3"/>
  <c r="G90" i="3"/>
  <c r="G95" i="3"/>
  <c r="B64" i="3" s="1"/>
  <c r="B65" i="3"/>
  <c r="G87" i="3"/>
  <c r="G83" i="3"/>
  <c r="E41" i="5"/>
  <c r="G93" i="3"/>
  <c r="G86" i="3"/>
  <c r="G82" i="3"/>
  <c r="F65" i="3"/>
  <c r="J42" i="3"/>
  <c r="G28" i="3"/>
  <c r="G94" i="3"/>
  <c r="B54" i="3" l="1"/>
  <c r="E2" i="2"/>
  <c r="F15" i="2" l="1"/>
  <c r="C15" i="2"/>
  <c r="F3" i="5"/>
  <c r="F4" i="5"/>
  <c r="D7" i="5"/>
  <c r="D8" i="5"/>
  <c r="D9" i="5"/>
  <c r="D10" i="5"/>
  <c r="F11" i="4"/>
  <c r="G11" i="4"/>
  <c r="F12" i="4"/>
  <c r="G12" i="4"/>
  <c r="F13" i="4"/>
  <c r="G13" i="4"/>
  <c r="F14" i="4"/>
  <c r="G14" i="4"/>
  <c r="C17" i="10"/>
  <c r="C27" i="10"/>
  <c r="C28" i="10"/>
  <c r="C29" i="10"/>
  <c r="C30" i="10"/>
  <c r="C31" i="10"/>
  <c r="C32" i="10"/>
  <c r="C33" i="10"/>
  <c r="F36" i="10"/>
  <c r="F37" i="10"/>
  <c r="F38" i="10"/>
  <c r="I4" i="3"/>
  <c r="M4" i="3"/>
  <c r="I5" i="3"/>
  <c r="M5" i="3"/>
  <c r="M6" i="3"/>
  <c r="C7" i="3"/>
  <c r="I8" i="3"/>
  <c r="E12" i="3"/>
  <c r="F12" i="3"/>
  <c r="G12" i="3"/>
  <c r="F14" i="3"/>
  <c r="G14" i="3"/>
  <c r="J14" i="3"/>
  <c r="F15" i="3"/>
  <c r="G15" i="3"/>
  <c r="J15" i="3"/>
  <c r="J16" i="3"/>
  <c r="E17" i="3"/>
  <c r="F17" i="3"/>
  <c r="G17" i="3"/>
  <c r="J17" i="3"/>
  <c r="E19" i="3"/>
  <c r="F19" i="3"/>
  <c r="G19" i="3"/>
  <c r="E20" i="3"/>
  <c r="E21" i="3"/>
  <c r="F21" i="3"/>
  <c r="G21" i="3"/>
  <c r="E22" i="3"/>
  <c r="F22" i="3"/>
  <c r="G22" i="3"/>
  <c r="K25" i="3"/>
  <c r="K26" i="3"/>
  <c r="K27" i="3"/>
  <c r="K30" i="3"/>
  <c r="J40" i="3"/>
  <c r="B41" i="3"/>
  <c r="F41" i="3"/>
  <c r="J41" i="3"/>
  <c r="B43" i="3"/>
  <c r="F43" i="3"/>
  <c r="C47" i="3"/>
  <c r="D47" i="3"/>
  <c r="E47" i="3"/>
  <c r="F47" i="3"/>
  <c r="G47" i="3"/>
  <c r="H47" i="3"/>
  <c r="I47" i="3"/>
  <c r="J47" i="3"/>
  <c r="K47" i="3"/>
  <c r="B48" i="3"/>
  <c r="C48" i="3"/>
  <c r="D48" i="3"/>
  <c r="E48" i="3"/>
  <c r="F48" i="3"/>
  <c r="G48" i="3"/>
  <c r="H48" i="3"/>
  <c r="I48" i="3"/>
  <c r="J48" i="3"/>
  <c r="K48" i="3"/>
  <c r="B49" i="3"/>
  <c r="C49" i="3"/>
  <c r="D49" i="3"/>
  <c r="E49" i="3"/>
  <c r="F49" i="3"/>
  <c r="G49" i="3"/>
  <c r="H49" i="3"/>
  <c r="I49" i="3"/>
  <c r="J49" i="3"/>
  <c r="K49" i="3"/>
  <c r="C50" i="3"/>
  <c r="D50" i="3"/>
  <c r="E50" i="3"/>
  <c r="F50" i="3"/>
  <c r="G50" i="3"/>
  <c r="H50" i="3"/>
  <c r="I50" i="3"/>
  <c r="J50" i="3"/>
  <c r="K50" i="3"/>
  <c r="B51" i="3"/>
  <c r="C51" i="3"/>
  <c r="D51" i="3"/>
  <c r="E51" i="3"/>
  <c r="F51" i="3"/>
  <c r="G51" i="3"/>
  <c r="H51" i="3"/>
  <c r="I51" i="3"/>
  <c r="J51" i="3"/>
  <c r="K51" i="3"/>
  <c r="B52" i="3"/>
  <c r="C52" i="3"/>
  <c r="D52" i="3"/>
  <c r="E52" i="3"/>
  <c r="F52" i="3"/>
  <c r="G52" i="3"/>
  <c r="H52" i="3"/>
  <c r="I52" i="3"/>
  <c r="J52" i="3"/>
  <c r="K52" i="3"/>
  <c r="B53" i="3"/>
  <c r="C53" i="3"/>
  <c r="D53" i="3"/>
  <c r="E53" i="3"/>
  <c r="F53" i="3"/>
  <c r="G53" i="3"/>
  <c r="H53" i="3"/>
  <c r="I53" i="3"/>
  <c r="J53" i="3"/>
  <c r="K53" i="3"/>
  <c r="C54" i="3"/>
  <c r="D54" i="3"/>
  <c r="E54" i="3"/>
  <c r="F54" i="3"/>
  <c r="G54" i="3"/>
  <c r="H54" i="3"/>
  <c r="I54" i="3"/>
  <c r="J54" i="3"/>
  <c r="K54" i="3"/>
  <c r="B55" i="3"/>
  <c r="C55" i="3"/>
  <c r="D55" i="3"/>
  <c r="E55" i="3"/>
  <c r="F55" i="3"/>
  <c r="G55" i="3"/>
  <c r="H55" i="3"/>
  <c r="I55" i="3"/>
  <c r="J55" i="3"/>
  <c r="K55" i="3"/>
  <c r="B56" i="3"/>
  <c r="C56" i="3"/>
  <c r="D56" i="3"/>
  <c r="E56" i="3"/>
  <c r="F56" i="3"/>
  <c r="G56" i="3"/>
  <c r="H56" i="3"/>
  <c r="I56" i="3"/>
  <c r="J56" i="3"/>
  <c r="K56" i="3"/>
  <c r="B57" i="3"/>
  <c r="C57" i="3"/>
  <c r="D57" i="3"/>
  <c r="E57" i="3"/>
  <c r="F57" i="3"/>
  <c r="G57" i="3"/>
  <c r="H57" i="3"/>
  <c r="I57" i="3"/>
  <c r="J57" i="3"/>
  <c r="K57" i="3"/>
  <c r="B58" i="3"/>
  <c r="C58" i="3"/>
  <c r="D58" i="3"/>
  <c r="E58" i="3"/>
  <c r="F58" i="3"/>
  <c r="G58" i="3"/>
  <c r="H58" i="3"/>
  <c r="I58" i="3"/>
  <c r="J58" i="3"/>
  <c r="K58" i="3"/>
  <c r="B59" i="3"/>
  <c r="C59" i="3"/>
  <c r="D59" i="3"/>
  <c r="E59" i="3"/>
  <c r="F59" i="3"/>
  <c r="G59" i="3"/>
  <c r="H59" i="3"/>
  <c r="I59" i="3"/>
  <c r="J59" i="3"/>
  <c r="K59" i="3"/>
  <c r="C61" i="3"/>
  <c r="D61" i="3"/>
  <c r="E61" i="3"/>
  <c r="F61" i="3"/>
  <c r="G61" i="3"/>
  <c r="H61" i="3"/>
  <c r="I61" i="3"/>
  <c r="J61" i="3"/>
  <c r="K61" i="3"/>
  <c r="C62" i="3"/>
  <c r="D62" i="3"/>
  <c r="E62" i="3"/>
  <c r="F62" i="3"/>
  <c r="G62" i="3"/>
  <c r="H62" i="3"/>
  <c r="I62" i="3"/>
  <c r="J62" i="3"/>
  <c r="K62" i="3"/>
  <c r="C63" i="3"/>
  <c r="D63" i="3"/>
  <c r="E63" i="3"/>
  <c r="F63" i="3"/>
  <c r="G63" i="3"/>
  <c r="H63" i="3"/>
  <c r="I63" i="3"/>
  <c r="J63" i="3"/>
  <c r="K63" i="3"/>
  <c r="C64" i="3"/>
  <c r="D64" i="3"/>
  <c r="E64" i="3"/>
  <c r="F64" i="3"/>
  <c r="G64" i="3"/>
  <c r="H64" i="3"/>
  <c r="I64" i="3"/>
  <c r="J64" i="3"/>
  <c r="K64" i="3"/>
  <c r="B66" i="3"/>
  <c r="C66" i="3"/>
  <c r="D66" i="3"/>
  <c r="E66" i="3"/>
  <c r="F66" i="3"/>
  <c r="G66" i="3"/>
  <c r="H66" i="3"/>
  <c r="I66" i="3"/>
  <c r="J66" i="3"/>
  <c r="K66" i="3"/>
  <c r="B67" i="3"/>
  <c r="C67" i="3"/>
  <c r="D67" i="3"/>
  <c r="E67" i="3"/>
  <c r="F67" i="3"/>
  <c r="G67" i="3"/>
  <c r="H67" i="3"/>
  <c r="I67" i="3"/>
  <c r="J67" i="3"/>
  <c r="K67" i="3"/>
  <c r="C71" i="3"/>
  <c r="D71" i="3"/>
  <c r="E71" i="3"/>
  <c r="F71" i="3"/>
  <c r="G71" i="3"/>
  <c r="H71" i="3"/>
  <c r="I71" i="3"/>
  <c r="J71" i="3"/>
  <c r="K71" i="3"/>
  <c r="B72" i="3"/>
  <c r="C72" i="3"/>
  <c r="D72" i="3"/>
  <c r="E72" i="3"/>
  <c r="F72" i="3"/>
  <c r="G72" i="3"/>
  <c r="H72" i="3"/>
  <c r="I72" i="3"/>
  <c r="J72" i="3"/>
  <c r="K72" i="3"/>
  <c r="B73" i="3"/>
  <c r="C73" i="3"/>
  <c r="D73" i="3"/>
  <c r="E73" i="3"/>
  <c r="F73" i="3"/>
  <c r="G73" i="3"/>
  <c r="H73" i="3"/>
  <c r="I73" i="3"/>
  <c r="J73" i="3"/>
  <c r="K73" i="3"/>
  <c r="B74" i="3"/>
  <c r="C74" i="3"/>
  <c r="D74" i="3"/>
  <c r="E74" i="3"/>
  <c r="F74" i="3"/>
  <c r="G74" i="3"/>
  <c r="H74" i="3"/>
  <c r="I74" i="3"/>
  <c r="J74" i="3"/>
  <c r="K74" i="3"/>
  <c r="B75" i="3"/>
  <c r="C75" i="3"/>
  <c r="D75" i="3"/>
  <c r="E75" i="3"/>
  <c r="F75" i="3"/>
  <c r="G75" i="3"/>
  <c r="H75" i="3"/>
  <c r="I75" i="3"/>
  <c r="J75" i="3"/>
  <c r="K75" i="3"/>
  <c r="B76" i="3"/>
  <c r="C76" i="3"/>
  <c r="D76" i="3"/>
  <c r="E76" i="3"/>
  <c r="F76" i="3"/>
  <c r="G76" i="3"/>
  <c r="H76" i="3"/>
  <c r="I76" i="3"/>
  <c r="J76" i="3"/>
  <c r="K76" i="3"/>
  <c r="B2" i="14"/>
  <c r="B6" i="14"/>
  <c r="B7" i="14"/>
  <c r="B8" i="14"/>
  <c r="B9" i="14"/>
  <c r="B10" i="14"/>
  <c r="B12" i="14"/>
  <c r="B14" i="14"/>
  <c r="B15" i="14"/>
  <c r="B16" i="14"/>
  <c r="B17" i="14"/>
  <c r="B2" i="2"/>
  <c r="C2" i="2"/>
  <c r="F2" i="2"/>
  <c r="G2" i="2"/>
  <c r="H2" i="2"/>
  <c r="I2" i="2"/>
  <c r="B3" i="2"/>
  <c r="C3" i="2"/>
  <c r="D3" i="2"/>
  <c r="E3" i="2"/>
  <c r="F3" i="2"/>
  <c r="G3" i="2"/>
  <c r="H3" i="2"/>
  <c r="I3" i="2"/>
  <c r="B4" i="2"/>
  <c r="C4" i="2"/>
  <c r="D4" i="2"/>
  <c r="E4" i="2"/>
  <c r="F4" i="2"/>
  <c r="G4" i="2"/>
  <c r="H4" i="2"/>
  <c r="I4" i="2"/>
  <c r="B5" i="2"/>
  <c r="C5" i="2"/>
  <c r="D5" i="2"/>
  <c r="E5" i="2"/>
  <c r="F5" i="2"/>
  <c r="G5" i="2"/>
  <c r="H5" i="2"/>
  <c r="I5" i="2"/>
  <c r="B6" i="2"/>
  <c r="C6" i="2"/>
  <c r="D6" i="2"/>
  <c r="E6" i="2"/>
  <c r="F6" i="2"/>
  <c r="G6" i="2"/>
  <c r="H6" i="2"/>
  <c r="I6" i="2"/>
  <c r="B7" i="2"/>
  <c r="C7" i="2"/>
  <c r="D7" i="2"/>
  <c r="E7" i="2"/>
  <c r="F7" i="2"/>
  <c r="G7" i="2"/>
  <c r="H7" i="2"/>
  <c r="I7" i="2"/>
  <c r="B8" i="2"/>
  <c r="C8" i="2"/>
  <c r="D8" i="2"/>
  <c r="E8" i="2"/>
  <c r="F8" i="2"/>
  <c r="G8" i="2"/>
  <c r="H8" i="2"/>
  <c r="I8" i="2"/>
  <c r="B9" i="2"/>
  <c r="C9" i="2"/>
  <c r="D9" i="2"/>
  <c r="E9" i="2"/>
  <c r="F9" i="2"/>
  <c r="G9" i="2"/>
  <c r="H9" i="2"/>
  <c r="I9" i="2"/>
  <c r="B10" i="2"/>
  <c r="C10" i="2"/>
  <c r="D10" i="2"/>
  <c r="E10" i="2"/>
  <c r="F10" i="2"/>
  <c r="G10" i="2"/>
  <c r="H10" i="2"/>
  <c r="I10" i="2"/>
  <c r="B11" i="2"/>
  <c r="C11" i="2"/>
  <c r="D11" i="2"/>
  <c r="E11" i="2"/>
  <c r="F11" i="2"/>
  <c r="G11" i="2"/>
  <c r="H11" i="2"/>
  <c r="I11"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Aswath Damodaran</author>
  </authors>
  <commentList>
    <comment ref="B10" authorId="0" shapeId="0" xr:uid="{00000000-0006-0000-0200-000001000000}">
      <text>
        <r>
          <rPr>
            <sz val="9"/>
            <color rgb="FF000000"/>
            <rFont val="Geneva"/>
            <family val="2"/>
          </rPr>
          <t>Preferably, the EBITDA for the most recent 12 months. If you don't have that, use the most recent year. If you had a bad year (negative or low EBITDA), you can use an average over time.</t>
        </r>
      </text>
    </comment>
    <comment ref="B11" authorId="0" shapeId="0" xr:uid="{00000000-0006-0000-0200-000002000000}">
      <text>
        <r>
          <rPr>
            <sz val="9"/>
            <color rgb="FF000000"/>
            <rFont val="Geneva"/>
            <family val="2"/>
          </rPr>
          <t>Depr &amp; Amort (from statement of cash flows)</t>
        </r>
      </text>
    </comment>
    <comment ref="B12" authorId="0" shapeId="0" xr:uid="{00000000-0006-0000-0200-000003000000}">
      <text>
        <r>
          <rPr>
            <sz val="9"/>
            <color rgb="FF000000"/>
            <rFont val="Geneva"/>
            <family val="2"/>
          </rPr>
          <t>Capital Expenditures (from statement of cash flows). Enter this as a positive number even though it is shown as a negative number in the cashflow statement.</t>
        </r>
      </text>
    </comment>
    <comment ref="B13" authorId="0" shapeId="0" xr:uid="{00000000-0006-0000-0200-000004000000}">
      <text>
        <r>
          <rPr>
            <sz val="9"/>
            <color rgb="FF000000"/>
            <rFont val="Geneva"/>
            <family val="2"/>
          </rPr>
          <t>Interest Expense (from income statement). If you have no debt, enter 0. If you do have debt and cannot find interest expenses, make an estimate by multiplying the debt by a "reasonable" interest rate.</t>
        </r>
      </text>
    </comment>
    <comment ref="B14" authorId="0" shapeId="0" xr:uid="{00000000-0006-0000-0200-000005000000}">
      <text>
        <r>
          <rPr>
            <sz val="9"/>
            <color rgb="FF000000"/>
            <rFont val="Geneva"/>
            <family val="2"/>
          </rPr>
          <t>Enter the marginal or statutory tax rate for your country. Check the worksheet in this spreadsheet for marginal tax rate by country.</t>
        </r>
      </text>
    </comment>
    <comment ref="B15" authorId="0" shapeId="0" xr:uid="{00000000-0006-0000-0200-000006000000}">
      <text>
        <r>
          <rPr>
            <sz val="9"/>
            <color rgb="FF000000"/>
            <rFont val="Geneva"/>
            <family val="2"/>
          </rPr>
          <t>If your company has a bond rating from S&amp;P or Moody's, you can enter it here. If you don't, that is okay. Just pick "Not rated".</t>
        </r>
      </text>
    </comment>
    <comment ref="B16" authorId="0" shapeId="0" xr:uid="{00000000-0006-0000-0200-000007000000}">
      <text>
        <r>
          <rPr>
            <sz val="9"/>
            <color rgb="FF000000"/>
            <rFont val="Geneva"/>
            <family val="2"/>
          </rPr>
          <t>You can use an actual or synthetic rating to come up with a default spread and add that spread to the risk free rate. If you don't have a rating, but have an estimate of the long term cost of borrowing now, you can enter it as well. If you don't have that either, make sure you answer "Yes" to the cell B33.</t>
        </r>
      </text>
    </comment>
    <comment ref="B18" authorId="0" shapeId="0" xr:uid="{00000000-0006-0000-0200-000008000000}">
      <text>
        <r>
          <rPr>
            <sz val="9"/>
            <color rgb="FF000000"/>
            <rFont val="Geneva"/>
            <family val="2"/>
          </rPr>
          <t>Be careful to stay in same units. If earnings entered in millions, enter this in millions too. If you have more than one class of shares, use the  cumulated number.</t>
        </r>
      </text>
    </comment>
    <comment ref="B19" authorId="0" shapeId="0" xr:uid="{00000000-0006-0000-0200-000009000000}">
      <text>
        <r>
          <rPr>
            <sz val="9"/>
            <color rgb="FF000000"/>
            <rFont val="Geneva"/>
            <family val="2"/>
          </rPr>
          <t>Enter the most current stock price, not price as of last statement date.</t>
        </r>
      </text>
    </comment>
    <comment ref="B20" authorId="0" shapeId="0" xr:uid="{00000000-0006-0000-0200-00000A000000}">
      <text>
        <r>
          <rPr>
            <sz val="9"/>
            <color rgb="FF000000"/>
            <rFont val="Geneva"/>
            <family val="2"/>
          </rPr>
          <t>Enter the levered beta that you have chosen. Preferably, a bottom up beta but if you don't have one, use the regression beta.</t>
        </r>
      </text>
    </comment>
    <comment ref="B22" authorId="0" shapeId="0" xr:uid="{00000000-0006-0000-0200-00000B000000}">
      <text>
        <r>
          <rPr>
            <sz val="9"/>
            <color rgb="FF000000"/>
            <rFont val="Geneva"/>
            <family val="2"/>
          </rPr>
          <t>Enter the book value of all interest bearing debt on the balance sheet.</t>
        </r>
      </text>
    </comment>
    <comment ref="B23" authorId="0" shapeId="0" xr:uid="{00000000-0006-0000-0200-00000C000000}">
      <text>
        <r>
          <rPr>
            <sz val="9"/>
            <color rgb="FF000000"/>
            <rFont val="Geneva"/>
            <family val="2"/>
          </rPr>
          <t>Safest answer is No. If all debt is in form of traded bonds, you could answer yes.</t>
        </r>
      </text>
    </comment>
    <comment ref="B24" authorId="0" shapeId="0" xr:uid="{00000000-0006-0000-0200-00000D000000}">
      <text>
        <r>
          <rPr>
            <sz val="9"/>
            <color rgb="FF000000"/>
            <rFont val="Geneva"/>
            <family val="2"/>
          </rPr>
          <t xml:space="preserve">If yes, be ready to input this number. Do not include operating leases
</t>
        </r>
        <r>
          <rPr>
            <sz val="9"/>
            <color rgb="FF000000"/>
            <rFont val="Geneva"/>
            <family val="2"/>
          </rPr>
          <t>since that will be considered separately.</t>
        </r>
      </text>
    </comment>
    <comment ref="B25" authorId="0" shapeId="0" xr:uid="{00000000-0006-0000-0200-00000E000000}">
      <text>
        <r>
          <rPr>
            <sz val="9"/>
            <color rgb="FF000000"/>
            <rFont val="Geneva"/>
            <family val="2"/>
          </rPr>
          <t>If you can estimate maturity of debt, enter yes. The maturity of the debt should be a footnote to your financials.</t>
        </r>
      </text>
    </comment>
    <comment ref="B26" authorId="0" shapeId="0" xr:uid="{00000000-0006-0000-0200-00000F000000}">
      <text>
        <r>
          <rPr>
            <sz val="9"/>
            <color rgb="FF000000"/>
            <rFont val="Geneva"/>
            <family val="2"/>
          </rPr>
          <t>Enter the weighted average maturity of debt outstanding - should be in footnote to balance sheet</t>
        </r>
      </text>
    </comment>
    <comment ref="B27" authorId="1" shapeId="0" xr:uid="{00000000-0006-0000-0200-000010000000}">
      <text>
        <r>
          <rPr>
            <b/>
            <sz val="9"/>
            <color rgb="FF000000"/>
            <rFont val="Geneva"/>
            <family val="2"/>
          </rPr>
          <t>Aswath Damodaran:</t>
        </r>
        <r>
          <rPr>
            <sz val="9"/>
            <color rgb="FF000000"/>
            <rFont val="Geneva"/>
            <family val="2"/>
          </rPr>
          <t xml:space="preserve">
</t>
        </r>
        <r>
          <rPr>
            <sz val="9"/>
            <color rgb="FF000000"/>
            <rFont val="Geneva"/>
            <family val="2"/>
          </rPr>
          <t>If you have operating leases, you will have to fill out the operating lease worksheet.</t>
        </r>
      </text>
    </comment>
    <comment ref="B33" authorId="1" shapeId="0" xr:uid="{00000000-0006-0000-0200-000011000000}">
      <text>
        <r>
          <rPr>
            <b/>
            <sz val="9"/>
            <color rgb="FF000000"/>
            <rFont val="Geneva"/>
            <family val="2"/>
          </rPr>
          <t>Aswath Damodaran:</t>
        </r>
        <r>
          <rPr>
            <sz val="9"/>
            <color rgb="FF000000"/>
            <rFont val="Geneva"/>
            <family val="2"/>
          </rPr>
          <t xml:space="preserve">
</t>
        </r>
        <r>
          <rPr>
            <sz val="9"/>
            <color rgb="FF000000"/>
            <rFont val="Geneva"/>
            <family val="2"/>
          </rPr>
          <t>In the standard analysis, the operating income is assumed to stay fixed while the debt ratio (and bond rating) changes. If you feel that a declining bond rating will affect whether customers buy your products, your pricing power or your costs, enter yes. If not, enter no. If unsure, enter no and run your base case. You can always come back and enter "Yes".</t>
        </r>
      </text>
    </comment>
    <comment ref="B34" authorId="1" shapeId="0" xr:uid="{00000000-0006-0000-0200-000012000000}">
      <text>
        <r>
          <rPr>
            <b/>
            <sz val="9"/>
            <color rgb="FF000000"/>
            <rFont val="Geneva"/>
            <family val="2"/>
          </rPr>
          <t>Aswath Damodaran:</t>
        </r>
        <r>
          <rPr>
            <sz val="9"/>
            <color rgb="FF000000"/>
            <rFont val="Geneva"/>
            <family val="2"/>
          </rPr>
          <t xml:space="preserve">
</t>
        </r>
        <r>
          <rPr>
            <sz val="9"/>
            <color rgb="FF000000"/>
            <rFont val="Geneva"/>
            <family val="2"/>
          </rPr>
          <t xml:space="preserve">Some companies are more exposed to indirect bankruptcy costs than others.
</t>
        </r>
        <r>
          <rPr>
            <sz val="9"/>
            <color rgb="FF000000"/>
            <rFont val="Geneva"/>
            <family val="2"/>
          </rPr>
          <t xml:space="preserve">High: Companies where customers may stop buying the product if the company is perceived to be in trouble, because they are afraid that product quality may suffer or that the product has a long life and may need service/parts. Also, companies whose costs may balloon out if they are perceived to be in trouble.
</t>
        </r>
        <r>
          <rPr>
            <sz val="9"/>
            <color rgb="FF000000"/>
            <rFont val="Geneva"/>
            <family val="2"/>
          </rPr>
          <t xml:space="preserve">Medium: Companies that have a product that falls in the middle (some customer losses but not substantial) and/or a mix of products.
</t>
        </r>
        <r>
          <rPr>
            <sz val="9"/>
            <color rgb="FF000000"/>
            <rFont val="Geneva"/>
            <family val="2"/>
          </rPr>
          <t>Low: Companies where customers are unconcerned about credit quality of the company and where costs are relatively unaffected by the perception that the company is in financial trouble.</t>
        </r>
      </text>
    </comment>
    <comment ref="B36" authorId="0" shapeId="0" xr:uid="{00000000-0006-0000-0200-000013000000}">
      <text>
        <r>
          <rPr>
            <sz val="9"/>
            <color rgb="FF000000"/>
            <rFont val="Geneva"/>
            <family val="2"/>
          </rPr>
          <t>Enter the current riskfree rate in the currency of analysis. If your government is default free, it will be long term government bond rate. If your government has default risk, subtract the sovereign default spread from government bond rate.</t>
        </r>
      </text>
    </comment>
    <comment ref="B37" authorId="0" shapeId="0" xr:uid="{00000000-0006-0000-0200-000014000000}">
      <text>
        <r>
          <rPr>
            <sz val="9"/>
            <color rgb="FF000000"/>
            <rFont val="Geneva"/>
            <family val="2"/>
          </rPr>
          <t>This should be the equity risk premium that you will be using for your company. If the company operates in many different countries, you can use a weighted average ERP.</t>
        </r>
      </text>
    </comment>
    <comment ref="B38" authorId="1" shapeId="0" xr:uid="{00000000-0006-0000-0200-000015000000}">
      <text>
        <r>
          <rPr>
            <b/>
            <sz val="9"/>
            <color rgb="FF000000"/>
            <rFont val="Geneva"/>
            <family val="2"/>
          </rPr>
          <t>Aswath Damodaran:</t>
        </r>
        <r>
          <rPr>
            <sz val="9"/>
            <color rgb="FF000000"/>
            <rFont val="Geneva"/>
            <family val="2"/>
          </rPr>
          <t xml:space="preserve">
</t>
        </r>
        <r>
          <rPr>
            <sz val="9"/>
            <color rgb="FF000000"/>
            <rFont val="Geneva"/>
            <family val="2"/>
          </rPr>
          <t>If your sovereign government bond has a default spread, enter the default spread here. (If you computed the risk free rate from the same government bond, this should be the default spread you subtracted out from that bond.</t>
        </r>
      </text>
    </comment>
    <comment ref="B41" authorId="1" shapeId="0" xr:uid="{00000000-0006-0000-0200-000016000000}">
      <text>
        <r>
          <rPr>
            <b/>
            <sz val="9"/>
            <color rgb="FF000000"/>
            <rFont val="Geneva"/>
            <family val="2"/>
          </rPr>
          <t>Aswath Damodaran:</t>
        </r>
        <r>
          <rPr>
            <sz val="9"/>
            <color rgb="FF000000"/>
            <rFont val="Geneva"/>
            <family val="2"/>
          </rPr>
          <t xml:space="preserve">
</t>
        </r>
        <r>
          <rPr>
            <sz val="9"/>
            <color rgb="FF000000"/>
            <rFont val="Geneva"/>
            <family val="2"/>
          </rPr>
          <t xml:space="preserve">Enter 1: Large or stable
</t>
        </r>
        <r>
          <rPr>
            <sz val="9"/>
            <color rgb="FF000000"/>
            <rFont val="Geneva"/>
            <family val="2"/>
          </rPr>
          <t xml:space="preserve">2: Small or risky firm
</t>
        </r>
        <r>
          <rPr>
            <sz val="9"/>
            <color rgb="FF000000"/>
            <rFont val="Geneva"/>
            <family val="2"/>
          </rPr>
          <t>The interest coverage ratio/ratings table is the default spreads input worksheet. You can modify them if you want.</t>
        </r>
      </text>
    </comment>
    <comment ref="B42" authorId="0" shapeId="0" xr:uid="{00000000-0006-0000-0200-000017000000}">
      <text>
        <r>
          <rPr>
            <sz val="9"/>
            <color rgb="FF000000"/>
            <rFont val="Geneva"/>
            <family val="2"/>
          </rPr>
          <t xml:space="preserve">Generally safer to answer yes. If you answer no, there will be a transfer of wealth from existing bondholders to stockholders, when the firm borrows more money. </t>
        </r>
      </text>
    </comment>
    <comment ref="B43" authorId="0" shapeId="0" xr:uid="{00000000-0006-0000-0200-000018000000}">
      <text>
        <r>
          <rPr>
            <sz val="9"/>
            <color rgb="FF000000"/>
            <rFont val="Geneva"/>
            <family val="2"/>
          </rPr>
          <t>If you used an actual rating, you can switch to a synthetic rating by answering yes. I will switch the current cost of debt to the cost of debt based upon the synthetic rating.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43" authorId="0" shapeId="0" xr:uid="{00000000-0006-0000-0600-000001000000}">
      <text>
        <r>
          <rPr>
            <b/>
            <sz val="9"/>
            <color indexed="81"/>
            <rFont val="Geneva"/>
            <family val="2"/>
          </rPr>
          <t>Aswath Damodaran:</t>
        </r>
        <r>
          <rPr>
            <sz val="9"/>
            <color indexed="81"/>
            <rFont val="Geneva"/>
            <family val="2"/>
          </rPr>
          <t xml:space="preserve">
If you are currently have a low rating, your EBITDA might already be depressed. This adjusts for this drop.</t>
        </r>
      </text>
    </comment>
    <comment ref="A65" authorId="0" shapeId="0" xr:uid="{00000000-0006-0000-0600-000002000000}">
      <text>
        <r>
          <rPr>
            <b/>
            <sz val="10"/>
            <color rgb="FF000000"/>
            <rFont val="Tahoma"/>
            <family val="2"/>
          </rPr>
          <t>Aswath Damodaran:</t>
        </r>
        <r>
          <rPr>
            <sz val="10"/>
            <color rgb="FF000000"/>
            <rFont val="Tahoma"/>
            <family val="2"/>
          </rPr>
          <t xml:space="preserve">
</t>
        </r>
        <r>
          <rPr>
            <sz val="10"/>
            <color rgb="FF000000"/>
            <rFont val="Tahoma"/>
            <family val="2"/>
          </rPr>
          <t>Checking to see in interest expenses violate your deduction constraint, and if so, adjust the tax benefits accordingly, by reducing the tax rate I use to compute after-tax cost of debt.</t>
        </r>
      </text>
    </comment>
    <comment ref="A66" authorId="0" shapeId="0" xr:uid="{00000000-0006-0000-0600-000003000000}">
      <text>
        <r>
          <rPr>
            <b/>
            <sz val="10"/>
            <color rgb="FF000000"/>
            <rFont val="Tahoma"/>
            <family val="2"/>
          </rPr>
          <t>Aswath Damodaran:</t>
        </r>
        <r>
          <rPr>
            <sz val="10"/>
            <color rgb="FF000000"/>
            <rFont val="Tahoma"/>
            <family val="2"/>
          </rPr>
          <t xml:space="preserve">
</t>
        </r>
        <r>
          <rPr>
            <sz val="10"/>
            <color rgb="FF000000"/>
            <rFont val="Tahoma"/>
            <family val="2"/>
          </rPr>
          <t>Checking to see if interest expenses exceed EBIT and if yes, take away tax benefits, by lowering the tax rate that I use in the after-tax cost of debt calculation.</t>
        </r>
      </text>
    </comment>
    <comment ref="A67" authorId="0" shapeId="0" xr:uid="{00000000-0006-0000-0600-000004000000}">
      <text>
        <r>
          <rPr>
            <b/>
            <sz val="10"/>
            <color rgb="FF000000"/>
            <rFont val="Tahoma"/>
            <family val="2"/>
          </rPr>
          <t>Aswath Damodaran:</t>
        </r>
        <r>
          <rPr>
            <sz val="10"/>
            <color rgb="FF000000"/>
            <rFont val="Tahoma"/>
            <family val="2"/>
          </rPr>
          <t xml:space="preserve">
</t>
        </r>
        <r>
          <rPr>
            <sz val="10"/>
            <color rgb="FF000000"/>
            <rFont val="Tahoma"/>
            <family val="2"/>
          </rPr>
          <t>Pick the constraint that is more binding by picking the lower of the two tax rates to use in the after-tax cost of debt calculation.</t>
        </r>
      </text>
    </comment>
  </commentList>
</comments>
</file>

<file path=xl/sharedStrings.xml><?xml version="1.0" encoding="utf-8"?>
<sst xmlns="http://schemas.openxmlformats.org/spreadsheetml/2006/main" count="621" uniqueCount="529">
  <si>
    <t>From the current financial statements, enter the following</t>
  </si>
  <si>
    <t>Reported Operating Income (EBIT) =</t>
  </si>
  <si>
    <t>! This is the EBIT reported in the current income statement</t>
  </si>
  <si>
    <t>Reported Interest Expenses =</t>
  </si>
  <si>
    <t>Number of years embedded in yr 6 estimate =</t>
  </si>
  <si>
    <t>! I use the average lease expense over the first five years</t>
  </si>
  <si>
    <t>The details of the calculation at each debt ratio are below the summary.</t>
  </si>
  <si>
    <t>Default Spreads</t>
  </si>
  <si>
    <t>This spreadsheet has interest coverage ratios, ratings and default spreads built into it in</t>
  </si>
  <si>
    <t>Sure. If your operating income is either negative or very low, relative to your firm value,</t>
  </si>
  <si>
    <t>Value (perpetual growth)</t>
  </si>
  <si>
    <t>References</t>
  </si>
  <si>
    <t>Interest expenses with Operating leases classified as debt =</t>
  </si>
  <si>
    <t>If interest coverage ratio is</t>
  </si>
  <si>
    <t>&gt;</t>
  </si>
  <si>
    <t>is abnormal, either because of extraordinary losses/gains or some other occurrence, use</t>
  </si>
  <si>
    <t>an average operating income over the last few years.</t>
  </si>
  <si>
    <t>Balance Sheet</t>
  </si>
  <si>
    <t>Rating based upon coverage =</t>
  </si>
  <si>
    <t>General Data</t>
  </si>
  <si>
    <t>General Market Data</t>
  </si>
  <si>
    <t>you can end up at an optimal debt ratio of 0%. For instance, if you have EBIT of 100 on a</t>
  </si>
  <si>
    <t>firm value of 10000, a 10% debt ratio would probably push you into a C rating and give</t>
  </si>
  <si>
    <t>Assumes perpeutal growth</t>
  </si>
  <si>
    <r>
      <t xml:space="preserve">The key income input is the </t>
    </r>
    <r>
      <rPr>
        <sz val="10"/>
        <color indexed="10"/>
        <rFont val="Times"/>
        <family val="1"/>
      </rPr>
      <t>earnings before long term interest expenses and depreciation</t>
    </r>
    <r>
      <rPr>
        <sz val="10"/>
        <rFont val="Times"/>
        <family val="1"/>
      </rPr>
      <t>.</t>
    </r>
  </si>
  <si>
    <t>Operating Lease Converter</t>
  </si>
  <si>
    <t>Operating lease expenses are really financial expenses, and should be treated as such. Accounting standards allow them to</t>
  </si>
  <si>
    <t>be treated as operating expenses. This program will convert commitments to make operating leases into debt and</t>
  </si>
  <si>
    <t>adjust the operating income accordingly, by adding back the imputed interest expense on this debt.</t>
  </si>
  <si>
    <t>Operating lease expense in current year =</t>
  </si>
  <si>
    <t>Operating Lease Commitments (From footnote to financials)</t>
  </si>
  <si>
    <t>Year</t>
  </si>
  <si>
    <t>Commitment</t>
  </si>
  <si>
    <t>! Year 1 is next year, ….</t>
  </si>
  <si>
    <t>6 and beyond</t>
  </si>
  <si>
    <t>Pre-tax Cost of Debt =</t>
  </si>
  <si>
    <t>! If you do not have a cost of debt, use the attached ratings estimator</t>
  </si>
  <si>
    <t>Market price per share:</t>
  </si>
  <si>
    <t>Beta of the stock:</t>
  </si>
  <si>
    <t>(Yes or No)</t>
  </si>
  <si>
    <t>Do you want me to try and estimate market value of debt?</t>
  </si>
  <si>
    <t>Yes</t>
  </si>
  <si>
    <t>Risk premium (for use in the CAPM)</t>
  </si>
  <si>
    <t>greater than</t>
  </si>
  <si>
    <t>≤ to</t>
  </si>
  <si>
    <t>to estimate the number of years of expenses in yr 6</t>
  </si>
  <si>
    <t>Converting Operating Leases into debt</t>
  </si>
  <si>
    <t>Present Value</t>
  </si>
  <si>
    <t>! Commitment beyond year 6 converted into an annuity for ten years</t>
  </si>
  <si>
    <t>Debt Value of leases =</t>
  </si>
  <si>
    <t>Restated Financials</t>
  </si>
  <si>
    <t>Operating Income with Operating leases reclassified as debt =</t>
  </si>
  <si>
    <t>Do you want to assume that existing debt is refinanced at the 'new' rate?</t>
  </si>
  <si>
    <t>Capital Structure</t>
  </si>
  <si>
    <t>Value/share (Perpetual Growth) =</t>
  </si>
  <si>
    <t>Implied Growth Rate Calculation</t>
  </si>
  <si>
    <t>number. Alternatively, input the average maturity of the debt and I will estimate the</t>
  </si>
  <si>
    <t xml:space="preserve">market value of debt. </t>
  </si>
  <si>
    <t>Market Data</t>
  </si>
  <si>
    <t>Number of shares outstanding:</t>
  </si>
  <si>
    <t>If this number is &gt;your riskfree rate, I use the riskfree rate as a perpetual growth rate.</t>
  </si>
  <si>
    <t>Rating is</t>
  </si>
  <si>
    <t>Enter the type of firm =</t>
  </si>
  <si>
    <t>(Add back only long term interest expense for financial firms)</t>
  </si>
  <si>
    <t>(Use only long term interest expense for financial firms)</t>
  </si>
  <si>
    <t>Output</t>
  </si>
  <si>
    <t>Interest  coverage ratio =</t>
  </si>
  <si>
    <t>Estimated Bond Rating =</t>
  </si>
  <si>
    <t>(Enter 1 if large financial service firm, 2 if smaller financial service firm)</t>
  </si>
  <si>
    <t>READING THE OUTPUT</t>
  </si>
  <si>
    <t>Summary</t>
  </si>
  <si>
    <t xml:space="preserve">the worksheet. You can choose between two tables, one for large and stable </t>
  </si>
  <si>
    <t>firms, and the other for small or risky firms. If you want you can change the interest</t>
  </si>
  <si>
    <t>coverage ratios and ratings in these tables.</t>
  </si>
  <si>
    <t>Market Value of interest-bearing debt =</t>
  </si>
  <si>
    <t>Current interest rate on debt =</t>
  </si>
  <si>
    <t xml:space="preserve">The summary provides a picture of your firm's current cost of capital and debt ratio, and </t>
  </si>
  <si>
    <t>Details</t>
  </si>
  <si>
    <t xml:space="preserve"> - Rating Differences: One of the costs of rating a company based only on the interest</t>
  </si>
  <si>
    <t>coverage ratio is that the rating might be very different from the actual rating. Thus, your</t>
  </si>
  <si>
    <t>Corporate Finance: Theory and Practice, Chapter 18</t>
  </si>
  <si>
    <t>Applied Corporate Finance: Chapter 8</t>
  </si>
  <si>
    <t>Objective</t>
  </si>
  <si>
    <t>COST OF CAPITAL CALCULATIONS</t>
  </si>
  <si>
    <t>Cost of Capital</t>
  </si>
  <si>
    <t>Ratings comparison at current debt ratio</t>
  </si>
  <si>
    <t>Rating</t>
  </si>
  <si>
    <t>Coverage gt</t>
  </si>
  <si>
    <t>and lt</t>
  </si>
  <si>
    <t>Spread</t>
  </si>
  <si>
    <t>Current Interest coverage ratio =</t>
  </si>
  <si>
    <t>you a very high cost of capital.</t>
  </si>
  <si>
    <t>Q5: My cost of capital at my optimal debt ratio is higher</t>
  </si>
  <si>
    <t>than the current cost of capital. I thought it was supposed</t>
  </si>
  <si>
    <t>to be lower.</t>
  </si>
  <si>
    <t>Generally, you are right. However, I would suggest that you look at three factors:</t>
  </si>
  <si>
    <t>Bond Rating</t>
  </si>
  <si>
    <t>Interest rate on debt</t>
  </si>
  <si>
    <t>Tax Rate</t>
  </si>
  <si>
    <t>Cost of Debt (after-tax)</t>
  </si>
  <si>
    <t>WACC</t>
  </si>
  <si>
    <t>Please enter the name of the company you are analyzing:</t>
  </si>
  <si>
    <t>Depreciation and Amortization:</t>
  </si>
  <si>
    <t>Capital Spending:</t>
  </si>
  <si>
    <t>A</t>
  </si>
  <si>
    <t>Current Interest rate (Company)=</t>
  </si>
  <si>
    <t>Tax rate=</t>
  </si>
  <si>
    <t>Current Rating=</t>
  </si>
  <si>
    <t>Current T.Bond rate=</t>
  </si>
  <si>
    <t>WORKSHEET FOR ESTIMATING RATINGS/INTEREST RATES</t>
  </si>
  <si>
    <t>D/(D+E)</t>
  </si>
  <si>
    <t>D/E</t>
  </si>
  <si>
    <t>$ Debt</t>
  </si>
  <si>
    <t>EBITDA</t>
  </si>
  <si>
    <t>Depreciation</t>
  </si>
  <si>
    <t>EBIT</t>
  </si>
  <si>
    <t>Interest</t>
  </si>
  <si>
    <t>Taxable Income</t>
  </si>
  <si>
    <t>Tax</t>
  </si>
  <si>
    <t>Net Income</t>
  </si>
  <si>
    <t>(+)Deprec'n</t>
  </si>
  <si>
    <t>Funds from Op.</t>
  </si>
  <si>
    <t>Pre-tax Int. cov</t>
  </si>
  <si>
    <t>∞</t>
  </si>
  <si>
    <t>Funds/Debt</t>
  </si>
  <si>
    <t>Likely Rating</t>
  </si>
  <si>
    <t>Cost of equity</t>
  </si>
  <si>
    <t>Cost of debt</t>
  </si>
  <si>
    <t>Interest cov</t>
  </si>
  <si>
    <t>RATING</t>
  </si>
  <si>
    <t>Interest rate</t>
  </si>
  <si>
    <t>Low</t>
  </si>
  <si>
    <t>High</t>
  </si>
  <si>
    <t>Debt Ratio</t>
  </si>
  <si>
    <t>Beta</t>
  </si>
  <si>
    <t>Cost of Equity</t>
  </si>
  <si>
    <t>your books at much lower rates, the interest expense that I report will be much higher than</t>
  </si>
  <si>
    <t>your actual interest expense. This, in turn, can affect your interest coverage ratio and rating.</t>
  </si>
  <si>
    <t>This, too, you can fix by locking in debt at current rates in the input sheet.</t>
  </si>
  <si>
    <t>Long Term Government Bond Rate =</t>
  </si>
  <si>
    <t>Pre-tax cost of debt =</t>
  </si>
  <si>
    <t>the current cost of capital (in the input sheet).</t>
  </si>
  <si>
    <t>Earnings before interest and taxes (EBIT) =</t>
  </si>
  <si>
    <t>Current interest expenses =</t>
  </si>
  <si>
    <t>Current long term government bond rate =</t>
  </si>
  <si>
    <t>Estimated Default Spread =</t>
  </si>
  <si>
    <t>Estimated Cost of Debt =</t>
  </si>
  <si>
    <t>Current FCFF =</t>
  </si>
  <si>
    <t>! I am ignoring working capital</t>
  </si>
  <si>
    <t>Before you start</t>
  </si>
  <si>
    <t>premium you would like to use to estimate your cost of equity and the current rating for</t>
  </si>
  <si>
    <t>your firm. If you do not have a rating, there is an option for you at the very bottom of</t>
  </si>
  <si>
    <t>the spreadsheet to compute a synthetic rating.</t>
  </si>
  <si>
    <t>PRELIMINARY STUFF AND INPUTS</t>
  </si>
  <si>
    <t>Enter the most updated numbers you have for each (even if they are 12-month trailing</t>
  </si>
  <si>
    <t>numbers). If the most recent period for which you have data has an operating income that</t>
  </si>
  <si>
    <t>Current Interest Expense =</t>
  </si>
  <si>
    <t>RESULTS FROM ANALYSIS</t>
  </si>
  <si>
    <t>Current</t>
  </si>
  <si>
    <t>Optimal</t>
  </si>
  <si>
    <t>Change</t>
  </si>
  <si>
    <t>D/(D+E) Ratio =</t>
  </si>
  <si>
    <t>Beta for the  Stock =</t>
  </si>
  <si>
    <t>Cost of Equity    =</t>
  </si>
  <si>
    <t>Implied Growth Rate =</t>
  </si>
  <si>
    <t>We use the following default spreads in our analysis. Change them in the input sheet if necessary:</t>
  </si>
  <si>
    <t>Inputs</t>
  </si>
  <si>
    <t>Drop in operating income based on current rating</t>
  </si>
  <si>
    <t>Adjusted EBITDA =</t>
  </si>
  <si>
    <t>Current rating for company =</t>
  </si>
  <si>
    <t>Q1: What do I do excel says there are circular references?</t>
  </si>
  <si>
    <t>current cost of capital is based upon your current rating, and the optimal is based upon</t>
  </si>
  <si>
    <t>Financial Information</t>
  </si>
  <si>
    <t>Do you have any operating leases?</t>
  </si>
  <si>
    <t>I am constrained to work in 10% increments of the debt ratio. If the true optimal were</t>
  </si>
  <si>
    <t>the synthetic ratings, and the two don't match, the current and the optimal cost of capital</t>
  </si>
  <si>
    <t xml:space="preserve"> - If your optimal is just slightly higher or lower than your current debt ratio, it is possible that you</t>
  </si>
  <si>
    <t>are closer to the optimal than the stated optimal. Let me explain. Assume that you are at a 24% debt ratio</t>
  </si>
  <si>
    <t>and the optimal comes out to 30%. The true optimal is really somewhere around 30% since</t>
  </si>
  <si>
    <t>Interest rate based upon coverage =</t>
  </si>
  <si>
    <t>Current beta=</t>
  </si>
  <si>
    <t>Current Equity=</t>
  </si>
  <si>
    <t>Current Depreciation=</t>
  </si>
  <si>
    <t>Current  Debt=</t>
  </si>
  <si>
    <t>Current EBITDA=</t>
  </si>
  <si>
    <t>firm value is computed at each debt ratio, based upon how the expected operating income</t>
  </si>
  <si>
    <t>and the cost of capital. The optimal debt ratio is that ratio at which firm value is</t>
  </si>
  <si>
    <t>maximized. It might not be the same point at which cost of capital is minimized.</t>
  </si>
  <si>
    <t>Question</t>
  </si>
  <si>
    <t>Answer</t>
  </si>
  <si>
    <t>Go into preferences, choose calculation options and make sure the iteration box has a check in it.</t>
  </si>
  <si>
    <t>Which spread/ratio table would you like to use for your anlaysis?</t>
  </si>
  <si>
    <t>Inputs for synthetic rating estimation</t>
  </si>
  <si>
    <t>You probably forgot to check the iteration box (see Q1)</t>
  </si>
  <si>
    <t>26%, your current debt ratio of 24% is closer to the optimal.</t>
  </si>
  <si>
    <t>Pre-tax cost of debt</t>
  </si>
  <si>
    <t>Spread is</t>
  </si>
  <si>
    <t>can be mismatched. You can get around this by switching to a synthetic rating for computing</t>
  </si>
  <si>
    <t xml:space="preserve"> - Existing debt at low rates: I assume in the spreadsheet that existing debt gets refinanced at</t>
  </si>
  <si>
    <t>Current WACC =</t>
  </si>
  <si>
    <t>the new pre-tax cost of debt at each debt ratio. Consequently, if you have a lot of old debt on</t>
  </si>
  <si>
    <t>compares it to your firm's optimal debt ratio and the cost of capital at that level. The</t>
  </si>
  <si>
    <t>Open preferences in excel, go into calculation options and put a check in the iteration box.</t>
  </si>
  <si>
    <t>If it is already checked, leave it as is.</t>
  </si>
  <si>
    <t xml:space="preserve">The inputs are primarily in the input sheet. If your company has operating leases, </t>
  </si>
  <si>
    <t>use the operating lease worksheet to enter your lease or rental commitments.</t>
  </si>
  <si>
    <t>Units</t>
  </si>
  <si>
    <t>Enter all numbers in the same units (000s, millions or even billions)</t>
  </si>
  <si>
    <t>Income inputs</t>
  </si>
  <si>
    <t>Financial Market</t>
  </si>
  <si>
    <t>Income Statement</t>
  </si>
  <si>
    <t>Current MV of Equity =</t>
  </si>
  <si>
    <t>Current Beta for Stock =</t>
  </si>
  <si>
    <t>Current EBITDA =</t>
  </si>
  <si>
    <t>Current Bond Rating =</t>
  </si>
  <si>
    <t>Current Depreciation =</t>
  </si>
  <si>
    <t># of Shares Outstanding =</t>
  </si>
  <si>
    <t>Current Tax Rate =</t>
  </si>
  <si>
    <t>Current Capital Spending=</t>
  </si>
  <si>
    <t>D</t>
  </si>
  <si>
    <t>C</t>
  </si>
  <si>
    <t>CC</t>
  </si>
  <si>
    <t>CCC</t>
  </si>
  <si>
    <t>B-</t>
  </si>
  <si>
    <t>B</t>
  </si>
  <si>
    <t>B+</t>
  </si>
  <si>
    <t>BB</t>
  </si>
  <si>
    <t>BBB</t>
  </si>
  <si>
    <t>A-</t>
  </si>
  <si>
    <t>A+</t>
  </si>
  <si>
    <t>AA</t>
  </si>
  <si>
    <t>AAA</t>
  </si>
  <si>
    <t>Summary of Inputs</t>
  </si>
  <si>
    <t>Drop in</t>
  </si>
  <si>
    <t>Drop in EBITDA</t>
  </si>
  <si>
    <t>No</t>
  </si>
  <si>
    <t>% Drop in EBITDA</t>
  </si>
  <si>
    <t>Country Default spread (for cost of debt)</t>
  </si>
  <si>
    <t>For large manufacturing firms</t>
  </si>
  <si>
    <t>For smaller and riskier firms</t>
  </si>
  <si>
    <t xml:space="preserve">Q6: I am getting an optimal debt ratio at a mix where my cost </t>
  </si>
  <si>
    <t>of capital is not minimized? Is something wrong?</t>
  </si>
  <si>
    <t>Not necessarily. If you chose to build in indirect bankruptcy costs (an option on the input page),</t>
  </si>
  <si>
    <t xml:space="preserve">your operating income also changes as your debt ratio changes. Since the objective ultimately is to </t>
  </si>
  <si>
    <t>maximize firm value, it is possible that the net effect (lower cost of capital is good but it could be offset</t>
  </si>
  <si>
    <t>by lower operating income) is resulting in an optimal at a higher debt ratio.</t>
  </si>
  <si>
    <t>Q2: My spreadsheet has gone crazy. I get errors all over. What did I do wrong?</t>
  </si>
  <si>
    <t>I am sorry to say this, but you probably just made an input error. While you might have fixed it, the iterations in the spreadsheet make it very sensitive and the errors will not go away. The only fix (Sorry, sorry…) is to copy the inputs into a fresh version of the spreadsheet.</t>
  </si>
  <si>
    <t>Q3: I am entering the inputs for my company but the optimal numbers do not seem to change from the originals.</t>
  </si>
  <si>
    <t>Q4: I am getting an optimal debt ratio of 0%. This can't be right. Can it?</t>
  </si>
  <si>
    <t>Please enter the date that you are doing this analysis</t>
  </si>
  <si>
    <t>Aaa/AAA</t>
  </si>
  <si>
    <t>Aa2/AA</t>
  </si>
  <si>
    <t>A2/A</t>
  </si>
  <si>
    <t>A3/A-</t>
  </si>
  <si>
    <t>Baa2/BBB</t>
  </si>
  <si>
    <t>Ba1/BB+</t>
  </si>
  <si>
    <t>Ba2/BB</t>
  </si>
  <si>
    <t>B1/B+</t>
  </si>
  <si>
    <t>B2/B</t>
  </si>
  <si>
    <t>B3/B-</t>
  </si>
  <si>
    <t>Caa/CCC</t>
  </si>
  <si>
    <t>Ca2/CC</t>
  </si>
  <si>
    <t>C2/C</t>
  </si>
  <si>
    <t>D2/D</t>
  </si>
  <si>
    <t>Low IBC</t>
  </si>
  <si>
    <t>Medium</t>
  </si>
  <si>
    <t xml:space="preserve"> High IBC</t>
  </si>
  <si>
    <t>Marginal tax rate to use for pre-tax cost of debt</t>
  </si>
  <si>
    <t>Country</t>
  </si>
  <si>
    <t>Afghanistan</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</si>
  <si>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</si>
  <si>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</si>
  <si>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</si>
  <si>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</si>
  <si>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</si>
  <si>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</si>
  <si>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</si>
  <si>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</si>
  <si>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</si>
  <si>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</si>
  <si>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</si>
  <si>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</si>
  <si>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</si>
  <si>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</si>
  <si>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</si>
  <si>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</si>
  <si>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</si>
  <si>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</si>
  <si>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</si>
  <si>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</si>
  <si>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</si>
  <si>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</si>
  <si>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</si>
  <si>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</si>
  <si>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</si>
  <si>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</si>
  <si>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</si>
  <si>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Curacao</t>
  </si>
  <si>
    <t>Cyprus</t>
  </si>
  <si>
    <t>Czech Republic</t>
  </si>
  <si>
    <t>Denmark</t>
  </si>
  <si>
    <t>Dominican Republic</t>
  </si>
  <si>
    <t>Ecuador</t>
  </si>
  <si>
    <t>Egypt</t>
  </si>
  <si>
    <t>Estonia</t>
  </si>
  <si>
    <t>El Salvador</t>
  </si>
  <si>
    <t>Fiji</t>
  </si>
  <si>
    <t>Finland</t>
  </si>
  <si>
    <t>France</t>
  </si>
  <si>
    <t>Georgia</t>
  </si>
  <si>
    <t>Germany</t>
  </si>
  <si>
    <t>Gibraltar</t>
  </si>
  <si>
    <t>Greece</t>
  </si>
  <si>
    <t>Guatemala</t>
  </si>
  <si>
    <t>Guernsey</t>
  </si>
  <si>
    <t>Honduras</t>
  </si>
  <si>
    <t>Hungary</t>
  </si>
  <si>
    <t>Iceland</t>
  </si>
  <si>
    <t>India</t>
  </si>
  <si>
    <t>Indonesia</t>
  </si>
  <si>
    <t>Ireland</t>
  </si>
  <si>
    <t>Isle of Man</t>
  </si>
  <si>
    <t>Israel</t>
  </si>
  <si>
    <t>Italy</t>
  </si>
  <si>
    <t>Jamaica</t>
  </si>
  <si>
    <t>Japan</t>
  </si>
  <si>
    <t>Jersey</t>
  </si>
  <si>
    <t>Jordan</t>
  </si>
  <si>
    <t>Kazakhstan</t>
  </si>
  <si>
    <t>Kenya</t>
  </si>
  <si>
    <t>Korea, Republic of</t>
  </si>
  <si>
    <t>Kuwait</t>
  </si>
  <si>
    <t>Latvia</t>
  </si>
  <si>
    <t>Libya</t>
  </si>
  <si>
    <t>Liechtenstein</t>
  </si>
  <si>
    <t>Lithuania</t>
  </si>
  <si>
    <t>Luxembourg</t>
  </si>
  <si>
    <t>Macau</t>
  </si>
  <si>
    <t>Macedonia</t>
  </si>
  <si>
    <t>Malawi</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</si>
  <si>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</si>
  <si>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</si>
  <si>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</si>
  <si>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</si>
  <si>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</si>
  <si>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</si>
  <si>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</si>
  <si>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</si>
  <si>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</si>
  <si>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</si>
  <si>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</si>
  <si>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</si>
  <si>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</si>
  <si>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</si>
  <si>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</si>
  <si>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</si>
  <si>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</si>
  <si>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</si>
  <si>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</si>
  <si>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</si>
  <si>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</si>
  <si>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</si>
  <si>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</si>
  <si>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Samoa</t>
  </si>
  <si>
    <t>Saudi Arabia</t>
  </si>
  <si>
    <t>Serbia</t>
  </si>
  <si>
    <t>Singapore</t>
  </si>
  <si>
    <t>Slovenia</t>
  </si>
  <si>
    <t>South Africa</t>
  </si>
  <si>
    <t>Spain</t>
  </si>
  <si>
    <t>Sri Lanka</t>
  </si>
  <si>
    <t>St Maarten</t>
  </si>
  <si>
    <t>Sudan</t>
  </si>
  <si>
    <t>Sweden</t>
  </si>
  <si>
    <t>Switzerland</t>
  </si>
  <si>
    <t>Syria</t>
  </si>
  <si>
    <t>Taiwan</t>
  </si>
  <si>
    <t>Tanzania</t>
  </si>
  <si>
    <t>Thailand</t>
  </si>
  <si>
    <t>Trinidad and Tobago</t>
  </si>
  <si>
    <t>Tunisia</t>
  </si>
  <si>
    <t>Turkey</t>
  </si>
  <si>
    <t>Uganda</t>
  </si>
  <si>
    <t>Ukraine</t>
  </si>
  <si>
    <t>United Arab Emirates</t>
  </si>
  <si>
    <t>United Kingdom</t>
  </si>
  <si>
    <t>United States</t>
  </si>
  <si>
    <t>Uruguay</t>
  </si>
  <si>
    <t>Vanuatu</t>
  </si>
  <si>
    <t>Venezuela</t>
  </si>
  <si>
    <t>Vietnam</t>
  </si>
  <si>
    <t>Yemen</t>
  </si>
  <si>
    <t>Zambia</t>
  </si>
  <si>
    <t>Zimbabwe</t>
  </si>
  <si>
    <t>Africa average</t>
  </si>
  <si>
    <t>North America average</t>
  </si>
  <si>
    <t>Asia average</t>
  </si>
  <si>
    <t>Europe average</t>
  </si>
  <si>
    <t>Latin America average</t>
  </si>
  <si>
    <t>Oceania average</t>
  </si>
  <si>
    <t>EU average</t>
  </si>
  <si>
    <t>OECD average</t>
  </si>
  <si>
    <t>Global average</t>
  </si>
  <si>
    <t>Current riskfree rate in the currency of analysis =</t>
  </si>
  <si>
    <t>Market Information &amp; information on debt</t>
  </si>
  <si>
    <t>Indirect bankruptcy costs &amp; ratings constraints (if any)</t>
  </si>
  <si>
    <t>Do you want to incorporate indirect bankruptcy costs into your optimal?</t>
  </si>
  <si>
    <t>Yes/No</t>
  </si>
  <si>
    <t>If yes, specify the magnitude of your indirect bankruptcy costs</t>
  </si>
  <si>
    <t>IBC</t>
  </si>
  <si>
    <t>Type of firm</t>
  </si>
  <si>
    <t>Rating on Debt</t>
  </si>
  <si>
    <t>After-tax cost of Debt =</t>
  </si>
  <si>
    <t>Debt Value of Operating leases =</t>
  </si>
  <si>
    <t>Equity Risk Premium =</t>
  </si>
  <si>
    <t>Enter the current pre-tax cost of debt for your company</t>
  </si>
  <si>
    <t>Not rated</t>
  </si>
  <si>
    <t>Do you want the firm's current rating &amp; cost of debt to be adjusted to the synthetic rating?</t>
  </si>
  <si>
    <t>If so, enter the market value of "interest bearing" debt:</t>
  </si>
  <si>
    <t>Can you estimate the market value of the interest bearing debt?</t>
  </si>
  <si>
    <t>If yes, enter the weighted average maturity of outstanding debt?</t>
  </si>
  <si>
    <t>Interest expense on debt:</t>
  </si>
  <si>
    <t>Book value of debt:</t>
  </si>
  <si>
    <t>Drivers of the optimal debt ratio</t>
  </si>
  <si>
    <t>Marginal tax rate =</t>
  </si>
  <si>
    <t>Unlevered beta =</t>
  </si>
  <si>
    <t>Current Bond Rating on debt (if available):</t>
  </si>
  <si>
    <t>A1/A+</t>
  </si>
  <si>
    <r>
      <t xml:space="preserve">Enter the book value of </t>
    </r>
    <r>
      <rPr>
        <sz val="10"/>
        <color indexed="10"/>
        <rFont val="Times"/>
        <family val="1"/>
      </rPr>
      <t>total debt</t>
    </r>
    <r>
      <rPr>
        <sz val="10"/>
        <rFont val="Times"/>
        <family val="1"/>
      </rPr>
      <t xml:space="preserve">. If you have a market value enter that </t>
    </r>
  </si>
  <si>
    <t>This spreadsheet allows you to compute the optimal capital structure for a non-financial</t>
  </si>
  <si>
    <t>service firm</t>
  </si>
  <si>
    <t>Enter the current stock price, the current risk free rate, the equity  risk</t>
  </si>
  <si>
    <t>Enter a marginal tax rate, if you can find it. Otherwise, use the marginal tax rate of country</t>
  </si>
  <si>
    <t>Earnings before interest expenses, depreciation &amp; amortization (EBITDA)</t>
  </si>
  <si>
    <t>Depreciation with operating leases classified as debt =</t>
  </si>
  <si>
    <t>Interest Expense</t>
  </si>
  <si>
    <t>Interest Coverage Ratio</t>
  </si>
  <si>
    <t>Tax rate</t>
  </si>
  <si>
    <t>After-tax cost of debt</t>
  </si>
  <si>
    <t>Cash and marketable securities =</t>
  </si>
  <si>
    <t>Enterprise value =</t>
  </si>
  <si>
    <t xml:space="preserve">Enterprise value </t>
  </si>
  <si>
    <t>Enterprise Value</t>
  </si>
  <si>
    <t>EBITDA/ Enterprise value =</t>
  </si>
  <si>
    <t>EBIT/ Enterprise value =</t>
  </si>
  <si>
    <t>Current Debt =</t>
  </si>
  <si>
    <t>Debt at Optimal =</t>
  </si>
  <si>
    <t>New Debt issued =</t>
  </si>
  <si>
    <t>Stock price buyback effect</t>
  </si>
  <si>
    <t>Current Stock price =</t>
  </si>
  <si>
    <t>Expected buyback price =</t>
  </si>
  <si>
    <t># Shares bought back =</t>
  </si>
  <si>
    <t>Shares outstanding after buyback =</t>
  </si>
  <si>
    <t># Shares outstanding before buyback =</t>
  </si>
  <si>
    <t>Enterprise value after buyback =</t>
  </si>
  <si>
    <t xml:space="preserve"> + Cash</t>
  </si>
  <si>
    <t xml:space="preserve"> - Debt</t>
  </si>
  <si>
    <t xml:space="preserve">Equity value after buyback </t>
  </si>
  <si>
    <t>/ Number of shares after buyback</t>
  </si>
  <si>
    <t>Value per share for remaining shares</t>
  </si>
  <si>
    <t>Output Summary</t>
  </si>
  <si>
    <t>Debt to Capital</t>
  </si>
  <si>
    <t>Cost of capital</t>
  </si>
  <si>
    <t>Enterprise value</t>
  </si>
  <si>
    <t>Value per share</t>
  </si>
  <si>
    <t>For details, check "Optimal Capital Structure" worksheet</t>
  </si>
  <si>
    <t>Enter this number</t>
  </si>
  <si>
    <t>Algeria</t>
  </si>
  <si>
    <t>Bonaire, Saint Eustatius and Saba</t>
  </si>
  <si>
    <t>Cameroon</t>
  </si>
  <si>
    <t>Ghana</t>
  </si>
  <si>
    <t>Hong Kong SAR</t>
  </si>
  <si>
    <t>Iraq</t>
  </si>
  <si>
    <t>Lebanon</t>
  </si>
  <si>
    <t>Moldova</t>
  </si>
  <si>
    <t>Morocco</t>
  </si>
  <si>
    <t>Sierra Leone</t>
  </si>
  <si>
    <t>Sint Maarten (Dutch part)</t>
  </si>
  <si>
    <t>Slovakia</t>
  </si>
  <si>
    <t>Suriname</t>
  </si>
  <si>
    <t>Americas average</t>
  </si>
  <si>
    <t>Andorra</t>
  </si>
  <si>
    <t>Anguilla</t>
  </si>
  <si>
    <t>Antigua and Barbuda</t>
  </si>
  <si>
    <t>Azerbaijan</t>
  </si>
  <si>
    <t>Benin</t>
  </si>
  <si>
    <t>Brunei Darussalam</t>
  </si>
  <si>
    <t>Burkina Faso</t>
  </si>
  <si>
    <t>Burundi</t>
  </si>
  <si>
    <t>Congo (Democratic Republic of the)</t>
  </si>
  <si>
    <t>Djibouti</t>
  </si>
  <si>
    <t>Dominica</t>
  </si>
  <si>
    <t>Ethiopia</t>
  </si>
  <si>
    <t>Gabon</t>
  </si>
  <si>
    <t>Gambia</t>
  </si>
  <si>
    <t>Grenada</t>
  </si>
  <si>
    <t>Ivory Coast</t>
  </si>
  <si>
    <t>Kyrgyzstan</t>
  </si>
  <si>
    <t>Madagascar</t>
  </si>
  <si>
    <t>Monaco</t>
  </si>
  <si>
    <t>Mongolia</t>
  </si>
  <si>
    <t>Myanmar</t>
  </si>
  <si>
    <t>Nicaragua</t>
  </si>
  <si>
    <t>Palestinian Territory</t>
  </si>
  <si>
    <t>Rwanda</t>
  </si>
  <si>
    <t>Saint Kitts and Nevis</t>
  </si>
  <si>
    <t>Saint Lucia</t>
  </si>
  <si>
    <t>Saint Vincent and the Grenadines</t>
  </si>
  <si>
    <t>Senegal</t>
  </si>
  <si>
    <t>Solomon Islands</t>
  </si>
  <si>
    <t>Swaziland</t>
  </si>
  <si>
    <t>Turkmenistan</t>
  </si>
  <si>
    <t>Turks and Caicos Islands</t>
  </si>
  <si>
    <t>Uzbekistan</t>
  </si>
  <si>
    <t>South America average</t>
  </si>
  <si>
    <t>2017</t>
  </si>
  <si>
    <t>In December 2017, Congress passed a major tax reform that not only lowered the tax rate for US companies but alao imposed limits on interst tax deductions for tax purposes. Starting in 2018, interest will be deductible, for tax purposes, only if it is less than 30% of taxable income. However, Congress in its wisdom has defined EBITDA as taxable income until 2022 and EBIT thereafter. I have added an option to the spreadsheet to allow you to incorporate this limit.  If you are working with a company outside the US, just set the option to constrain interest expenses to no and you should be ready to go.</t>
  </si>
  <si>
    <t>Are there any restrictions on interest deductions for tax purposes?</t>
  </si>
  <si>
    <t>If yes, what earnings or operating measure is the restriction tied to?</t>
  </si>
  <si>
    <t>Earnings/Operating Measure</t>
  </si>
  <si>
    <t>Enter the maximum percentage of that measure that is deductible</t>
  </si>
  <si>
    <t>Tax rate for debt tax benefits (Interest limits)</t>
  </si>
  <si>
    <t>Tax rate for debt (deduction constraint)</t>
  </si>
  <si>
    <t>Interest deduction constraints</t>
  </si>
  <si>
    <t>Tax rate to use in after-tax cost of debt</t>
  </si>
  <si>
    <t>Facebook</t>
  </si>
  <si>
    <r>
      <t>Circular Reasoning/ Iteration</t>
    </r>
    <r>
      <rPr>
        <sz val="12"/>
        <rFont val="Calibri"/>
        <family val="2"/>
        <scheme val="minor"/>
      </rPr>
      <t>I: When you open this spreadsheet, you may be warned that there is circular reasoning. That is a feature, not a bug, since I need to use circular reasoning to get to the interest rate at each level of debt. To get the spreadsheet working properly, go to Calculation options in Excel and make sure the iteraion box is checked.</t>
    </r>
  </si>
  <si>
    <t>Important: This spreadsheet includes circular references, by design. Please go into calculation options and check the iteration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</si>
</sst>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0.0%"/>
    <numFmt numFmtId="165" formatCode="[$-409]mmmm\ d\,\ yyyy;@"/>
    <numFmt numFmtId="166" formatCode="0.0000"/>
    <numFmt numFmtId="167" formatCode="&quot;$&quot;#,##0.00"/>
    <numFmt numFmtId="168" formatCode="&quot;$&quot;#,##0"/>
  </numFmts>
  <fonts count="32">
    <font>
      <sz val="10"/>
      <name val="Geneva"/>
    </font>
    <font>
      <b/>
      <sz val="10"/>
      <name val="Geneva"/>
      <family val="2"/>
    </font>
    <font>
      <sz val="10"/>
      <name val="Geneva"/>
      <family val="2"/>
    </font>
    <font>
      <sz val="12"/>
      <name val="Times"/>
      <family val="1"/>
    </font>
    <font>
      <b/>
      <sz val="10"/>
      <name val="Times"/>
      <family val="1"/>
    </font>
    <font>
      <sz val="10"/>
      <name val="Times"/>
      <family val="1"/>
    </font>
    <font>
      <i/>
      <sz val="10"/>
      <name val="Times"/>
      <family val="1"/>
    </font>
    <font>
      <b/>
      <i/>
      <sz val="10"/>
      <name val="Times"/>
      <family val="1"/>
    </font>
    <font>
      <sz val="9"/>
      <color indexed="81"/>
      <name val="Geneva"/>
      <family val="2"/>
    </font>
    <font>
      <b/>
      <sz val="9"/>
      <color indexed="81"/>
      <name val="Geneva"/>
      <family val="2"/>
    </font>
    <font>
      <b/>
      <sz val="14"/>
      <name val="Times"/>
      <family val="1"/>
    </font>
    <font>
      <sz val="10"/>
      <color indexed="10"/>
      <name val="Times"/>
      <family val="1"/>
    </font>
    <font>
      <b/>
      <i/>
      <sz val="14"/>
      <name val="Times"/>
      <family val="1"/>
    </font>
    <font>
      <b/>
      <sz val="10"/>
      <color indexed="10"/>
      <name val="Times"/>
      <family val="1"/>
    </font>
    <font>
      <b/>
      <i/>
      <sz val="10"/>
      <color indexed="10"/>
      <name val="Times"/>
      <family val="1"/>
    </font>
    <font>
      <i/>
      <sz val="10"/>
      <color indexed="10"/>
      <name val="Times"/>
      <family val="1"/>
    </font>
    <font>
      <sz val="8"/>
      <name val="Geneva"/>
      <family val="2"/>
    </font>
    <font>
      <sz val="8"/>
      <name val="Verdana"/>
      <family val="2"/>
    </font>
    <font>
      <b/>
      <sz val="14"/>
      <name val="Geneva"/>
      <family val="2"/>
    </font>
    <font>
      <sz val="12"/>
      <color rgb="FFFF0000"/>
      <name val="Calibri"/>
      <family val="2"/>
      <scheme val="minor"/>
    </font>
    <font>
      <sz val="10"/>
      <name val="Calibri"/>
      <family val="2"/>
      <scheme val="minor"/>
    </font>
    <font>
      <i/>
      <sz val="10"/>
      <name val="Calibri"/>
      <family val="2"/>
      <scheme val="minor"/>
    </font>
    <font>
      <b/>
      <sz val="12"/>
      <name val="Calibri"/>
      <family val="2"/>
      <scheme val="minor"/>
    </font>
    <font>
      <sz val="10"/>
      <color rgb="FFFF0000"/>
      <name val="Geneva"/>
      <family val="2"/>
    </font>
    <font>
      <sz val="12"/>
      <name val="Calibri"/>
      <family val="2"/>
      <scheme val="minor"/>
    </font>
    <font>
      <i/>
      <sz val="12"/>
      <name val="Calibri"/>
      <family val="2"/>
      <scheme val="minor"/>
    </font>
    <font>
      <i/>
      <sz val="12"/>
      <color theme="1"/>
      <name val="Calibri"/>
      <family val="2"/>
      <scheme val="minor"/>
    </font>
    <font>
      <sz val="9"/>
      <color rgb="FF000000"/>
      <name val="Geneva"/>
      <family val="2"/>
    </font>
    <font>
      <b/>
      <i/>
      <sz val="12"/>
      <name val="Calibri"/>
      <family val="2"/>
      <scheme val="minor"/>
    </font>
    <font>
      <b/>
      <sz val="9"/>
      <color rgb="FF000000"/>
      <name val="Geneva"/>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double">
        <color indexed="64"/>
      </right>
      <top/>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double">
        <color indexed="64"/>
      </right>
      <top/>
      <bottom style="double">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4">
    <xf numFmtId="0" fontId="0" fillId="0" borderId="0"/>
    <xf numFmtId="4" fontId="2" fillId="0" borderId="0" applyFont="0" applyFill="0" applyBorder="0" applyAlignment="0" applyProtection="0"/>
    <xf numFmtId="8" fontId="2" fillId="0" borderId="0" applyFont="0" applyFill="0" applyBorder="0" applyAlignment="0" applyProtection="0"/>
    <xf numFmtId="9" fontId="2" fillId="0" borderId="0" applyFont="0" applyFill="0" applyBorder="0" applyAlignment="0" applyProtection="0"/>
  </cellStyleXfs>
  <cellXfs count="270">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6" fillId="0" borderId="0" xfId="0" applyFont="1"/>
    <xf numFmtId="0" fontId="5" fillId="0" borderId="0" xfId="0" applyFont="1" applyBorder="1" applyAlignment="1">
      <alignment horizontal="center"/>
    </xf>
    <xf numFmtId="0" fontId="5" fillId="0" borderId="1" xfId="0" applyFont="1" applyBorder="1" applyAlignment="1">
      <alignment horizontal="center"/>
    </xf>
    <xf numFmtId="10" fontId="5" fillId="0" borderId="1" xfId="0" applyNumberFormat="1" applyFont="1" applyBorder="1" applyAlignment="1">
      <alignment horizontal="center"/>
    </xf>
    <xf numFmtId="0" fontId="7" fillId="0" borderId="0" xfId="0" applyFont="1"/>
    <xf numFmtId="10" fontId="5" fillId="0" borderId="0" xfId="0" applyNumberFormat="1" applyFont="1" applyAlignment="1">
      <alignment horizontal="center"/>
    </xf>
    <xf numFmtId="0" fontId="6" fillId="0" borderId="2" xfId="0" applyFont="1" applyBorder="1"/>
    <xf numFmtId="0" fontId="6" fillId="0" borderId="3" xfId="0" applyFont="1" applyBorder="1"/>
    <xf numFmtId="0" fontId="6" fillId="0" borderId="4" xfId="0" applyFont="1" applyBorder="1"/>
    <xf numFmtId="0" fontId="5" fillId="0" borderId="5" xfId="0" applyFont="1" applyBorder="1"/>
    <xf numFmtId="0" fontId="5" fillId="0" borderId="0" xfId="0" applyFont="1" applyBorder="1"/>
    <xf numFmtId="6" fontId="5" fillId="0" borderId="0" xfId="0" applyNumberFormat="1" applyFont="1" applyBorder="1" applyAlignment="1">
      <alignment horizontal="center"/>
    </xf>
    <xf numFmtId="6" fontId="5" fillId="0" borderId="6" xfId="0" applyNumberFormat="1" applyFont="1" applyBorder="1" applyAlignment="1">
      <alignment horizontal="center"/>
    </xf>
    <xf numFmtId="10" fontId="5" fillId="0" borderId="0" xfId="0" applyNumberFormat="1" applyFont="1" applyBorder="1" applyAlignment="1">
      <alignment horizontal="center"/>
    </xf>
    <xf numFmtId="10" fontId="5" fillId="0" borderId="6" xfId="0" applyNumberFormat="1" applyFont="1" applyBorder="1" applyAlignment="1">
      <alignment horizontal="center"/>
    </xf>
    <xf numFmtId="5" fontId="5" fillId="0" borderId="6" xfId="2" applyNumberFormat="1" applyFont="1" applyBorder="1" applyAlignment="1">
      <alignment horizontal="center"/>
    </xf>
    <xf numFmtId="0" fontId="5" fillId="0" borderId="7" xfId="0" applyFont="1" applyBorder="1"/>
    <xf numFmtId="0" fontId="5" fillId="0" borderId="8" xfId="0" applyFont="1" applyBorder="1"/>
    <xf numFmtId="10" fontId="5" fillId="0" borderId="8" xfId="0" applyNumberFormat="1" applyFont="1" applyBorder="1" applyAlignment="1">
      <alignment horizontal="center"/>
    </xf>
    <xf numFmtId="0" fontId="6" fillId="0" borderId="10" xfId="0" applyFont="1" applyBorder="1" applyAlignment="1">
      <alignment horizontal="centerContinuous"/>
    </xf>
    <xf numFmtId="0" fontId="6" fillId="0" borderId="11" xfId="0" applyFont="1" applyBorder="1" applyAlignment="1">
      <alignment horizontal="centerContinuous"/>
    </xf>
    <xf numFmtId="0" fontId="6" fillId="0" borderId="12" xfId="0" applyFont="1" applyBorder="1" applyAlignment="1">
      <alignment horizontal="centerContinuous"/>
    </xf>
    <xf numFmtId="2" fontId="5" fillId="0" borderId="1" xfId="0" applyNumberFormat="1" applyFont="1" applyBorder="1" applyAlignment="1">
      <alignment horizontal="center"/>
    </xf>
    <xf numFmtId="0" fontId="5" fillId="0" borderId="13" xfId="0" applyFont="1" applyBorder="1"/>
    <xf numFmtId="10" fontId="5" fillId="0" borderId="0" xfId="0" applyNumberFormat="1" applyFont="1" applyBorder="1" applyAlignment="1"/>
    <xf numFmtId="10" fontId="4" fillId="0" borderId="0" xfId="0" applyNumberFormat="1" applyFont="1" applyBorder="1" applyAlignment="1">
      <alignment horizontal="center"/>
    </xf>
    <xf numFmtId="0" fontId="5" fillId="0" borderId="14" xfId="0" applyFont="1" applyBorder="1"/>
    <xf numFmtId="10" fontId="5" fillId="0" borderId="15" xfId="0" applyNumberFormat="1" applyFont="1" applyBorder="1" applyAlignment="1">
      <alignment horizontal="center"/>
    </xf>
    <xf numFmtId="10" fontId="5" fillId="0" borderId="16" xfId="0" applyNumberFormat="1" applyFont="1" applyBorder="1" applyAlignment="1">
      <alignment horizontal="center"/>
    </xf>
    <xf numFmtId="0" fontId="5" fillId="0" borderId="0" xfId="0" applyFont="1" applyBorder="1" applyAlignment="1">
      <alignment horizontal="left"/>
    </xf>
    <xf numFmtId="5" fontId="5" fillId="0" borderId="0" xfId="0" applyNumberFormat="1" applyFont="1" applyBorder="1" applyAlignment="1">
      <alignment horizontal="center"/>
    </xf>
    <xf numFmtId="0" fontId="6" fillId="2" borderId="5" xfId="0" applyFont="1" applyFill="1" applyBorder="1"/>
    <xf numFmtId="0" fontId="6" fillId="2" borderId="0" xfId="0" applyFont="1" applyFill="1" applyBorder="1"/>
    <xf numFmtId="0" fontId="5" fillId="2" borderId="5" xfId="0" applyFont="1" applyFill="1" applyBorder="1"/>
    <xf numFmtId="0" fontId="5" fillId="2" borderId="0" xfId="0" applyFont="1" applyFill="1" applyBorder="1"/>
    <xf numFmtId="10" fontId="5" fillId="2" borderId="9" xfId="0" applyNumberFormat="1" applyFont="1" applyFill="1" applyBorder="1" applyAlignment="1">
      <alignment horizontal="center"/>
    </xf>
    <xf numFmtId="10" fontId="5" fillId="2" borderId="19" xfId="0" applyNumberFormat="1" applyFont="1" applyFill="1" applyBorder="1" applyAlignment="1">
      <alignment horizontal="center"/>
    </xf>
    <xf numFmtId="0" fontId="5" fillId="2" borderId="9" xfId="0" applyFont="1" applyFill="1" applyBorder="1" applyAlignment="1">
      <alignment horizontal="center"/>
    </xf>
    <xf numFmtId="0" fontId="5" fillId="2" borderId="19" xfId="0" applyFont="1" applyFill="1" applyBorder="1" applyAlignment="1">
      <alignment horizontal="center"/>
    </xf>
    <xf numFmtId="4" fontId="5" fillId="2" borderId="19" xfId="0" applyNumberFormat="1" applyFont="1" applyFill="1" applyBorder="1" applyAlignment="1">
      <alignment horizontal="center"/>
    </xf>
    <xf numFmtId="6" fontId="5" fillId="2" borderId="9" xfId="0" applyNumberFormat="1" applyFont="1" applyFill="1" applyBorder="1" applyAlignment="1">
      <alignment horizontal="center"/>
    </xf>
    <xf numFmtId="5" fontId="5" fillId="2" borderId="19" xfId="0" applyNumberFormat="1" applyFont="1" applyFill="1" applyBorder="1" applyAlignment="1">
      <alignment horizontal="center"/>
    </xf>
    <xf numFmtId="0" fontId="5" fillId="2" borderId="7" xfId="0" applyFont="1" applyFill="1" applyBorder="1"/>
    <xf numFmtId="0" fontId="5" fillId="2" borderId="8" xfId="0" applyFont="1" applyFill="1" applyBorder="1"/>
    <xf numFmtId="7" fontId="5" fillId="2" borderId="20" xfId="0" applyNumberFormat="1" applyFont="1" applyFill="1" applyBorder="1" applyAlignment="1">
      <alignment horizontal="center"/>
    </xf>
    <xf numFmtId="7" fontId="5" fillId="2" borderId="21" xfId="0" applyNumberFormat="1" applyFont="1" applyFill="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9" fontId="5" fillId="0" borderId="1" xfId="0" applyNumberFormat="1" applyFont="1" applyBorder="1" applyAlignment="1">
      <alignment horizontal="center"/>
    </xf>
    <xf numFmtId="10" fontId="5" fillId="0" borderId="1" xfId="3" applyNumberFormat="1" applyFont="1" applyBorder="1" applyAlignment="1">
      <alignment horizontal="center"/>
    </xf>
    <xf numFmtId="5" fontId="5" fillId="0" borderId="1" xfId="0" applyNumberFormat="1" applyFont="1" applyBorder="1" applyAlignment="1">
      <alignment horizontal="center"/>
    </xf>
    <xf numFmtId="0" fontId="5" fillId="0" borderId="1" xfId="0" applyFont="1" applyBorder="1"/>
    <xf numFmtId="0" fontId="10" fillId="0" borderId="0" xfId="0" applyFont="1"/>
    <xf numFmtId="0" fontId="2" fillId="0" borderId="0" xfId="0" applyFont="1"/>
    <xf numFmtId="2" fontId="4" fillId="0" borderId="25" xfId="0" applyNumberFormat="1" applyFont="1" applyBorder="1" applyAlignment="1">
      <alignment horizontal="center"/>
    </xf>
    <xf numFmtId="0" fontId="1" fillId="0" borderId="26" xfId="0" applyFont="1" applyBorder="1" applyAlignment="1">
      <alignment horizontal="center"/>
    </xf>
    <xf numFmtId="10" fontId="1" fillId="0" borderId="25" xfId="3" applyNumberFormat="1" applyFont="1" applyBorder="1" applyAlignment="1">
      <alignment horizontal="center"/>
    </xf>
    <xf numFmtId="10" fontId="4" fillId="0" borderId="25" xfId="0" applyNumberFormat="1" applyFont="1" applyBorder="1" applyAlignment="1">
      <alignment horizontal="center"/>
    </xf>
    <xf numFmtId="0" fontId="6" fillId="0" borderId="1" xfId="0" applyFont="1" applyBorder="1" applyAlignment="1">
      <alignment horizontal="centerContinuous"/>
    </xf>
    <xf numFmtId="0" fontId="6" fillId="0" borderId="1" xfId="0" applyFont="1" applyBorder="1"/>
    <xf numFmtId="0" fontId="6" fillId="0" borderId="1" xfId="0" applyFont="1" applyBorder="1" applyAlignment="1">
      <alignment horizontal="center"/>
    </xf>
    <xf numFmtId="0" fontId="5" fillId="0" borderId="23" xfId="0" applyFont="1" applyBorder="1"/>
    <xf numFmtId="2" fontId="5" fillId="0" borderId="0" xfId="0" applyNumberFormat="1" applyFont="1" applyBorder="1" applyAlignment="1">
      <alignment horizontal="center"/>
    </xf>
    <xf numFmtId="0" fontId="11" fillId="0" borderId="0" xfId="0" applyFont="1"/>
    <xf numFmtId="6" fontId="5" fillId="0" borderId="0" xfId="2" applyNumberFormat="1" applyFont="1" applyBorder="1" applyAlignment="1">
      <alignment horizontal="center"/>
    </xf>
    <xf numFmtId="6" fontId="5" fillId="0" borderId="27" xfId="0" applyNumberFormat="1" applyFont="1" applyBorder="1" applyAlignment="1">
      <alignment horizontal="center"/>
    </xf>
    <xf numFmtId="10" fontId="11" fillId="2" borderId="9" xfId="0" applyNumberFormat="1" applyFont="1" applyFill="1" applyBorder="1" applyAlignment="1">
      <alignment horizontal="center"/>
    </xf>
    <xf numFmtId="0" fontId="11" fillId="2" borderId="9" xfId="0" applyFont="1" applyFill="1" applyBorder="1" applyAlignment="1">
      <alignment horizontal="center"/>
    </xf>
    <xf numFmtId="2" fontId="11" fillId="2" borderId="9" xfId="0" applyNumberFormat="1" applyFont="1" applyFill="1" applyBorder="1" applyAlignment="1">
      <alignment horizontal="center"/>
    </xf>
    <xf numFmtId="6" fontId="11" fillId="2" borderId="9" xfId="0" applyNumberFormat="1" applyFont="1" applyFill="1" applyBorder="1" applyAlignment="1">
      <alignment horizontal="center"/>
    </xf>
    <xf numFmtId="7" fontId="11" fillId="2" borderId="20" xfId="0" applyNumberFormat="1" applyFont="1" applyFill="1" applyBorder="1" applyAlignment="1">
      <alignment horizontal="center"/>
    </xf>
    <xf numFmtId="0" fontId="6" fillId="2" borderId="9" xfId="0" applyFont="1" applyFill="1" applyBorder="1" applyAlignment="1">
      <alignment horizontal="center"/>
    </xf>
    <xf numFmtId="0" fontId="15" fillId="2" borderId="9" xfId="0" applyFont="1" applyFill="1" applyBorder="1" applyAlignment="1">
      <alignment horizontal="center"/>
    </xf>
    <xf numFmtId="0" fontId="6" fillId="2" borderId="19" xfId="0" applyFont="1" applyFill="1" applyBorder="1" applyAlignment="1">
      <alignment horizontal="center"/>
    </xf>
    <xf numFmtId="10" fontId="5" fillId="0" borderId="0" xfId="3" applyNumberFormat="1" applyFont="1"/>
    <xf numFmtId="10" fontId="5" fillId="0" borderId="1" xfId="0" applyNumberFormat="1" applyFont="1" applyBorder="1"/>
    <xf numFmtId="10" fontId="5" fillId="0" borderId="1" xfId="3" applyNumberFormat="1" applyFont="1" applyBorder="1"/>
    <xf numFmtId="0" fontId="6" fillId="0" borderId="23" xfId="0" applyFont="1" applyBorder="1" applyAlignment="1">
      <alignment horizontal="center"/>
    </xf>
    <xf numFmtId="0" fontId="6" fillId="0" borderId="24" xfId="0" applyFont="1" applyBorder="1" applyAlignment="1">
      <alignment horizontal="center"/>
    </xf>
    <xf numFmtId="0" fontId="6" fillId="0" borderId="23" xfId="0" applyFont="1" applyBorder="1"/>
    <xf numFmtId="0" fontId="6" fillId="0" borderId="24" xfId="0" applyFont="1" applyBorder="1"/>
    <xf numFmtId="0" fontId="5" fillId="0" borderId="24" xfId="0" applyFont="1" applyBorder="1"/>
    <xf numFmtId="0" fontId="6" fillId="0" borderId="28" xfId="0" applyFont="1" applyBorder="1"/>
    <xf numFmtId="0" fontId="5" fillId="0" borderId="28" xfId="0" applyFont="1" applyBorder="1"/>
    <xf numFmtId="0" fontId="5" fillId="0" borderId="12" xfId="0" applyFont="1" applyBorder="1" applyAlignment="1">
      <alignment horizontal="left"/>
    </xf>
    <xf numFmtId="0" fontId="5" fillId="0" borderId="29" xfId="0" applyFont="1" applyBorder="1" applyAlignment="1">
      <alignment horizontal="left"/>
    </xf>
    <xf numFmtId="0" fontId="6" fillId="0" borderId="23" xfId="0" applyFont="1" applyBorder="1" applyAlignment="1">
      <alignment horizontal="left"/>
    </xf>
    <xf numFmtId="0" fontId="7" fillId="0" borderId="24" xfId="0" applyFont="1" applyBorder="1" applyAlignment="1">
      <alignment horizontal="center"/>
    </xf>
    <xf numFmtId="0" fontId="10" fillId="0" borderId="0" xfId="0" applyFont="1" applyAlignment="1">
      <alignment horizontal="centerContinuous"/>
    </xf>
    <xf numFmtId="0" fontId="3" fillId="0" borderId="10" xfId="0" applyFont="1" applyBorder="1" applyAlignment="1">
      <alignment horizontal="left"/>
    </xf>
    <xf numFmtId="0" fontId="3" fillId="0" borderId="11" xfId="0" applyFont="1" applyBorder="1" applyAlignment="1">
      <alignment horizontal="centerContinuous"/>
    </xf>
    <xf numFmtId="0" fontId="3" fillId="0" borderId="12" xfId="0" applyFont="1" applyBorder="1" applyAlignment="1">
      <alignment horizontal="centerContinuous"/>
    </xf>
    <xf numFmtId="0" fontId="3" fillId="0" borderId="0" xfId="0" applyFont="1" applyAlignment="1">
      <alignment horizontal="centerContinuous"/>
    </xf>
    <xf numFmtId="0" fontId="3" fillId="0" borderId="9" xfId="0" applyFont="1" applyBorder="1" applyAlignment="1">
      <alignment horizontal="left"/>
    </xf>
    <xf numFmtId="0" fontId="3" fillId="0" borderId="0" xfId="0" applyFont="1" applyBorder="1" applyAlignment="1">
      <alignment horizontal="centerContinuous"/>
    </xf>
    <xf numFmtId="0" fontId="3" fillId="0" borderId="30" xfId="0" applyFont="1" applyBorder="1" applyAlignment="1">
      <alignment horizontal="centerContinuous"/>
    </xf>
    <xf numFmtId="0" fontId="3" fillId="0" borderId="31" xfId="0" applyFont="1" applyBorder="1" applyAlignment="1">
      <alignment horizontal="left"/>
    </xf>
    <xf numFmtId="0" fontId="3" fillId="0" borderId="13" xfId="0" applyFont="1" applyBorder="1" applyAlignment="1">
      <alignment horizontal="left"/>
    </xf>
    <xf numFmtId="0" fontId="3" fillId="0" borderId="29" xfId="0" applyFont="1" applyBorder="1" applyAlignment="1">
      <alignment horizontal="left"/>
    </xf>
    <xf numFmtId="0" fontId="3" fillId="0" borderId="0" xfId="0" applyFont="1" applyAlignment="1">
      <alignment horizontal="left"/>
    </xf>
    <xf numFmtId="8" fontId="5" fillId="3" borderId="1" xfId="2" applyFont="1" applyFill="1" applyBorder="1"/>
    <xf numFmtId="44" fontId="5" fillId="3" borderId="1" xfId="2" applyNumberFormat="1" applyFont="1" applyFill="1" applyBorder="1"/>
    <xf numFmtId="10" fontId="5" fillId="0" borderId="25" xfId="0" applyNumberFormat="1" applyFont="1" applyFill="1" applyBorder="1" applyAlignment="1">
      <alignment horizontal="center"/>
    </xf>
    <xf numFmtId="8" fontId="4" fillId="0" borderId="0" xfId="2" applyFont="1" applyBorder="1"/>
    <xf numFmtId="0" fontId="5" fillId="2" borderId="1" xfId="0" applyFont="1" applyFill="1" applyBorder="1" applyAlignment="1">
      <alignment horizontal="center"/>
    </xf>
    <xf numFmtId="44" fontId="5" fillId="2" borderId="1" xfId="0" applyNumberFormat="1" applyFont="1" applyFill="1" applyBorder="1"/>
    <xf numFmtId="8" fontId="5" fillId="2" borderId="1" xfId="2" applyFont="1" applyFill="1" applyBorder="1"/>
    <xf numFmtId="44" fontId="5" fillId="2" borderId="23" xfId="0" applyNumberFormat="1" applyFont="1" applyFill="1" applyBorder="1"/>
    <xf numFmtId="8" fontId="5" fillId="2" borderId="23" xfId="2" applyFont="1" applyFill="1" applyBorder="1"/>
    <xf numFmtId="0" fontId="5" fillId="0" borderId="25" xfId="0" applyFont="1" applyBorder="1"/>
    <xf numFmtId="44" fontId="5" fillId="2" borderId="25" xfId="0" applyNumberFormat="1" applyFont="1" applyFill="1" applyBorder="1"/>
    <xf numFmtId="44" fontId="5" fillId="2" borderId="26" xfId="0" applyNumberFormat="1" applyFont="1" applyFill="1" applyBorder="1"/>
    <xf numFmtId="0" fontId="6" fillId="0" borderId="32" xfId="0" applyFont="1" applyBorder="1" applyAlignment="1">
      <alignment horizontal="centerContinuous"/>
    </xf>
    <xf numFmtId="0" fontId="6" fillId="0" borderId="32" xfId="0" applyFont="1" applyBorder="1"/>
    <xf numFmtId="0" fontId="6" fillId="0" borderId="29" xfId="0" applyFont="1" applyBorder="1" applyAlignment="1">
      <alignment horizontal="center"/>
    </xf>
    <xf numFmtId="0" fontId="5" fillId="0" borderId="29" xfId="0" applyFont="1" applyBorder="1" applyAlignment="1">
      <alignment horizontal="center"/>
    </xf>
    <xf numFmtId="2" fontId="5" fillId="0" borderId="24" xfId="0" applyNumberFormat="1" applyFont="1" applyBorder="1" applyAlignment="1">
      <alignment horizontal="center"/>
    </xf>
    <xf numFmtId="0" fontId="5" fillId="0" borderId="32" xfId="0" applyFont="1" applyBorder="1" applyAlignment="1">
      <alignment horizontal="centerContinuous"/>
    </xf>
    <xf numFmtId="0" fontId="5" fillId="0" borderId="32" xfId="0" applyFont="1" applyBorder="1" applyAlignment="1">
      <alignment horizontal="center"/>
    </xf>
    <xf numFmtId="0" fontId="20" fillId="0" borderId="1" xfId="0" applyFont="1" applyBorder="1"/>
    <xf numFmtId="0" fontId="20" fillId="0" borderId="23" xfId="0" applyFont="1" applyBorder="1"/>
    <xf numFmtId="0" fontId="20" fillId="0" borderId="28" xfId="0" applyFont="1" applyBorder="1"/>
    <xf numFmtId="0" fontId="20" fillId="0" borderId="24" xfId="0" applyFont="1" applyBorder="1"/>
    <xf numFmtId="0" fontId="20" fillId="0" borderId="0" xfId="0" applyFont="1"/>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center"/>
    </xf>
    <xf numFmtId="0" fontId="21" fillId="0" borderId="1" xfId="0" applyFont="1" applyBorder="1" applyAlignment="1">
      <alignment horizontal="center"/>
    </xf>
    <xf numFmtId="0" fontId="20" fillId="0" borderId="1" xfId="0" applyFont="1" applyBorder="1" applyAlignment="1">
      <alignment horizontal="center"/>
    </xf>
    <xf numFmtId="10" fontId="20" fillId="0" borderId="1" xfId="3" applyNumberFormat="1" applyFont="1" applyBorder="1" applyAlignment="1">
      <alignment horizontal="center"/>
    </xf>
    <xf numFmtId="9" fontId="20" fillId="0" borderId="1" xfId="0" applyNumberFormat="1" applyFont="1" applyBorder="1" applyAlignment="1">
      <alignment horizontal="center"/>
    </xf>
    <xf numFmtId="0" fontId="20" fillId="0" borderId="9" xfId="0" applyFont="1" applyFill="1" applyBorder="1" applyAlignment="1">
      <alignment horizontal="center"/>
    </xf>
    <xf numFmtId="0" fontId="22" fillId="0" borderId="0" xfId="0" applyFont="1"/>
    <xf numFmtId="0" fontId="13" fillId="0" borderId="0" xfId="0" applyFont="1" applyBorder="1"/>
    <xf numFmtId="0" fontId="4" fillId="0" borderId="0" xfId="0" applyFont="1" applyBorder="1"/>
    <xf numFmtId="6" fontId="5" fillId="0" borderId="1" xfId="0" applyNumberFormat="1" applyFont="1" applyBorder="1"/>
    <xf numFmtId="8" fontId="5" fillId="0" borderId="1" xfId="0" applyNumberFormat="1" applyFont="1" applyBorder="1"/>
    <xf numFmtId="10" fontId="7" fillId="0" borderId="0" xfId="0" applyNumberFormat="1" applyFont="1" applyBorder="1" applyAlignment="1">
      <alignment horizontal="center"/>
    </xf>
    <xf numFmtId="10" fontId="5" fillId="0" borderId="1" xfId="0" applyNumberFormat="1" applyFont="1" applyBorder="1" applyAlignment="1">
      <alignment horizontal="left"/>
    </xf>
    <xf numFmtId="8" fontId="5" fillId="6" borderId="25" xfId="0" applyNumberFormat="1" applyFont="1" applyFill="1" applyBorder="1"/>
    <xf numFmtId="10" fontId="5" fillId="6" borderId="25" xfId="0" applyNumberFormat="1" applyFont="1" applyFill="1" applyBorder="1"/>
    <xf numFmtId="0" fontId="5" fillId="6" borderId="25" xfId="0" applyFont="1" applyFill="1" applyBorder="1"/>
    <xf numFmtId="8" fontId="5" fillId="6" borderId="1" xfId="2" applyFont="1" applyFill="1" applyBorder="1"/>
    <xf numFmtId="0" fontId="5" fillId="0" borderId="33" xfId="0" applyFont="1" applyBorder="1"/>
    <xf numFmtId="10" fontId="5" fillId="0" borderId="34" xfId="0" applyNumberFormat="1" applyFont="1" applyBorder="1"/>
    <xf numFmtId="10" fontId="5" fillId="0" borderId="34" xfId="3" applyNumberFormat="1" applyFont="1" applyBorder="1"/>
    <xf numFmtId="0" fontId="5" fillId="0" borderId="35" xfId="0" applyFont="1" applyBorder="1"/>
    <xf numFmtId="0" fontId="5" fillId="0" borderId="36" xfId="0" applyFont="1" applyBorder="1"/>
    <xf numFmtId="0" fontId="0" fillId="0" borderId="0" xfId="0" applyFont="1"/>
    <xf numFmtId="6" fontId="5" fillId="0" borderId="0" xfId="0" applyNumberFormat="1" applyFont="1"/>
    <xf numFmtId="166" fontId="5" fillId="0" borderId="1" xfId="0" applyNumberFormat="1" applyFont="1" applyBorder="1" applyAlignment="1">
      <alignment horizontal="center"/>
    </xf>
    <xf numFmtId="0" fontId="5" fillId="0" borderId="0" xfId="0" applyFont="1" applyFill="1" applyBorder="1"/>
    <xf numFmtId="44" fontId="0" fillId="6" borderId="0" xfId="0" applyNumberFormat="1" applyFill="1"/>
    <xf numFmtId="5" fontId="5" fillId="0" borderId="0" xfId="0" applyNumberFormat="1" applyFont="1"/>
    <xf numFmtId="7" fontId="5" fillId="0" borderId="0" xfId="0" applyNumberFormat="1" applyFont="1"/>
    <xf numFmtId="164" fontId="5" fillId="0" borderId="0" xfId="3" applyNumberFormat="1" applyFont="1"/>
    <xf numFmtId="5" fontId="6" fillId="0" borderId="0" xfId="0" applyNumberFormat="1" applyFont="1"/>
    <xf numFmtId="8" fontId="5" fillId="0" borderId="0" xfId="0" applyNumberFormat="1" applyFont="1"/>
    <xf numFmtId="166" fontId="5" fillId="0" borderId="37" xfId="0" applyNumberFormat="1" applyFont="1" applyBorder="1"/>
    <xf numFmtId="0" fontId="18" fillId="0" borderId="0" xfId="0" applyFont="1"/>
    <xf numFmtId="167" fontId="0" fillId="7" borderId="1" xfId="0" applyNumberFormat="1" applyFill="1" applyBorder="1"/>
    <xf numFmtId="6" fontId="0" fillId="6" borderId="1" xfId="0" applyNumberFormat="1" applyFill="1" applyBorder="1"/>
    <xf numFmtId="168" fontId="0" fillId="6" borderId="1" xfId="0" applyNumberFormat="1" applyFill="1" applyBorder="1"/>
    <xf numFmtId="0" fontId="0" fillId="6" borderId="1" xfId="0" applyFill="1" applyBorder="1"/>
    <xf numFmtId="2" fontId="0" fillId="6" borderId="1" xfId="0" applyNumberFormat="1" applyFill="1" applyBorder="1"/>
    <xf numFmtId="7" fontId="0" fillId="6" borderId="1" xfId="0" applyNumberFormat="1" applyFill="1" applyBorder="1"/>
    <xf numFmtId="8" fontId="0" fillId="6" borderId="1" xfId="0" applyNumberFormat="1" applyFill="1" applyBorder="1"/>
    <xf numFmtId="8" fontId="23" fillId="6" borderId="1" xfId="0" applyNumberFormat="1" applyFont="1" applyFill="1" applyBorder="1"/>
    <xf numFmtId="2" fontId="4" fillId="6" borderId="1" xfId="0" applyNumberFormat="1" applyFont="1" applyFill="1" applyBorder="1" applyAlignment="1">
      <alignment horizontal="center"/>
    </xf>
    <xf numFmtId="6" fontId="4" fillId="6" borderId="1" xfId="0" applyNumberFormat="1" applyFont="1" applyFill="1" applyBorder="1" applyAlignment="1">
      <alignment horizontal="center"/>
    </xf>
    <xf numFmtId="10" fontId="4" fillId="6" borderId="1" xfId="0" applyNumberFormat="1" applyFont="1" applyFill="1" applyBorder="1" applyAlignment="1">
      <alignment horizontal="center"/>
    </xf>
    <xf numFmtId="6" fontId="4" fillId="6" borderId="0" xfId="0" applyNumberFormat="1" applyFont="1" applyFill="1" applyBorder="1" applyAlignment="1">
      <alignment horizontal="center"/>
    </xf>
    <xf numFmtId="6" fontId="4" fillId="6" borderId="1" xfId="2" applyNumberFormat="1" applyFont="1" applyFill="1" applyBorder="1" applyAlignment="1">
      <alignment horizontal="center"/>
    </xf>
    <xf numFmtId="0" fontId="24" fillId="0" borderId="14"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4" fillId="0" borderId="17" xfId="0" applyFont="1" applyBorder="1"/>
    <xf numFmtId="0" fontId="24" fillId="0" borderId="18" xfId="0" applyFont="1" applyBorder="1"/>
    <xf numFmtId="10" fontId="24" fillId="6" borderId="1" xfId="0" applyNumberFormat="1" applyFont="1" applyFill="1" applyBorder="1" applyAlignment="1">
      <alignment horizontal="center"/>
    </xf>
    <xf numFmtId="6" fontId="24" fillId="6" borderId="1" xfId="0" applyNumberFormat="1" applyFont="1" applyFill="1" applyBorder="1" applyAlignment="1">
      <alignment horizontal="center"/>
    </xf>
    <xf numFmtId="7" fontId="24" fillId="6" borderId="1" xfId="0" applyNumberFormat="1" applyFont="1" applyFill="1" applyBorder="1" applyAlignment="1">
      <alignment horizontal="center"/>
    </xf>
    <xf numFmtId="0" fontId="20" fillId="0" borderId="23" xfId="0" applyFont="1" applyFill="1" applyBorder="1"/>
    <xf numFmtId="0" fontId="21" fillId="0" borderId="0" xfId="0" applyFont="1" applyAlignment="1">
      <alignment horizontal="center"/>
    </xf>
    <xf numFmtId="10" fontId="20" fillId="0" borderId="29" xfId="3" applyNumberFormat="1" applyFont="1" applyBorder="1" applyAlignment="1">
      <alignment horizontal="center"/>
    </xf>
    <xf numFmtId="10" fontId="20" fillId="0" borderId="29" xfId="0" applyNumberFormat="1" applyFont="1" applyBorder="1" applyAlignment="1">
      <alignment horizontal="center"/>
    </xf>
    <xf numFmtId="0" fontId="26" fillId="0" borderId="1" xfId="0" applyFont="1" applyBorder="1" applyAlignment="1">
      <alignment horizontal="left"/>
    </xf>
    <xf numFmtId="0" fontId="0" fillId="0" borderId="1" xfId="0" applyBorder="1" applyAlignment="1">
      <alignment horizontal="left"/>
    </xf>
    <xf numFmtId="0" fontId="19" fillId="0" borderId="1" xfId="0" applyFont="1" applyBorder="1" applyAlignment="1">
      <alignment horizontal="left"/>
    </xf>
    <xf numFmtId="0" fontId="26" fillId="0" borderId="1" xfId="0" applyFont="1" applyBorder="1"/>
    <xf numFmtId="10" fontId="0" fillId="0" borderId="1" xfId="0" applyNumberFormat="1" applyBorder="1"/>
    <xf numFmtId="10" fontId="19" fillId="0" borderId="1" xfId="0" applyNumberFormat="1" applyFont="1" applyBorder="1"/>
    <xf numFmtId="0" fontId="24" fillId="0" borderId="0" xfId="0" applyFont="1"/>
    <xf numFmtId="0" fontId="24" fillId="3" borderId="1" xfId="0" applyFont="1" applyFill="1" applyBorder="1" applyAlignment="1">
      <alignment horizontal="center"/>
    </xf>
    <xf numFmtId="17" fontId="24" fillId="3" borderId="1" xfId="0" applyNumberFormat="1" applyFont="1" applyFill="1" applyBorder="1" applyAlignment="1">
      <alignment horizontal="center"/>
    </xf>
    <xf numFmtId="0" fontId="28" fillId="0" borderId="0" xfId="0" applyFont="1"/>
    <xf numFmtId="0" fontId="24" fillId="0" borderId="0" xfId="0" applyFont="1" applyAlignment="1">
      <alignment horizontal="center"/>
    </xf>
    <xf numFmtId="8" fontId="24" fillId="3" borderId="1" xfId="2" applyFont="1" applyFill="1" applyBorder="1" applyAlignment="1">
      <alignment horizontal="center"/>
    </xf>
    <xf numFmtId="10" fontId="24" fillId="3" borderId="1" xfId="0" applyNumberFormat="1" applyFont="1" applyFill="1" applyBorder="1" applyAlignment="1">
      <alignment horizontal="center"/>
    </xf>
    <xf numFmtId="0" fontId="28" fillId="0" borderId="0" xfId="0" applyFont="1" applyAlignment="1">
      <alignment horizontal="center"/>
    </xf>
    <xf numFmtId="166" fontId="24" fillId="3" borderId="1" xfId="0" applyNumberFormat="1" applyFont="1" applyFill="1" applyBorder="1" applyAlignment="1">
      <alignment horizontal="center"/>
    </xf>
    <xf numFmtId="167" fontId="24" fillId="3" borderId="1" xfId="0" applyNumberFormat="1" applyFont="1" applyFill="1" applyBorder="1" applyAlignment="1">
      <alignment horizontal="center"/>
    </xf>
    <xf numFmtId="44" fontId="24" fillId="3" borderId="1" xfId="2" applyNumberFormat="1" applyFont="1" applyFill="1" applyBorder="1" applyAlignment="1">
      <alignment horizontal="center"/>
    </xf>
    <xf numFmtId="4" fontId="24" fillId="3" borderId="1" xfId="1" applyFont="1" applyFill="1" applyBorder="1" applyAlignment="1">
      <alignment horizontal="center"/>
    </xf>
    <xf numFmtId="8" fontId="24" fillId="5" borderId="0" xfId="2" applyFont="1" applyFill="1" applyBorder="1" applyAlignment="1">
      <alignment horizontal="center"/>
    </xf>
    <xf numFmtId="2" fontId="24" fillId="0" borderId="0" xfId="0" applyNumberFormat="1" applyFont="1" applyAlignment="1">
      <alignment horizontal="left"/>
    </xf>
    <xf numFmtId="0" fontId="24" fillId="0" borderId="0" xfId="0" applyFont="1" applyBorder="1" applyAlignment="1">
      <alignment horizontal="center"/>
    </xf>
    <xf numFmtId="0" fontId="25" fillId="0" borderId="38" xfId="0" applyFont="1" applyBorder="1"/>
    <xf numFmtId="0" fontId="24" fillId="0" borderId="39" xfId="0" applyFont="1" applyBorder="1"/>
    <xf numFmtId="0" fontId="24" fillId="0" borderId="32" xfId="0" applyFont="1" applyBorder="1"/>
    <xf numFmtId="0" fontId="25" fillId="0" borderId="0" xfId="0" applyFont="1"/>
    <xf numFmtId="8" fontId="24" fillId="0" borderId="0" xfId="2" applyFont="1" applyFill="1" applyBorder="1" applyAlignment="1">
      <alignment horizontal="center"/>
    </xf>
    <xf numFmtId="0" fontId="0" fillId="7" borderId="1" xfId="0" applyFill="1" applyBorder="1" applyAlignment="1">
      <alignment horizontal="center"/>
    </xf>
    <xf numFmtId="10" fontId="0" fillId="7" borderId="1" xfId="0" applyNumberFormat="1" applyFill="1" applyBorder="1" applyAlignment="1">
      <alignment horizontal="center"/>
    </xf>
    <xf numFmtId="6" fontId="5" fillId="0" borderId="1" xfId="2" applyNumberFormat="1" applyFont="1" applyBorder="1" applyAlignment="1">
      <alignment horizontal="center"/>
    </xf>
    <xf numFmtId="0" fontId="4" fillId="0" borderId="1" xfId="0" applyFont="1" applyBorder="1" applyAlignment="1">
      <alignment horizontal="center"/>
    </xf>
    <xf numFmtId="0" fontId="7" fillId="0" borderId="1" xfId="0" applyFont="1" applyBorder="1" applyAlignment="1">
      <alignment horizontal="center"/>
    </xf>
    <xf numFmtId="0" fontId="7" fillId="0" borderId="38" xfId="0" applyFont="1" applyBorder="1" applyAlignment="1">
      <alignment horizontal="center"/>
    </xf>
    <xf numFmtId="0" fontId="7" fillId="0" borderId="32" xfId="0" applyFont="1" applyBorder="1" applyAlignment="1">
      <alignment horizontal="center"/>
    </xf>
    <xf numFmtId="0" fontId="7" fillId="0" borderId="0" xfId="0" applyFont="1" applyBorder="1" applyAlignment="1">
      <alignment horizontal="center"/>
    </xf>
    <xf numFmtId="0" fontId="20" fillId="0" borderId="23" xfId="0" applyFont="1" applyBorder="1" applyAlignment="1">
      <alignment horizontal="left" vertical="center" wrapText="1" shrinkToFit="1"/>
    </xf>
    <xf numFmtId="0" fontId="20" fillId="0" borderId="28" xfId="0" applyFont="1" applyBorder="1" applyAlignment="1">
      <alignment horizontal="left" vertical="center" wrapText="1" shrinkToFit="1"/>
    </xf>
    <xf numFmtId="0" fontId="20" fillId="0" borderId="24" xfId="0" applyFont="1" applyBorder="1" applyAlignment="1">
      <alignment horizontal="left" vertical="center" wrapText="1" shrinkToFit="1"/>
    </xf>
    <xf numFmtId="0" fontId="20" fillId="0" borderId="23" xfId="0" applyFont="1" applyBorder="1" applyAlignment="1">
      <alignment horizontal="left" vertical="center" wrapText="1"/>
    </xf>
    <xf numFmtId="0" fontId="20" fillId="0" borderId="28" xfId="0" applyFont="1" applyBorder="1" applyAlignment="1">
      <alignment horizontal="left" vertical="center" wrapText="1"/>
    </xf>
    <xf numFmtId="0" fontId="20" fillId="0" borderId="24" xfId="0" applyFont="1" applyBorder="1" applyAlignment="1">
      <alignment horizontal="left" vertical="center" wrapText="1"/>
    </xf>
    <xf numFmtId="0" fontId="20" fillId="0" borderId="23" xfId="0" applyFont="1" applyBorder="1" applyAlignment="1">
      <alignment horizontal="left" vertical="center"/>
    </xf>
    <xf numFmtId="0" fontId="20" fillId="0" borderId="28" xfId="0" applyFont="1" applyBorder="1" applyAlignment="1">
      <alignment horizontal="left" vertical="center"/>
    </xf>
    <xf numFmtId="0" fontId="20" fillId="0" borderId="24" xfId="0" applyFont="1" applyBorder="1" applyAlignment="1">
      <alignment horizontal="left" vertical="center"/>
    </xf>
    <xf numFmtId="0" fontId="22" fillId="0" borderId="40" xfId="0" applyFont="1" applyBorder="1" applyAlignment="1">
      <alignment horizontal="center"/>
    </xf>
    <xf numFmtId="0" fontId="2" fillId="8" borderId="14" xfId="0" applyFont="1" applyFill="1" applyBorder="1" applyAlignment="1">
      <alignment horizontal="left" vertical="top" wrapText="1"/>
    </xf>
    <xf numFmtId="0" fontId="2" fillId="8" borderId="15" xfId="0" applyFont="1" applyFill="1" applyBorder="1" applyAlignment="1">
      <alignment horizontal="left" vertical="top" wrapText="1"/>
    </xf>
    <xf numFmtId="0" fontId="2" fillId="8" borderId="16" xfId="0" applyFont="1" applyFill="1" applyBorder="1" applyAlignment="1">
      <alignment horizontal="left" vertical="top" wrapText="1"/>
    </xf>
    <xf numFmtId="0" fontId="2" fillId="8" borderId="17"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8" borderId="47" xfId="0" applyFont="1" applyFill="1" applyBorder="1" applyAlignment="1">
      <alignment horizontal="left" vertical="top" wrapText="1"/>
    </xf>
    <xf numFmtId="0" fontId="2" fillId="8" borderId="18" xfId="0" applyFont="1" applyFill="1" applyBorder="1" applyAlignment="1">
      <alignment horizontal="left" vertical="top" wrapText="1"/>
    </xf>
    <xf numFmtId="0" fontId="2" fillId="8" borderId="40" xfId="0" applyFont="1" applyFill="1" applyBorder="1" applyAlignment="1">
      <alignment horizontal="left" vertical="top" wrapText="1"/>
    </xf>
    <xf numFmtId="0" fontId="2" fillId="8" borderId="48" xfId="0" applyFont="1" applyFill="1" applyBorder="1" applyAlignment="1">
      <alignment horizontal="left" vertical="top" wrapText="1"/>
    </xf>
    <xf numFmtId="0" fontId="22" fillId="8" borderId="10" xfId="0" applyFont="1" applyFill="1" applyBorder="1" applyAlignment="1">
      <alignment horizontal="center" vertical="top" wrapText="1"/>
    </xf>
    <xf numFmtId="0" fontId="24" fillId="8" borderId="11" xfId="0" applyFont="1" applyFill="1" applyBorder="1" applyAlignment="1">
      <alignment horizontal="center" vertical="top" wrapText="1"/>
    </xf>
    <xf numFmtId="0" fontId="24" fillId="8" borderId="12" xfId="0" applyFont="1" applyFill="1" applyBorder="1" applyAlignment="1">
      <alignment horizontal="center" vertical="top" wrapText="1"/>
    </xf>
    <xf numFmtId="0" fontId="24" fillId="8" borderId="9" xfId="0" applyFont="1" applyFill="1" applyBorder="1" applyAlignment="1">
      <alignment horizontal="center" vertical="top" wrapText="1"/>
    </xf>
    <xf numFmtId="0" fontId="24" fillId="8" borderId="0" xfId="0" applyFont="1" applyFill="1" applyBorder="1" applyAlignment="1">
      <alignment horizontal="center" vertical="top" wrapText="1"/>
    </xf>
    <xf numFmtId="0" fontId="24" fillId="8" borderId="30" xfId="0" applyFont="1" applyFill="1" applyBorder="1" applyAlignment="1">
      <alignment horizontal="center" vertical="top" wrapText="1"/>
    </xf>
    <xf numFmtId="0" fontId="24" fillId="8" borderId="31" xfId="0" applyFont="1" applyFill="1" applyBorder="1" applyAlignment="1">
      <alignment horizontal="center" vertical="top" wrapText="1"/>
    </xf>
    <xf numFmtId="0" fontId="24" fillId="8" borderId="13" xfId="0" applyFont="1" applyFill="1" applyBorder="1" applyAlignment="1">
      <alignment horizontal="center" vertical="top" wrapText="1"/>
    </xf>
    <xf numFmtId="0" fontId="24" fillId="8" borderId="29" xfId="0" applyFont="1" applyFill="1" applyBorder="1" applyAlignment="1">
      <alignment horizontal="center" vertical="top" wrapText="1"/>
    </xf>
    <xf numFmtId="0" fontId="11" fillId="4" borderId="22" xfId="0" applyFont="1" applyFill="1" applyBorder="1" applyAlignment="1">
      <alignment horizontal="center"/>
    </xf>
    <xf numFmtId="0" fontId="11" fillId="4" borderId="41" xfId="0" applyFont="1" applyFill="1" applyBorder="1" applyAlignment="1">
      <alignment horizontal="center"/>
    </xf>
    <xf numFmtId="0" fontId="11" fillId="4" borderId="42" xfId="0" applyFont="1" applyFill="1" applyBorder="1" applyAlignment="1">
      <alignment horizontal="center"/>
    </xf>
    <xf numFmtId="0" fontId="12" fillId="0" borderId="22" xfId="0" applyFont="1" applyBorder="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14" fillId="2" borderId="4" xfId="0" applyFont="1" applyFill="1" applyBorder="1" applyAlignment="1">
      <alignment horizontal="center"/>
    </xf>
    <xf numFmtId="165" fontId="12" fillId="0" borderId="20" xfId="0" applyNumberFormat="1" applyFont="1" applyBorder="1" applyAlignment="1">
      <alignment horizontal="center"/>
    </xf>
    <xf numFmtId="165" fontId="12" fillId="0" borderId="8" xfId="0" applyNumberFormat="1" applyFont="1" applyBorder="1" applyAlignment="1">
      <alignment horizontal="center"/>
    </xf>
    <xf numFmtId="165" fontId="12" fillId="0" borderId="43" xfId="0" applyNumberFormat="1" applyFont="1" applyBorder="1" applyAlignment="1">
      <alignment horizontal="center"/>
    </xf>
    <xf numFmtId="0" fontId="4" fillId="0" borderId="44" xfId="0" applyFont="1" applyBorder="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23" fillId="8" borderId="22" xfId="0" applyFont="1" applyFill="1" applyBorder="1" applyAlignment="1">
      <alignment horizontal="center" vertical="top" wrapText="1"/>
    </xf>
    <xf numFmtId="0" fontId="2" fillId="8" borderId="41" xfId="0" applyFont="1" applyFill="1" applyBorder="1" applyAlignment="1">
      <alignment horizontal="center" vertical="top" wrapText="1"/>
    </xf>
    <xf numFmtId="0" fontId="2" fillId="8" borderId="42" xfId="0" applyFont="1" applyFill="1" applyBorder="1" applyAlignment="1">
      <alignment horizontal="center" vertical="top" wrapText="1"/>
    </xf>
  </cellXfs>
  <cellStyles count="4">
    <cellStyle name="Comma" xfId="1" builtinId="3"/>
    <cellStyle name="Currency" xfId="2" builtinId="4"/>
    <cellStyle name="Normal" xfId="0" builtinId="0"/>
    <cellStyle name="Percent" xfId="3" builtinId="5"/>
  </cellStyles>
  <dxfs count="7">
    <dxf>
      <font>
        <b val="0"/>
        <i val="0"/>
        <strike val="0"/>
        <condense val="0"/>
        <extend val="0"/>
        <outline val="0"/>
        <shadow val="0"/>
        <u val="none"/>
        <vertAlign val="baseline"/>
        <sz val="12"/>
        <color rgb="FFFF0000"/>
        <name val="Calibri"/>
        <scheme val="minor"/>
      </font>
      <numFmt numFmtId="14" formatCode="0.00%"/>
      <alignment horizontal="center" vertical="bottom" textRotation="0" wrapText="0" indent="0" justifyLastLine="0" shrinkToFit="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dxf>
    <dxf>
      <border>
        <bottom style="thin">
          <color indexed="64"/>
        </bottom>
      </border>
    </dxf>
    <dxf>
      <font>
        <b val="0"/>
        <i/>
        <strike val="0"/>
        <condense val="0"/>
        <extend val="0"/>
        <outline val="0"/>
        <shadow val="0"/>
        <u val="none"/>
        <vertAlign val="baseline"/>
        <sz val="12"/>
        <color theme="1"/>
        <name val="Calibri"/>
        <scheme val="minor"/>
      </font>
      <alignment horizontal="center" vertical="bottom" textRotation="0" wrapText="0" indent="0" justifyLastLine="0" shrinkToFit="0"/>
      <border diagonalUp="0" diagonalDown="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4"/>
          <c:order val="0"/>
          <c:tx>
            <c:strRef>
              <c:f>'Summary Table'!$I$1</c:f>
              <c:strCache>
                <c:ptCount val="1"/>
                <c:pt idx="0">
                  <c:v>Enterprise Value</c:v>
                </c:pt>
              </c:strCache>
            </c:strRef>
          </c:tx>
          <c:spPr>
            <a:gradFill rotWithShape="0">
              <a:gsLst>
                <a:gs pos="0">
                  <a:srgbClr val="95EEFF"/>
                </a:gs>
                <a:gs pos="100000">
                  <a:srgbClr val="39B7D8"/>
                </a:gs>
              </a:gsLst>
              <a:lin ang="5400000"/>
            </a:gradFill>
            <a:ln w="25400">
              <a:noFill/>
            </a:ln>
            <a:effectLst>
              <a:outerShdw dist="35921" dir="2700000" algn="br">
                <a:srgbClr val="000000"/>
              </a:outerShdw>
            </a:effectLst>
          </c:spPr>
          <c:invertIfNegative val="0"/>
          <c:cat>
            <c:numRef>
              <c:f>'Summary Table'!$A$2:$A$11</c:f>
              <c:numCache>
                <c:formatCode>0%</c:formatCode>
                <c:ptCount val="10"/>
                <c:pt idx="0">
                  <c:v>0</c:v>
                </c:pt>
                <c:pt idx="1">
                  <c:v>0.1</c:v>
                </c:pt>
                <c:pt idx="2">
                  <c:v>0.2</c:v>
                </c:pt>
                <c:pt idx="3">
                  <c:v>0.3</c:v>
                </c:pt>
                <c:pt idx="4">
                  <c:v>0.4</c:v>
                </c:pt>
                <c:pt idx="5">
                  <c:v>0.5</c:v>
                </c:pt>
                <c:pt idx="6">
                  <c:v>0.6</c:v>
                </c:pt>
                <c:pt idx="7">
                  <c:v>0.7</c:v>
                </c:pt>
                <c:pt idx="8">
                  <c:v>0.8</c:v>
                </c:pt>
                <c:pt idx="9">
                  <c:v>0.9</c:v>
                </c:pt>
              </c:numCache>
            </c:numRef>
          </c:cat>
          <c:val>
            <c:numRef>
              <c:f>'Summary Table'!$I$2:$I$11</c:f>
              <c:numCache>
                <c:formatCode>"$"#,##0_);\("$"#,##0\)</c:formatCode>
                <c:ptCount val="10"/>
                <c:pt idx="0">
                  <c:v>514875.63120357925</c:v>
                </c:pt>
                <c:pt idx="1">
                  <c:v>543736.14254412567</c:v>
                </c:pt>
                <c:pt idx="2">
                  <c:v>569558.65324348898</c:v>
                </c:pt>
                <c:pt idx="3">
                  <c:v>349718.97710646223</c:v>
                </c:pt>
                <c:pt idx="4">
                  <c:v>296857.9736270415</c:v>
                </c:pt>
                <c:pt idx="5">
                  <c:v>257878.86106919491</c:v>
                </c:pt>
                <c:pt idx="6">
                  <c:v>227948.01195989916</c:v>
                </c:pt>
                <c:pt idx="7">
                  <c:v>204242.49644235647</c:v>
                </c:pt>
                <c:pt idx="8">
                  <c:v>147148.87153254761</c:v>
                </c:pt>
                <c:pt idx="9">
                  <c:v>133783.92876834678</c:v>
                </c:pt>
              </c:numCache>
            </c:numRef>
          </c:val>
          <c:extLst>
            <c:ext xmlns:c16="http://schemas.microsoft.com/office/drawing/2014/chart" uri="{C3380CC4-5D6E-409C-BE32-E72D297353CC}">
              <c16:uniqueId val="{00000000-08A9-1946-9CCD-0D672A5C5CA0}"/>
            </c:ext>
          </c:extLst>
        </c:ser>
        <c:dLbls>
          <c:showLegendKey val="0"/>
          <c:showVal val="0"/>
          <c:showCatName val="0"/>
          <c:showSerName val="0"/>
          <c:showPercent val="0"/>
          <c:showBubbleSize val="0"/>
        </c:dLbls>
        <c:gapWidth val="150"/>
        <c:shape val="box"/>
        <c:axId val="645452576"/>
        <c:axId val="1"/>
        <c:axId val="0"/>
      </c:bar3DChart>
      <c:catAx>
        <c:axId val="645452576"/>
        <c:scaling>
          <c:orientation val="minMax"/>
        </c:scaling>
        <c:delete val="1"/>
        <c:axPos val="b"/>
        <c:title>
          <c:tx>
            <c:rich>
              <a:bodyPr/>
              <a:lstStyle/>
              <a:p>
                <a:pPr>
                  <a:defRPr sz="1000" b="1" i="0" u="none" strike="noStrike" baseline="0">
                    <a:solidFill>
                      <a:srgbClr val="000000"/>
                    </a:solidFill>
                    <a:latin typeface="Calibri"/>
                    <a:ea typeface="Calibri"/>
                    <a:cs typeface="Calibri"/>
                  </a:defRPr>
                </a:pPr>
                <a:r>
                  <a:rPr lang="en-US"/>
                  <a:t>Debt Ratio</a:t>
                </a:r>
              </a:p>
            </c:rich>
          </c:tx>
          <c:overlay val="0"/>
          <c:spPr>
            <a:noFill/>
            <a:ln w="25400">
              <a:noFill/>
            </a:ln>
          </c:spPr>
        </c:title>
        <c:numFmt formatCode="0%"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quot;$&quot;#,##0_);\(&quot;$&quot;#,##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4545257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134" workbookViewId="0"/>
  </sheetViews>
  <pageMargins left="0.75" right="0.75" top="1" bottom="1" header="0.5" footer="0.5"/>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698500</xdr:colOff>
      <xdr:row>18</xdr:row>
      <xdr:rowOff>63500</xdr:rowOff>
    </xdr:from>
    <xdr:to>
      <xdr:col>7</xdr:col>
      <xdr:colOff>850900</xdr:colOff>
      <xdr:row>19</xdr:row>
      <xdr:rowOff>76200</xdr:rowOff>
    </xdr:to>
    <xdr:sp macro="" textlink="">
      <xdr:nvSpPr>
        <xdr:cNvPr id="1419" name="Line 24">
          <a:extLst>
            <a:ext uri="{FF2B5EF4-FFF2-40B4-BE49-F238E27FC236}">
              <a16:creationId xmlns:a16="http://schemas.microsoft.com/office/drawing/2014/main" id="{458ABB30-589E-9C4A-8DF9-D954BA49E83C}"/>
            </a:ext>
          </a:extLst>
        </xdr:cNvPr>
        <xdr:cNvSpPr>
          <a:spLocks noChangeShapeType="1"/>
        </xdr:cNvSpPr>
      </xdr:nvSpPr>
      <xdr:spPr bwMode="auto">
        <a:xfrm flipH="1">
          <a:off x="4381500" y="3492500"/>
          <a:ext cx="284480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rtlCol="0"/>
        <a:lstStyle/>
        <a:p>
          <a:endParaRPr lang="en-US"/>
        </a:p>
      </xdr:txBody>
    </xdr:sp>
    <xdr:clientData/>
  </xdr:twoCellAnchor>
  <xdr:twoCellAnchor>
    <xdr:from>
      <xdr:col>1</xdr:col>
      <xdr:colOff>342900</xdr:colOff>
      <xdr:row>20</xdr:row>
      <xdr:rowOff>88900</xdr:rowOff>
    </xdr:from>
    <xdr:to>
      <xdr:col>1</xdr:col>
      <xdr:colOff>825500</xdr:colOff>
      <xdr:row>20</xdr:row>
      <xdr:rowOff>88900</xdr:rowOff>
    </xdr:to>
    <xdr:sp macro="" textlink="">
      <xdr:nvSpPr>
        <xdr:cNvPr id="1420" name="Line 26">
          <a:extLst>
            <a:ext uri="{FF2B5EF4-FFF2-40B4-BE49-F238E27FC236}">
              <a16:creationId xmlns:a16="http://schemas.microsoft.com/office/drawing/2014/main" id="{C19391BA-094B-F24A-B002-E0C0D6272023}"/>
            </a:ext>
          </a:extLst>
        </xdr:cNvPr>
        <xdr:cNvSpPr>
          <a:spLocks noChangeShapeType="1"/>
        </xdr:cNvSpPr>
      </xdr:nvSpPr>
      <xdr:spPr bwMode="auto">
        <a:xfrm>
          <a:off x="1435100" y="3873500"/>
          <a:ext cx="4826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txBody>
        <a:bodyPr rtlCol="0"/>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1289BCEA-0649-7849-BD3B-19825BDB2B7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B183" totalsRowShown="0" headerRowDxfId="6" dataDxfId="4" headerRowBorderDxfId="5" tableBorderDxfId="3" totalsRowBorderDxfId="2">
  <autoFilter ref="A1:B183" xr:uid="{00000000-0009-0000-0100-000002000000}"/>
  <tableColumns count="2">
    <tableColumn id="1" xr3:uid="{00000000-0010-0000-0000-000001000000}" name="Country" dataDxfId="1"/>
    <tableColumn id="12" xr3:uid="{00000000-0010-0000-0000-00000C000000}" name="2017" dataDxfId="0"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workbookViewId="0">
      <selection sqref="A1:IV36"/>
    </sheetView>
  </sheetViews>
  <sheetFormatPr baseColWidth="10" defaultRowHeight="14"/>
  <cols>
    <col min="1" max="1" width="31.7109375" bestFit="1" customWidth="1"/>
    <col min="2" max="2" width="52.7109375" bestFit="1" customWidth="1"/>
  </cols>
  <sheetData>
    <row r="1" spans="1:5" s="2" customFormat="1">
      <c r="A1" s="223" t="s">
        <v>153</v>
      </c>
      <c r="B1" s="223"/>
      <c r="C1" s="223"/>
      <c r="D1" s="223"/>
      <c r="E1" s="223"/>
    </row>
    <row r="2" spans="1:5" s="2" customFormat="1">
      <c r="A2" s="91" t="s">
        <v>82</v>
      </c>
      <c r="B2" s="89" t="s">
        <v>430</v>
      </c>
    </row>
    <row r="3" spans="1:5" s="2" customFormat="1">
      <c r="A3" s="92"/>
      <c r="B3" s="90" t="s">
        <v>431</v>
      </c>
    </row>
    <row r="4" spans="1:5" s="3" customFormat="1">
      <c r="A4" s="87" t="s">
        <v>149</v>
      </c>
      <c r="B4" s="66" t="s">
        <v>202</v>
      </c>
    </row>
    <row r="5" spans="1:5" s="3" customFormat="1">
      <c r="A5" s="85"/>
      <c r="B5" s="86" t="s">
        <v>203</v>
      </c>
    </row>
    <row r="6" spans="1:5" s="3" customFormat="1">
      <c r="A6" s="84" t="s">
        <v>166</v>
      </c>
      <c r="B6" s="66" t="s">
        <v>204</v>
      </c>
    </row>
    <row r="7" spans="1:5" s="3" customFormat="1">
      <c r="A7" s="85"/>
      <c r="B7" s="86" t="s">
        <v>205</v>
      </c>
    </row>
    <row r="8" spans="1:5" s="3" customFormat="1">
      <c r="A8" s="64" t="s">
        <v>206</v>
      </c>
      <c r="B8" s="56" t="s">
        <v>207</v>
      </c>
    </row>
    <row r="9" spans="1:5" s="3" customFormat="1">
      <c r="A9" s="84" t="s">
        <v>208</v>
      </c>
      <c r="B9" s="66" t="s">
        <v>24</v>
      </c>
    </row>
    <row r="10" spans="1:5" s="3" customFormat="1">
      <c r="A10" s="87"/>
      <c r="B10" s="88" t="s">
        <v>154</v>
      </c>
    </row>
    <row r="11" spans="1:5" s="3" customFormat="1">
      <c r="A11" s="87"/>
      <c r="B11" s="88" t="s">
        <v>155</v>
      </c>
    </row>
    <row r="12" spans="1:5" s="3" customFormat="1">
      <c r="A12" s="87"/>
      <c r="B12" s="88" t="s">
        <v>15</v>
      </c>
    </row>
    <row r="13" spans="1:5" s="3" customFormat="1">
      <c r="A13" s="87"/>
      <c r="B13" s="88" t="s">
        <v>16</v>
      </c>
    </row>
    <row r="14" spans="1:5" s="3" customFormat="1">
      <c r="A14" s="84" t="s">
        <v>17</v>
      </c>
      <c r="B14" s="66" t="s">
        <v>429</v>
      </c>
    </row>
    <row r="15" spans="1:5" s="3" customFormat="1">
      <c r="A15" s="87"/>
      <c r="B15" s="88" t="s">
        <v>56</v>
      </c>
    </row>
    <row r="16" spans="1:5" s="3" customFormat="1">
      <c r="A16" s="85"/>
      <c r="B16" s="86" t="s">
        <v>57</v>
      </c>
    </row>
    <row r="17" spans="1:2" s="3" customFormat="1">
      <c r="A17" s="84" t="s">
        <v>58</v>
      </c>
      <c r="B17" s="66" t="s">
        <v>432</v>
      </c>
    </row>
    <row r="18" spans="1:2" s="3" customFormat="1">
      <c r="A18" s="87"/>
      <c r="B18" s="88" t="s">
        <v>150</v>
      </c>
    </row>
    <row r="19" spans="1:2" s="3" customFormat="1">
      <c r="A19" s="87"/>
      <c r="B19" s="88" t="s">
        <v>151</v>
      </c>
    </row>
    <row r="20" spans="1:2" s="3" customFormat="1">
      <c r="A20" s="85"/>
      <c r="B20" s="86" t="s">
        <v>152</v>
      </c>
    </row>
    <row r="21" spans="1:2" s="3" customFormat="1">
      <c r="A21" s="64" t="s">
        <v>98</v>
      </c>
      <c r="B21" s="56" t="s">
        <v>433</v>
      </c>
    </row>
    <row r="22" spans="1:2" s="3" customFormat="1">
      <c r="A22" s="84" t="s">
        <v>7</v>
      </c>
      <c r="B22" s="66" t="s">
        <v>8</v>
      </c>
    </row>
    <row r="23" spans="1:2" s="3" customFormat="1">
      <c r="A23" s="87"/>
      <c r="B23" s="88" t="s">
        <v>71</v>
      </c>
    </row>
    <row r="24" spans="1:2" s="3" customFormat="1">
      <c r="A24" s="87"/>
      <c r="B24" s="88" t="s">
        <v>72</v>
      </c>
    </row>
    <row r="25" spans="1:2" s="3" customFormat="1">
      <c r="A25" s="85"/>
      <c r="B25" s="86" t="s">
        <v>73</v>
      </c>
    </row>
    <row r="26" spans="1:2" s="2" customFormat="1">
      <c r="A26" s="221" t="s">
        <v>69</v>
      </c>
      <c r="B26" s="222"/>
    </row>
    <row r="27" spans="1:2" s="3" customFormat="1">
      <c r="A27" s="84" t="s">
        <v>70</v>
      </c>
      <c r="B27" s="66" t="s">
        <v>76</v>
      </c>
    </row>
    <row r="28" spans="1:2" s="3" customFormat="1">
      <c r="A28" s="87"/>
      <c r="B28" s="88" t="s">
        <v>201</v>
      </c>
    </row>
    <row r="29" spans="1:2" s="3" customFormat="1">
      <c r="A29" s="87"/>
      <c r="B29" s="88" t="s">
        <v>185</v>
      </c>
    </row>
    <row r="30" spans="1:2" s="3" customFormat="1">
      <c r="A30" s="87"/>
      <c r="B30" s="88" t="s">
        <v>186</v>
      </c>
    </row>
    <row r="31" spans="1:2" s="3" customFormat="1">
      <c r="A31" s="87"/>
      <c r="B31" s="88" t="s">
        <v>187</v>
      </c>
    </row>
    <row r="32" spans="1:2" s="3" customFormat="1">
      <c r="A32" s="64" t="s">
        <v>77</v>
      </c>
      <c r="B32" s="56" t="s">
        <v>6</v>
      </c>
    </row>
    <row r="33" spans="1:1" s="3" customFormat="1">
      <c r="A33" s="5"/>
    </row>
    <row r="34" spans="1:1" s="3" customFormat="1">
      <c r="A34" s="9" t="s">
        <v>11</v>
      </c>
    </row>
    <row r="35" spans="1:1" s="3" customFormat="1">
      <c r="A35" s="5" t="s">
        <v>80</v>
      </c>
    </row>
    <row r="36" spans="1:1" s="3" customFormat="1">
      <c r="A36" s="5" t="s">
        <v>81</v>
      </c>
    </row>
  </sheetData>
  <mergeCells count="2">
    <mergeCell ref="A26:B26"/>
    <mergeCell ref="A1:E1"/>
  </mergeCell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4"/>
  <sheetViews>
    <sheetView workbookViewId="0">
      <selection activeCell="I3" sqref="I3"/>
    </sheetView>
  </sheetViews>
  <sheetFormatPr baseColWidth="10" defaultRowHeight="14"/>
  <cols>
    <col min="1" max="4" width="10.7109375" style="129"/>
  </cols>
  <sheetData>
    <row r="1" spans="1:9">
      <c r="A1" s="132" t="s">
        <v>61</v>
      </c>
      <c r="B1"/>
      <c r="C1"/>
      <c r="D1"/>
      <c r="F1" s="136" t="s">
        <v>408</v>
      </c>
      <c r="G1" s="136" t="s">
        <v>410</v>
      </c>
      <c r="H1" t="s">
        <v>411</v>
      </c>
      <c r="I1" s="58" t="s">
        <v>520</v>
      </c>
    </row>
    <row r="2" spans="1:9">
      <c r="A2" s="133" t="s">
        <v>251</v>
      </c>
      <c r="B2"/>
      <c r="C2"/>
      <c r="D2"/>
      <c r="F2" t="s">
        <v>41</v>
      </c>
      <c r="G2" t="s">
        <v>132</v>
      </c>
      <c r="H2">
        <v>1</v>
      </c>
      <c r="I2" s="58"/>
    </row>
    <row r="3" spans="1:9">
      <c r="A3" s="133" t="s">
        <v>252</v>
      </c>
      <c r="B3"/>
      <c r="C3"/>
      <c r="D3"/>
      <c r="F3" t="s">
        <v>235</v>
      </c>
      <c r="G3" t="s">
        <v>266</v>
      </c>
      <c r="H3">
        <v>2</v>
      </c>
      <c r="I3" s="58" t="s">
        <v>113</v>
      </c>
    </row>
    <row r="4" spans="1:9">
      <c r="A4" s="133" t="s">
        <v>428</v>
      </c>
      <c r="B4"/>
      <c r="C4"/>
      <c r="D4"/>
      <c r="G4" t="s">
        <v>131</v>
      </c>
      <c r="I4" s="58" t="s">
        <v>115</v>
      </c>
    </row>
    <row r="5" spans="1:9">
      <c r="A5" s="133" t="s">
        <v>253</v>
      </c>
      <c r="B5"/>
      <c r="C5"/>
      <c r="D5"/>
    </row>
    <row r="6" spans="1:9">
      <c r="A6" s="133" t="s">
        <v>254</v>
      </c>
      <c r="B6"/>
      <c r="C6"/>
      <c r="D6"/>
    </row>
    <row r="7" spans="1:9">
      <c r="A7" s="133" t="s">
        <v>255</v>
      </c>
      <c r="B7"/>
      <c r="C7"/>
      <c r="D7"/>
    </row>
    <row r="8" spans="1:9">
      <c r="A8" s="133" t="s">
        <v>256</v>
      </c>
      <c r="B8"/>
      <c r="C8"/>
      <c r="D8"/>
    </row>
    <row r="9" spans="1:9">
      <c r="A9" s="133" t="s">
        <v>257</v>
      </c>
      <c r="B9"/>
      <c r="C9"/>
      <c r="D9"/>
    </row>
    <row r="10" spans="1:9">
      <c r="A10" s="133" t="s">
        <v>258</v>
      </c>
      <c r="B10"/>
      <c r="C10"/>
      <c r="D10"/>
    </row>
    <row r="11" spans="1:9">
      <c r="A11" s="133" t="s">
        <v>259</v>
      </c>
      <c r="B11"/>
      <c r="C11"/>
      <c r="D11"/>
    </row>
    <row r="12" spans="1:9">
      <c r="A12" s="133" t="s">
        <v>260</v>
      </c>
      <c r="B12"/>
      <c r="C12"/>
      <c r="D12"/>
    </row>
    <row r="13" spans="1:9">
      <c r="A13" s="133" t="s">
        <v>261</v>
      </c>
      <c r="B13"/>
      <c r="C13"/>
      <c r="D13"/>
    </row>
    <row r="14" spans="1:9">
      <c r="A14" s="133" t="s">
        <v>262</v>
      </c>
      <c r="B14"/>
      <c r="C14"/>
      <c r="D14"/>
    </row>
    <row r="15" spans="1:9">
      <c r="A15" s="133" t="s">
        <v>263</v>
      </c>
      <c r="B15"/>
      <c r="C15"/>
      <c r="D15"/>
    </row>
    <row r="16" spans="1:9">
      <c r="A16" s="133" t="s">
        <v>264</v>
      </c>
      <c r="B16"/>
      <c r="C16"/>
      <c r="D16"/>
    </row>
    <row r="17" spans="1:4">
      <c r="A17" s="131" t="s">
        <v>417</v>
      </c>
    </row>
    <row r="19" spans="1:4">
      <c r="A19" s="129" t="s">
        <v>61</v>
      </c>
      <c r="B19" s="133" t="s">
        <v>265</v>
      </c>
      <c r="C19" s="133" t="s">
        <v>266</v>
      </c>
      <c r="D19" s="133" t="s">
        <v>267</v>
      </c>
    </row>
    <row r="20" spans="1:4">
      <c r="A20" s="133" t="s">
        <v>264</v>
      </c>
      <c r="B20" s="135">
        <v>-0.3</v>
      </c>
      <c r="C20" s="134">
        <v>-0.5</v>
      </c>
      <c r="D20" s="135">
        <v>-1</v>
      </c>
    </row>
    <row r="21" spans="1:4">
      <c r="A21" s="133" t="s">
        <v>261</v>
      </c>
      <c r="B21" s="135">
        <v>-0.25</v>
      </c>
      <c r="C21" s="134">
        <v>-0.4</v>
      </c>
      <c r="D21" s="135">
        <v>-0.5</v>
      </c>
    </row>
    <row r="22" spans="1:4">
      <c r="A22" s="133" t="s">
        <v>262</v>
      </c>
      <c r="B22" s="135">
        <v>-0.25</v>
      </c>
      <c r="C22" s="134">
        <v>-0.4</v>
      </c>
      <c r="D22" s="135">
        <v>-0.5</v>
      </c>
    </row>
    <row r="23" spans="1:4">
      <c r="A23" s="133" t="s">
        <v>263</v>
      </c>
      <c r="B23" s="135">
        <v>-0.25</v>
      </c>
      <c r="C23" s="134">
        <v>-0.4</v>
      </c>
      <c r="D23" s="135">
        <v>-0.5</v>
      </c>
    </row>
    <row r="24" spans="1:4">
      <c r="A24" s="133" t="s">
        <v>260</v>
      </c>
      <c r="B24" s="135">
        <v>-0.15</v>
      </c>
      <c r="C24" s="134">
        <v>-0.25</v>
      </c>
      <c r="D24" s="135">
        <v>-0.3</v>
      </c>
    </row>
    <row r="25" spans="1:4">
      <c r="A25" s="133" t="s">
        <v>259</v>
      </c>
      <c r="B25" s="135">
        <v>-0.1</v>
      </c>
      <c r="C25" s="134">
        <v>-0.2</v>
      </c>
      <c r="D25" s="135">
        <v>-0.25</v>
      </c>
    </row>
    <row r="26" spans="1:4">
      <c r="A26" s="133" t="s">
        <v>258</v>
      </c>
      <c r="B26" s="135">
        <v>-0.1</v>
      </c>
      <c r="C26" s="134">
        <v>-0.2</v>
      </c>
      <c r="D26" s="135">
        <v>-0.25</v>
      </c>
    </row>
    <row r="27" spans="1:4">
      <c r="A27" s="133" t="s">
        <v>257</v>
      </c>
      <c r="B27" s="135">
        <v>-0.1</v>
      </c>
      <c r="C27" s="134">
        <v>-0.2</v>
      </c>
      <c r="D27" s="135">
        <v>-0.25</v>
      </c>
    </row>
    <row r="28" spans="1:4">
      <c r="A28" s="133" t="s">
        <v>256</v>
      </c>
      <c r="B28" s="135">
        <v>-0.1</v>
      </c>
      <c r="C28" s="134">
        <v>-0.2</v>
      </c>
      <c r="D28" s="135">
        <v>-0.25</v>
      </c>
    </row>
    <row r="29" spans="1:4">
      <c r="A29" s="133" t="s">
        <v>255</v>
      </c>
      <c r="B29" s="135">
        <v>-0.05</v>
      </c>
      <c r="C29" s="134">
        <v>-0.1</v>
      </c>
      <c r="D29" s="135">
        <v>-0.15</v>
      </c>
    </row>
    <row r="30" spans="1:4">
      <c r="A30" s="133" t="s">
        <v>254</v>
      </c>
      <c r="B30" s="134">
        <v>0</v>
      </c>
      <c r="C30" s="134">
        <v>-0.02</v>
      </c>
      <c r="D30" s="135">
        <v>-0.05</v>
      </c>
    </row>
    <row r="31" spans="1:4">
      <c r="A31" s="133" t="s">
        <v>253</v>
      </c>
      <c r="B31" s="134">
        <v>0</v>
      </c>
      <c r="C31" s="134">
        <v>0</v>
      </c>
      <c r="D31" s="135">
        <v>-0.02</v>
      </c>
    </row>
    <row r="32" spans="1:4">
      <c r="A32" s="133" t="s">
        <v>428</v>
      </c>
      <c r="B32" s="134">
        <v>0</v>
      </c>
      <c r="C32" s="134">
        <v>0</v>
      </c>
      <c r="D32" s="135">
        <v>0</v>
      </c>
    </row>
    <row r="33" spans="1:4">
      <c r="A33" s="133" t="s">
        <v>252</v>
      </c>
      <c r="B33" s="134">
        <v>0</v>
      </c>
      <c r="C33" s="134">
        <v>0</v>
      </c>
      <c r="D33" s="135">
        <v>0</v>
      </c>
    </row>
    <row r="34" spans="1:4">
      <c r="A34" s="133" t="s">
        <v>251</v>
      </c>
      <c r="B34" s="135">
        <v>0</v>
      </c>
      <c r="C34" s="134">
        <v>0</v>
      </c>
      <c r="D34" s="135">
        <v>0</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RowHeight="14"/>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workbookViewId="0">
      <selection sqref="A1:B1"/>
    </sheetView>
  </sheetViews>
  <sheetFormatPr baseColWidth="10" defaultRowHeight="14"/>
  <cols>
    <col min="1" max="1" width="38.7109375" style="128" bestFit="1" customWidth="1"/>
    <col min="2" max="2" width="63.42578125" style="128" bestFit="1" customWidth="1"/>
  </cols>
  <sheetData>
    <row r="1" spans="1:2" s="5" customFormat="1">
      <c r="A1" s="187" t="s">
        <v>188</v>
      </c>
      <c r="B1" s="187" t="s">
        <v>189</v>
      </c>
    </row>
    <row r="2" spans="1:2" s="3" customFormat="1">
      <c r="A2" s="124" t="s">
        <v>170</v>
      </c>
      <c r="B2" s="124" t="s">
        <v>190</v>
      </c>
    </row>
    <row r="3" spans="1:2" s="3" customFormat="1" ht="14" customHeight="1">
      <c r="A3" s="224" t="s">
        <v>246</v>
      </c>
      <c r="B3" s="227" t="s">
        <v>247</v>
      </c>
    </row>
    <row r="4" spans="1:2" s="3" customFormat="1" ht="14" customHeight="1">
      <c r="A4" s="225"/>
      <c r="B4" s="228"/>
    </row>
    <row r="5" spans="1:2" s="3" customFormat="1" ht="14" customHeight="1">
      <c r="A5" s="226"/>
      <c r="B5" s="229"/>
    </row>
    <row r="6" spans="1:2" s="3" customFormat="1" ht="14" customHeight="1">
      <c r="A6" s="227" t="s">
        <v>248</v>
      </c>
      <c r="B6" s="230" t="s">
        <v>193</v>
      </c>
    </row>
    <row r="7" spans="1:2" s="3" customFormat="1" ht="14" customHeight="1">
      <c r="A7" s="228"/>
      <c r="B7" s="231"/>
    </row>
    <row r="8" spans="1:2" s="3" customFormat="1" ht="14" customHeight="1">
      <c r="A8" s="229"/>
      <c r="B8" s="232"/>
    </row>
    <row r="9" spans="1:2" s="3" customFormat="1">
      <c r="A9" s="227" t="s">
        <v>249</v>
      </c>
      <c r="B9" s="125" t="s">
        <v>9</v>
      </c>
    </row>
    <row r="10" spans="1:2" s="3" customFormat="1">
      <c r="A10" s="228"/>
      <c r="B10" s="126" t="s">
        <v>21</v>
      </c>
    </row>
    <row r="11" spans="1:2" s="3" customFormat="1">
      <c r="A11" s="228"/>
      <c r="B11" s="126" t="s">
        <v>22</v>
      </c>
    </row>
    <row r="12" spans="1:2" s="3" customFormat="1">
      <c r="A12" s="229"/>
      <c r="B12" s="127" t="s">
        <v>91</v>
      </c>
    </row>
    <row r="13" spans="1:2" s="3" customFormat="1">
      <c r="A13" s="125" t="s">
        <v>92</v>
      </c>
      <c r="B13" s="125" t="s">
        <v>95</v>
      </c>
    </row>
    <row r="14" spans="1:2" s="3" customFormat="1">
      <c r="A14" s="126" t="s">
        <v>93</v>
      </c>
      <c r="B14" s="126" t="s">
        <v>176</v>
      </c>
    </row>
    <row r="15" spans="1:2" s="3" customFormat="1">
      <c r="A15" s="126" t="s">
        <v>94</v>
      </c>
      <c r="B15" s="126" t="s">
        <v>177</v>
      </c>
    </row>
    <row r="16" spans="1:2" s="3" customFormat="1">
      <c r="A16" s="126"/>
      <c r="B16" s="126" t="s">
        <v>178</v>
      </c>
    </row>
    <row r="17" spans="1:2" s="3" customFormat="1">
      <c r="A17" s="126"/>
      <c r="B17" s="126" t="s">
        <v>174</v>
      </c>
    </row>
    <row r="18" spans="1:2" s="3" customFormat="1">
      <c r="A18" s="126"/>
      <c r="B18" s="126" t="s">
        <v>194</v>
      </c>
    </row>
    <row r="19" spans="1:2" s="3" customFormat="1">
      <c r="A19" s="126"/>
      <c r="B19" s="126" t="s">
        <v>78</v>
      </c>
    </row>
    <row r="20" spans="1:2" s="3" customFormat="1">
      <c r="A20" s="126"/>
      <c r="B20" s="126" t="s">
        <v>79</v>
      </c>
    </row>
    <row r="21" spans="1:2" s="3" customFormat="1">
      <c r="A21" s="126"/>
      <c r="B21" s="126" t="s">
        <v>171</v>
      </c>
    </row>
    <row r="22" spans="1:2" s="3" customFormat="1">
      <c r="A22" s="126"/>
      <c r="B22" s="126" t="s">
        <v>175</v>
      </c>
    </row>
    <row r="23" spans="1:2" s="3" customFormat="1">
      <c r="A23" s="126"/>
      <c r="B23" s="126" t="s">
        <v>197</v>
      </c>
    </row>
    <row r="24" spans="1:2" s="3" customFormat="1">
      <c r="A24" s="126"/>
      <c r="B24" s="126" t="s">
        <v>141</v>
      </c>
    </row>
    <row r="25" spans="1:2" s="3" customFormat="1">
      <c r="A25" s="126"/>
      <c r="B25" s="126" t="s">
        <v>198</v>
      </c>
    </row>
    <row r="26" spans="1:2" s="3" customFormat="1">
      <c r="A26" s="126"/>
      <c r="B26" s="126" t="s">
        <v>200</v>
      </c>
    </row>
    <row r="27" spans="1:2" s="3" customFormat="1">
      <c r="A27" s="126"/>
      <c r="B27" s="126" t="s">
        <v>136</v>
      </c>
    </row>
    <row r="28" spans="1:2" s="3" customFormat="1">
      <c r="A28" s="126"/>
      <c r="B28" s="126" t="s">
        <v>137</v>
      </c>
    </row>
    <row r="29" spans="1:2" s="3" customFormat="1">
      <c r="A29" s="127"/>
      <c r="B29" s="127" t="s">
        <v>138</v>
      </c>
    </row>
    <row r="30" spans="1:2">
      <c r="A30" s="125" t="s">
        <v>240</v>
      </c>
      <c r="B30" s="186" t="s">
        <v>242</v>
      </c>
    </row>
    <row r="31" spans="1:2">
      <c r="A31" s="126" t="s">
        <v>241</v>
      </c>
      <c r="B31" s="126" t="s">
        <v>243</v>
      </c>
    </row>
    <row r="32" spans="1:2">
      <c r="A32" s="126"/>
      <c r="B32" s="126" t="s">
        <v>244</v>
      </c>
    </row>
    <row r="33" spans="1:2">
      <c r="A33" s="127"/>
      <c r="B33" s="127" t="s">
        <v>245</v>
      </c>
    </row>
  </sheetData>
  <mergeCells count="5">
    <mergeCell ref="A3:A5"/>
    <mergeCell ref="B3:B5"/>
    <mergeCell ref="A6:A8"/>
    <mergeCell ref="B6:B8"/>
    <mergeCell ref="A9:A12"/>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tabSelected="1" topLeftCell="A10" zoomScaleNormal="100" workbookViewId="0">
      <selection activeCell="B48" sqref="B48"/>
    </sheetView>
  </sheetViews>
  <sheetFormatPr baseColWidth="10" defaultRowHeight="14"/>
  <cols>
    <col min="1" max="1" width="55.140625" bestFit="1" customWidth="1"/>
    <col min="2" max="2" width="20.7109375" customWidth="1"/>
    <col min="5" max="5" width="13.28515625" customWidth="1"/>
  </cols>
  <sheetData>
    <row r="1" spans="1:7">
      <c r="A1" s="234" t="s">
        <v>517</v>
      </c>
      <c r="B1" s="235"/>
      <c r="C1" s="235"/>
      <c r="D1" s="235"/>
      <c r="E1" s="235"/>
      <c r="F1" s="236"/>
    </row>
    <row r="2" spans="1:7">
      <c r="A2" s="237"/>
      <c r="B2" s="238"/>
      <c r="C2" s="238"/>
      <c r="D2" s="238"/>
      <c r="E2" s="238"/>
      <c r="F2" s="239"/>
    </row>
    <row r="3" spans="1:7">
      <c r="A3" s="237"/>
      <c r="B3" s="238"/>
      <c r="C3" s="238"/>
      <c r="D3" s="238"/>
      <c r="E3" s="238"/>
      <c r="F3" s="239"/>
    </row>
    <row r="4" spans="1:7" ht="15" thickBot="1">
      <c r="A4" s="240"/>
      <c r="B4" s="241"/>
      <c r="C4" s="241"/>
      <c r="D4" s="241"/>
      <c r="E4" s="241"/>
      <c r="F4" s="242"/>
    </row>
    <row r="5" spans="1:7" ht="18" customHeight="1" thickBot="1">
      <c r="A5" s="267" t="s">
        <v>528</v>
      </c>
      <c r="B5" s="268"/>
      <c r="C5" s="268"/>
      <c r="D5" s="268"/>
      <c r="E5" s="268"/>
      <c r="F5" s="269"/>
    </row>
    <row r="6" spans="1:7" s="196" customFormat="1" ht="16">
      <c r="A6" s="137" t="s">
        <v>166</v>
      </c>
    </row>
    <row r="7" spans="1:7" s="196" customFormat="1" ht="20" customHeight="1">
      <c r="A7" s="196" t="s">
        <v>101</v>
      </c>
      <c r="B7" s="197" t="s">
        <v>526</v>
      </c>
    </row>
    <row r="8" spans="1:7" s="196" customFormat="1" ht="20" customHeight="1">
      <c r="A8" s="196" t="s">
        <v>250</v>
      </c>
      <c r="B8" s="198">
        <v>41639</v>
      </c>
    </row>
    <row r="9" spans="1:7" s="196" customFormat="1" ht="20" customHeight="1" thickBot="1">
      <c r="A9" s="199" t="s">
        <v>172</v>
      </c>
      <c r="B9" s="200"/>
      <c r="C9" s="210"/>
      <c r="D9" s="210"/>
      <c r="E9" s="233" t="s">
        <v>461</v>
      </c>
      <c r="F9" s="233"/>
      <c r="G9" s="233"/>
    </row>
    <row r="10" spans="1:7" s="196" customFormat="1" ht="20" customHeight="1">
      <c r="A10" s="196" t="s">
        <v>434</v>
      </c>
      <c r="B10" s="201">
        <f>17484+2081</f>
        <v>19565</v>
      </c>
      <c r="D10" s="200"/>
      <c r="E10" s="178"/>
      <c r="F10" s="179" t="s">
        <v>158</v>
      </c>
      <c r="G10" s="180" t="s">
        <v>159</v>
      </c>
    </row>
    <row r="11" spans="1:7" s="196" customFormat="1" ht="20" customHeight="1">
      <c r="A11" s="196" t="s">
        <v>102</v>
      </c>
      <c r="B11" s="201">
        <v>2081</v>
      </c>
      <c r="D11" s="200"/>
      <c r="E11" s="181" t="s">
        <v>462</v>
      </c>
      <c r="F11" s="183">
        <f ca="1">'Optimal Capital Structure'!E12</f>
        <v>3.7901687652795342E-3</v>
      </c>
      <c r="G11" s="183">
        <f ca="1">'Optimal Capital Structure'!F12</f>
        <v>0.2</v>
      </c>
    </row>
    <row r="12" spans="1:7" s="196" customFormat="1" ht="20" customHeight="1">
      <c r="A12" s="196" t="s">
        <v>103</v>
      </c>
      <c r="B12" s="201">
        <v>5739</v>
      </c>
      <c r="D12" s="200"/>
      <c r="E12" s="181" t="s">
        <v>463</v>
      </c>
      <c r="F12" s="183">
        <f ca="1">'Optimal Capital Structure'!E19</f>
        <v>7.8611452823453637E-2</v>
      </c>
      <c r="G12" s="183">
        <f ca="1">'Optimal Capital Structure'!F19</f>
        <v>7.3609034038987331E-2</v>
      </c>
    </row>
    <row r="13" spans="1:7" s="196" customFormat="1" ht="20" customHeight="1">
      <c r="A13" s="196" t="s">
        <v>422</v>
      </c>
      <c r="B13" s="201">
        <v>10</v>
      </c>
      <c r="D13" s="200"/>
      <c r="E13" s="181" t="s">
        <v>464</v>
      </c>
      <c r="F13" s="184">
        <f ca="1">'Optimal Capital Structure'!J14</f>
        <v>515913.52108505578</v>
      </c>
      <c r="G13" s="184">
        <f ca="1">'Optimal Capital Structure'!F21</f>
        <v>569558.65324348898</v>
      </c>
    </row>
    <row r="14" spans="1:7" s="196" customFormat="1" ht="20" customHeight="1" thickBot="1">
      <c r="A14" s="196" t="s">
        <v>268</v>
      </c>
      <c r="B14" s="202">
        <v>0.4</v>
      </c>
      <c r="D14" s="200"/>
      <c r="E14" s="182" t="s">
        <v>465</v>
      </c>
      <c r="F14" s="185">
        <f ca="1">'Optimal Capital Structure'!E22</f>
        <v>190</v>
      </c>
      <c r="G14" s="185">
        <f ca="1">'Optimal Capital Structure'!F22</f>
        <v>208.46139863666914</v>
      </c>
    </row>
    <row r="15" spans="1:7" s="196" customFormat="1" ht="20" customHeight="1">
      <c r="A15" s="196" t="s">
        <v>427</v>
      </c>
      <c r="B15" s="197" t="s">
        <v>417</v>
      </c>
      <c r="D15" s="200"/>
      <c r="E15" s="211" t="s">
        <v>466</v>
      </c>
      <c r="F15" s="212"/>
      <c r="G15" s="213"/>
    </row>
    <row r="16" spans="1:7" s="196" customFormat="1" ht="20" customHeight="1">
      <c r="A16" s="196" t="s">
        <v>416</v>
      </c>
      <c r="B16" s="202">
        <v>3.2199999999999999E-2</v>
      </c>
      <c r="D16" s="200"/>
    </row>
    <row r="17" spans="1:8" s="199" customFormat="1" ht="20" customHeight="1">
      <c r="A17" s="199" t="s">
        <v>405</v>
      </c>
      <c r="B17" s="203"/>
      <c r="C17" s="196"/>
      <c r="D17" s="203"/>
    </row>
    <row r="18" spans="1:8" s="196" customFormat="1" ht="20" customHeight="1">
      <c r="A18" s="196" t="s">
        <v>59</v>
      </c>
      <c r="B18" s="197">
        <v>2905.8</v>
      </c>
      <c r="D18" s="200"/>
      <c r="E18" s="243" t="s">
        <v>527</v>
      </c>
      <c r="F18" s="244"/>
      <c r="G18" s="244"/>
      <c r="H18" s="245"/>
    </row>
    <row r="19" spans="1:8" s="196" customFormat="1" ht="20" customHeight="1">
      <c r="A19" s="196" t="s">
        <v>37</v>
      </c>
      <c r="B19" s="201">
        <v>190</v>
      </c>
      <c r="D19" s="200"/>
      <c r="E19" s="246"/>
      <c r="F19" s="247"/>
      <c r="G19" s="247"/>
      <c r="H19" s="248"/>
    </row>
    <row r="20" spans="1:8" s="196" customFormat="1" ht="20" customHeight="1">
      <c r="A20" s="196" t="s">
        <v>38</v>
      </c>
      <c r="B20" s="204">
        <v>1.05</v>
      </c>
      <c r="D20" s="200"/>
      <c r="E20" s="246"/>
      <c r="F20" s="247"/>
      <c r="G20" s="247"/>
      <c r="H20" s="248"/>
    </row>
    <row r="21" spans="1:8" s="196" customFormat="1" ht="20" customHeight="1">
      <c r="A21" s="196" t="s">
        <v>440</v>
      </c>
      <c r="B21" s="205">
        <v>38289</v>
      </c>
      <c r="D21" s="200"/>
      <c r="E21" s="246"/>
      <c r="F21" s="247"/>
      <c r="G21" s="247"/>
      <c r="H21" s="248"/>
    </row>
    <row r="22" spans="1:8" s="196" customFormat="1" ht="20" customHeight="1">
      <c r="A22" s="196" t="s">
        <v>423</v>
      </c>
      <c r="B22" s="206">
        <v>0</v>
      </c>
      <c r="D22" s="200"/>
      <c r="E22" s="249"/>
      <c r="F22" s="250"/>
      <c r="G22" s="250"/>
      <c r="H22" s="251"/>
    </row>
    <row r="23" spans="1:8" s="196" customFormat="1" ht="20" customHeight="1">
      <c r="A23" s="196" t="s">
        <v>420</v>
      </c>
      <c r="B23" s="197" t="s">
        <v>235</v>
      </c>
      <c r="D23" s="200"/>
    </row>
    <row r="24" spans="1:8" s="196" customFormat="1" ht="20" customHeight="1">
      <c r="A24" s="196" t="s">
        <v>419</v>
      </c>
      <c r="B24" s="201"/>
      <c r="D24" s="200"/>
    </row>
    <row r="25" spans="1:8" s="196" customFormat="1" ht="20" customHeight="1">
      <c r="A25" s="196" t="s">
        <v>40</v>
      </c>
      <c r="B25" s="201" t="s">
        <v>235</v>
      </c>
      <c r="D25" s="200"/>
    </row>
    <row r="26" spans="1:8" s="196" customFormat="1" ht="20" customHeight="1">
      <c r="A26" s="196" t="s">
        <v>421</v>
      </c>
      <c r="B26" s="207">
        <v>7.9225636378614377</v>
      </c>
      <c r="D26" s="200"/>
    </row>
    <row r="27" spans="1:8" s="196" customFormat="1" ht="20" customHeight="1">
      <c r="A27" s="196" t="s">
        <v>173</v>
      </c>
      <c r="B27" s="201" t="s">
        <v>41</v>
      </c>
      <c r="C27" s="200"/>
      <c r="D27" s="200"/>
    </row>
    <row r="28" spans="1:8" s="196" customFormat="1" ht="20" customHeight="1">
      <c r="A28" s="137" t="s">
        <v>524</v>
      </c>
      <c r="B28" s="215"/>
      <c r="C28" s="200"/>
      <c r="D28" s="200"/>
    </row>
    <row r="29" spans="1:8" s="196" customFormat="1" ht="20" customHeight="1">
      <c r="A29" s="196" t="s">
        <v>518</v>
      </c>
      <c r="B29" s="216" t="s">
        <v>235</v>
      </c>
      <c r="C29" s="200"/>
      <c r="D29" s="200"/>
    </row>
    <row r="30" spans="1:8" s="196" customFormat="1" ht="20" customHeight="1">
      <c r="A30" s="196" t="s">
        <v>519</v>
      </c>
      <c r="B30" s="216" t="s">
        <v>113</v>
      </c>
      <c r="C30" s="200"/>
      <c r="D30" s="200"/>
    </row>
    <row r="31" spans="1:8" s="196" customFormat="1" ht="20" customHeight="1">
      <c r="A31" s="196" t="s">
        <v>521</v>
      </c>
      <c r="B31" s="217">
        <v>0.3</v>
      </c>
      <c r="C31" s="200"/>
      <c r="D31" s="200"/>
    </row>
    <row r="32" spans="1:8" s="196" customFormat="1" ht="20" customHeight="1">
      <c r="A32" s="199" t="s">
        <v>406</v>
      </c>
      <c r="B32" s="208"/>
      <c r="C32" s="200"/>
      <c r="D32" s="200"/>
    </row>
    <row r="33" spans="1:4" s="196" customFormat="1" ht="20" customHeight="1">
      <c r="A33" s="196" t="s">
        <v>407</v>
      </c>
      <c r="B33" s="201" t="s">
        <v>235</v>
      </c>
      <c r="C33" s="200"/>
      <c r="D33" s="200"/>
    </row>
    <row r="34" spans="1:4" s="196" customFormat="1" ht="20" customHeight="1">
      <c r="A34" s="196" t="s">
        <v>409</v>
      </c>
      <c r="B34" s="201" t="s">
        <v>266</v>
      </c>
      <c r="C34" s="200"/>
      <c r="D34" s="200"/>
    </row>
    <row r="35" spans="1:4" s="196" customFormat="1" ht="20" customHeight="1">
      <c r="A35" s="199" t="s">
        <v>20</v>
      </c>
      <c r="B35" s="200"/>
      <c r="C35" s="200"/>
      <c r="D35" s="200"/>
    </row>
    <row r="36" spans="1:4" s="196" customFormat="1" ht="20" customHeight="1">
      <c r="A36" s="196" t="s">
        <v>404</v>
      </c>
      <c r="B36" s="202">
        <v>2.5499999999999998E-2</v>
      </c>
      <c r="C36" s="200"/>
      <c r="D36" s="200"/>
    </row>
    <row r="37" spans="1:4" s="196" customFormat="1" ht="20" customHeight="1">
      <c r="A37" s="196" t="s">
        <v>42</v>
      </c>
      <c r="B37" s="202">
        <v>5.0799999999999998E-2</v>
      </c>
      <c r="C37" s="200"/>
      <c r="D37" s="200"/>
    </row>
    <row r="38" spans="1:4" s="196" customFormat="1" ht="20" customHeight="1">
      <c r="A38" s="196" t="s">
        <v>237</v>
      </c>
      <c r="B38" s="202">
        <v>0</v>
      </c>
      <c r="C38" s="200"/>
      <c r="D38" s="200"/>
    </row>
    <row r="39" spans="1:4" s="196" customFormat="1" ht="16"/>
    <row r="40" spans="1:4" s="196" customFormat="1" ht="16">
      <c r="A40" s="199" t="s">
        <v>19</v>
      </c>
    </row>
    <row r="41" spans="1:4" s="196" customFormat="1" ht="20" customHeight="1">
      <c r="A41" s="196" t="s">
        <v>191</v>
      </c>
      <c r="B41" s="197">
        <v>1</v>
      </c>
    </row>
    <row r="42" spans="1:4" s="196" customFormat="1" ht="20" customHeight="1">
      <c r="A42" s="209" t="s">
        <v>52</v>
      </c>
      <c r="B42" s="197" t="s">
        <v>41</v>
      </c>
      <c r="C42" s="200" t="s">
        <v>39</v>
      </c>
      <c r="D42" s="214"/>
    </row>
    <row r="43" spans="1:4" s="196" customFormat="1" ht="20" customHeight="1">
      <c r="A43" s="196" t="s">
        <v>418</v>
      </c>
      <c r="B43" s="197" t="s">
        <v>41</v>
      </c>
      <c r="C43" s="200" t="s">
        <v>39</v>
      </c>
      <c r="D43" s="214"/>
    </row>
    <row r="44" spans="1:4" s="196" customFormat="1" ht="16"/>
    <row r="45" spans="1:4" s="196" customFormat="1" ht="16"/>
    <row r="46" spans="1:4" s="196" customFormat="1" ht="16"/>
    <row r="47" spans="1:4" s="196" customFormat="1" ht="16"/>
    <row r="48" spans="1:4" s="196" customFormat="1" ht="16"/>
    <row r="49" s="196" customFormat="1" ht="16"/>
    <row r="50" s="196" customFormat="1" ht="16"/>
    <row r="51" s="196" customFormat="1" ht="16"/>
    <row r="52" s="196" customFormat="1" ht="16"/>
    <row r="53" s="196" customFormat="1" ht="16"/>
    <row r="54" s="196" customFormat="1" ht="16"/>
    <row r="55" s="196" customFormat="1" ht="16"/>
    <row r="56" s="196" customFormat="1" ht="16"/>
    <row r="57" s="196" customFormat="1" ht="16"/>
    <row r="58" s="196" customFormat="1" ht="16"/>
    <row r="59" s="196" customFormat="1" ht="16"/>
  </sheetData>
  <mergeCells count="4">
    <mergeCell ref="E9:G9"/>
    <mergeCell ref="A1:F4"/>
    <mergeCell ref="E18:H22"/>
    <mergeCell ref="A5:F5"/>
  </mergeCells>
  <phoneticPr fontId="17"/>
  <pageMargins left="0.75" right="0.75" top="1" bottom="1" header="0.5" footer="0.5"/>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'Input choices page'!$A$1:$A$17</xm:f>
          </x14:formula1>
          <xm:sqref>B15</xm:sqref>
        </x14:dataValidation>
        <x14:dataValidation type="list" allowBlank="1" showInputMessage="1" showErrorMessage="1" xr:uid="{00000000-0002-0000-0200-000001000000}">
          <x14:formula1>
            <xm:f>'Input choices page'!$F$2:$F$3</xm:f>
          </x14:formula1>
          <xm:sqref>B33 B42:B43 B25 B23 B27:B28 B29</xm:sqref>
        </x14:dataValidation>
        <x14:dataValidation type="list" allowBlank="1" showInputMessage="1" showErrorMessage="1" xr:uid="{00000000-0002-0000-0200-000002000000}">
          <x14:formula1>
            <xm:f>'Input choices page'!$G$2:$G$4</xm:f>
          </x14:formula1>
          <xm:sqref>B34</xm:sqref>
        </x14:dataValidation>
        <x14:dataValidation type="list" allowBlank="1" showInputMessage="1" showErrorMessage="1" xr:uid="{00000000-0002-0000-0200-000003000000}">
          <x14:formula1>
            <xm:f>'Input choices page'!$H$2:$H$3</xm:f>
          </x14:formula1>
          <xm:sqref>B41</xm:sqref>
        </x14:dataValidation>
        <x14:dataValidation type="list" allowBlank="1" showInputMessage="1" showErrorMessage="1" xr:uid="{00000000-0002-0000-0200-000004000000}">
          <x14:formula1>
            <xm:f>'Input choices page'!$I$3:$I$4</xm:f>
          </x14:formula1>
          <xm:sqref>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3"/>
  <sheetViews>
    <sheetView topLeftCell="A145" workbookViewId="0">
      <selection activeCell="B168" sqref="B168"/>
    </sheetView>
  </sheetViews>
  <sheetFormatPr baseColWidth="10" defaultRowHeight="14"/>
  <cols>
    <col min="1" max="1" width="24" bestFit="1" customWidth="1"/>
    <col min="2" max="2" width="9.5703125" bestFit="1" customWidth="1"/>
  </cols>
  <sheetData>
    <row r="1" spans="1:2" ht="16">
      <c r="A1" s="190" t="s">
        <v>269</v>
      </c>
      <c r="B1" s="193" t="s">
        <v>516</v>
      </c>
    </row>
    <row r="2" spans="1:2">
      <c r="A2" s="191" t="s">
        <v>270</v>
      </c>
      <c r="B2" s="194">
        <v>0.2</v>
      </c>
    </row>
    <row r="3" spans="1:2">
      <c r="A3" s="191" t="s">
        <v>271</v>
      </c>
      <c r="B3" s="194">
        <v>0.15</v>
      </c>
    </row>
    <row r="4" spans="1:2">
      <c r="A4" s="191" t="s">
        <v>468</v>
      </c>
      <c r="B4" s="194">
        <v>0.26</v>
      </c>
    </row>
    <row r="5" spans="1:2">
      <c r="A5" s="191" t="s">
        <v>482</v>
      </c>
      <c r="B5" s="194">
        <v>0.1</v>
      </c>
    </row>
    <row r="6" spans="1:2">
      <c r="A6" s="191" t="s">
        <v>272</v>
      </c>
      <c r="B6" s="194">
        <v>0.3</v>
      </c>
    </row>
    <row r="7" spans="1:2">
      <c r="A7" s="191" t="s">
        <v>483</v>
      </c>
      <c r="B7" s="194">
        <v>0</v>
      </c>
    </row>
    <row r="8" spans="1:2">
      <c r="A8" s="191" t="s">
        <v>484</v>
      </c>
      <c r="B8" s="194">
        <v>0.25</v>
      </c>
    </row>
    <row r="9" spans="1:2">
      <c r="A9" s="191" t="s">
        <v>273</v>
      </c>
      <c r="B9" s="194">
        <v>0.35</v>
      </c>
    </row>
    <row r="10" spans="1:2">
      <c r="A10" s="191" t="s">
        <v>274</v>
      </c>
      <c r="B10" s="194">
        <v>0.2</v>
      </c>
    </row>
    <row r="11" spans="1:2">
      <c r="A11" s="191" t="s">
        <v>275</v>
      </c>
      <c r="B11" s="194">
        <v>0.25</v>
      </c>
    </row>
    <row r="12" spans="1:2">
      <c r="A12" s="191" t="s">
        <v>276</v>
      </c>
      <c r="B12" s="194">
        <v>0.3</v>
      </c>
    </row>
    <row r="13" spans="1:2">
      <c r="A13" s="191" t="s">
        <v>277</v>
      </c>
      <c r="B13" s="194">
        <v>0.25</v>
      </c>
    </row>
    <row r="14" spans="1:2">
      <c r="A14" s="191" t="s">
        <v>485</v>
      </c>
      <c r="B14" s="194">
        <v>0.2</v>
      </c>
    </row>
    <row r="15" spans="1:2">
      <c r="A15" s="191" t="s">
        <v>278</v>
      </c>
      <c r="B15" s="194">
        <v>0</v>
      </c>
    </row>
    <row r="16" spans="1:2">
      <c r="A16" s="191" t="s">
        <v>279</v>
      </c>
      <c r="B16" s="194">
        <v>0</v>
      </c>
    </row>
    <row r="17" spans="1:2">
      <c r="A17" s="191" t="s">
        <v>280</v>
      </c>
      <c r="B17" s="194">
        <v>0.25</v>
      </c>
    </row>
    <row r="18" spans="1:2">
      <c r="A18" s="191" t="s">
        <v>281</v>
      </c>
      <c r="B18" s="194">
        <v>0.25</v>
      </c>
    </row>
    <row r="19" spans="1:2">
      <c r="A19" s="191" t="s">
        <v>282</v>
      </c>
      <c r="B19" s="194">
        <v>0.18</v>
      </c>
    </row>
    <row r="20" spans="1:2">
      <c r="A20" s="191" t="s">
        <v>283</v>
      </c>
      <c r="B20" s="194">
        <v>0.33990000000000004</v>
      </c>
    </row>
    <row r="21" spans="1:2">
      <c r="A21" s="191" t="s">
        <v>486</v>
      </c>
      <c r="B21" s="194">
        <v>0.3</v>
      </c>
    </row>
    <row r="22" spans="1:2">
      <c r="A22" s="191" t="s">
        <v>284</v>
      </c>
      <c r="B22" s="194">
        <v>0</v>
      </c>
    </row>
    <row r="23" spans="1:2">
      <c r="A23" s="191" t="s">
        <v>285</v>
      </c>
      <c r="B23" s="194">
        <v>0.25</v>
      </c>
    </row>
    <row r="24" spans="1:2">
      <c r="A24" s="191" t="s">
        <v>469</v>
      </c>
      <c r="B24" s="194">
        <v>0.25</v>
      </c>
    </row>
    <row r="25" spans="1:2">
      <c r="A25" s="191" t="s">
        <v>286</v>
      </c>
      <c r="B25" s="194">
        <v>0.1</v>
      </c>
    </row>
    <row r="26" spans="1:2">
      <c r="A26" s="191" t="s">
        <v>287</v>
      </c>
      <c r="B26" s="194">
        <v>0.22</v>
      </c>
    </row>
    <row r="27" spans="1:2">
      <c r="A27" s="191" t="s">
        <v>288</v>
      </c>
      <c r="B27" s="194">
        <v>0.34</v>
      </c>
    </row>
    <row r="28" spans="1:2">
      <c r="A28" s="191" t="s">
        <v>487</v>
      </c>
      <c r="B28" s="194">
        <v>0.185</v>
      </c>
    </row>
    <row r="29" spans="1:2">
      <c r="A29" s="191" t="s">
        <v>289</v>
      </c>
      <c r="B29" s="194">
        <v>0.1</v>
      </c>
    </row>
    <row r="30" spans="1:2">
      <c r="A30" s="191" t="s">
        <v>488</v>
      </c>
      <c r="B30" s="194">
        <v>0.27500000000000002</v>
      </c>
    </row>
    <row r="31" spans="1:2">
      <c r="A31" s="191" t="s">
        <v>489</v>
      </c>
      <c r="B31" s="194">
        <v>0.3</v>
      </c>
    </row>
    <row r="32" spans="1:2">
      <c r="A32" s="191" t="s">
        <v>290</v>
      </c>
      <c r="B32" s="194">
        <v>0.2</v>
      </c>
    </row>
    <row r="33" spans="1:2">
      <c r="A33" s="191" t="s">
        <v>470</v>
      </c>
      <c r="B33" s="194">
        <v>0.33</v>
      </c>
    </row>
    <row r="34" spans="1:2">
      <c r="A34" s="191" t="s">
        <v>291</v>
      </c>
      <c r="B34" s="194">
        <v>0.26500000000000001</v>
      </c>
    </row>
    <row r="35" spans="1:2">
      <c r="A35" s="191" t="s">
        <v>292</v>
      </c>
      <c r="B35" s="194">
        <v>0</v>
      </c>
    </row>
    <row r="36" spans="1:2">
      <c r="A36" s="191" t="s">
        <v>293</v>
      </c>
      <c r="B36" s="194">
        <v>0.255</v>
      </c>
    </row>
    <row r="37" spans="1:2">
      <c r="A37" s="191" t="s">
        <v>294</v>
      </c>
      <c r="B37" s="194">
        <v>0.25</v>
      </c>
    </row>
    <row r="38" spans="1:2">
      <c r="A38" s="191" t="s">
        <v>295</v>
      </c>
      <c r="B38" s="194">
        <v>0.34</v>
      </c>
    </row>
    <row r="39" spans="1:2">
      <c r="A39" s="191" t="s">
        <v>490</v>
      </c>
      <c r="B39" s="194">
        <v>0.35</v>
      </c>
    </row>
    <row r="40" spans="1:2">
      <c r="A40" s="191" t="s">
        <v>296</v>
      </c>
      <c r="B40" s="194">
        <v>0.3</v>
      </c>
    </row>
    <row r="41" spans="1:2">
      <c r="A41" s="191" t="s">
        <v>297</v>
      </c>
      <c r="B41" s="194">
        <v>0.2</v>
      </c>
    </row>
    <row r="42" spans="1:2">
      <c r="A42" s="191" t="s">
        <v>298</v>
      </c>
      <c r="B42" s="194">
        <v>0.22</v>
      </c>
    </row>
    <row r="43" spans="1:2">
      <c r="A43" s="191" t="s">
        <v>299</v>
      </c>
      <c r="B43" s="194">
        <v>0.125</v>
      </c>
    </row>
    <row r="44" spans="1:2">
      <c r="A44" s="191" t="s">
        <v>300</v>
      </c>
      <c r="B44" s="194">
        <v>0.19</v>
      </c>
    </row>
    <row r="45" spans="1:2">
      <c r="A45" s="191" t="s">
        <v>301</v>
      </c>
      <c r="B45" s="194">
        <v>0.22</v>
      </c>
    </row>
    <row r="46" spans="1:2">
      <c r="A46" s="191" t="s">
        <v>491</v>
      </c>
      <c r="B46" s="194">
        <v>0.25</v>
      </c>
    </row>
    <row r="47" spans="1:2">
      <c r="A47" s="191" t="s">
        <v>492</v>
      </c>
      <c r="B47" s="194">
        <v>0.25</v>
      </c>
    </row>
    <row r="48" spans="1:2">
      <c r="A48" s="191" t="s">
        <v>302</v>
      </c>
      <c r="B48" s="194">
        <v>0.27</v>
      </c>
    </row>
    <row r="49" spans="1:2">
      <c r="A49" s="191" t="s">
        <v>303</v>
      </c>
      <c r="B49" s="194">
        <v>0.22</v>
      </c>
    </row>
    <row r="50" spans="1:2">
      <c r="A50" s="191" t="s">
        <v>304</v>
      </c>
      <c r="B50" s="194">
        <v>0.22500000000000001</v>
      </c>
    </row>
    <row r="51" spans="1:2">
      <c r="A51" s="191" t="s">
        <v>306</v>
      </c>
      <c r="B51" s="194">
        <v>0.3</v>
      </c>
    </row>
    <row r="52" spans="1:2">
      <c r="A52" s="191" t="s">
        <v>305</v>
      </c>
      <c r="B52" s="194">
        <v>0.2</v>
      </c>
    </row>
    <row r="53" spans="1:2">
      <c r="A53" s="191" t="s">
        <v>493</v>
      </c>
      <c r="B53" s="194">
        <v>0.3</v>
      </c>
    </row>
    <row r="54" spans="1:2">
      <c r="A54" s="191" t="s">
        <v>307</v>
      </c>
      <c r="B54" s="194">
        <v>0.2</v>
      </c>
    </row>
    <row r="55" spans="1:2">
      <c r="A55" s="191" t="s">
        <v>308</v>
      </c>
      <c r="B55" s="194">
        <v>0.2</v>
      </c>
    </row>
    <row r="56" spans="1:2">
      <c r="A56" s="191" t="s">
        <v>309</v>
      </c>
      <c r="B56" s="194">
        <v>0.33329999999999999</v>
      </c>
    </row>
    <row r="57" spans="1:2">
      <c r="A57" s="191" t="s">
        <v>494</v>
      </c>
      <c r="B57" s="194">
        <v>0.3</v>
      </c>
    </row>
    <row r="58" spans="1:2">
      <c r="A58" s="191" t="s">
        <v>495</v>
      </c>
      <c r="B58" s="194">
        <v>0.31</v>
      </c>
    </row>
    <row r="59" spans="1:2">
      <c r="A59" s="191" t="s">
        <v>310</v>
      </c>
      <c r="B59" s="194">
        <v>0.15</v>
      </c>
    </row>
    <row r="60" spans="1:2">
      <c r="A60" s="191" t="s">
        <v>311</v>
      </c>
      <c r="B60" s="194">
        <v>0.2979</v>
      </c>
    </row>
    <row r="61" spans="1:2">
      <c r="A61" s="191" t="s">
        <v>471</v>
      </c>
      <c r="B61" s="194">
        <v>0.25</v>
      </c>
    </row>
    <row r="62" spans="1:2">
      <c r="A62" s="191" t="s">
        <v>312</v>
      </c>
      <c r="B62" s="194">
        <v>0.1</v>
      </c>
    </row>
    <row r="63" spans="1:2">
      <c r="A63" s="191" t="s">
        <v>313</v>
      </c>
      <c r="B63" s="194">
        <v>0.28999999999999998</v>
      </c>
    </row>
    <row r="64" spans="1:2">
      <c r="A64" s="191" t="s">
        <v>496</v>
      </c>
      <c r="B64" s="194">
        <v>0.3</v>
      </c>
    </row>
    <row r="65" spans="1:2">
      <c r="A65" s="191" t="s">
        <v>314</v>
      </c>
      <c r="B65" s="194">
        <v>0.25</v>
      </c>
    </row>
    <row r="66" spans="1:2">
      <c r="A66" s="191" t="s">
        <v>315</v>
      </c>
      <c r="B66" s="194">
        <v>0</v>
      </c>
    </row>
    <row r="67" spans="1:2">
      <c r="A67" s="191" t="s">
        <v>316</v>
      </c>
      <c r="B67" s="194">
        <v>0.25</v>
      </c>
    </row>
    <row r="68" spans="1:2">
      <c r="A68" s="191" t="s">
        <v>472</v>
      </c>
      <c r="B68" s="194">
        <v>0.16500000000000001</v>
      </c>
    </row>
    <row r="69" spans="1:2">
      <c r="A69" s="191" t="s">
        <v>317</v>
      </c>
      <c r="B69" s="194">
        <v>0.09</v>
      </c>
    </row>
    <row r="70" spans="1:2">
      <c r="A70" s="191" t="s">
        <v>318</v>
      </c>
      <c r="B70" s="194">
        <v>0.2</v>
      </c>
    </row>
    <row r="71" spans="1:2">
      <c r="A71" s="191" t="s">
        <v>319</v>
      </c>
      <c r="B71" s="194">
        <v>0.3</v>
      </c>
    </row>
    <row r="72" spans="1:2">
      <c r="A72" s="191" t="s">
        <v>320</v>
      </c>
      <c r="B72" s="194">
        <v>0.25</v>
      </c>
    </row>
    <row r="73" spans="1:2">
      <c r="A73" s="191" t="s">
        <v>473</v>
      </c>
      <c r="B73" s="194">
        <v>0.15</v>
      </c>
    </row>
    <row r="74" spans="1:2">
      <c r="A74" s="191" t="s">
        <v>321</v>
      </c>
      <c r="B74" s="194">
        <v>0.125</v>
      </c>
    </row>
    <row r="75" spans="1:2">
      <c r="A75" s="191" t="s">
        <v>322</v>
      </c>
      <c r="B75" s="194">
        <v>0</v>
      </c>
    </row>
    <row r="76" spans="1:2">
      <c r="A76" s="191" t="s">
        <v>323</v>
      </c>
      <c r="B76" s="194">
        <v>0.24</v>
      </c>
    </row>
    <row r="77" spans="1:2">
      <c r="A77" s="191" t="s">
        <v>324</v>
      </c>
      <c r="B77" s="194">
        <v>0.24</v>
      </c>
    </row>
    <row r="78" spans="1:2">
      <c r="A78" s="191" t="s">
        <v>497</v>
      </c>
      <c r="B78" s="194">
        <v>0.25</v>
      </c>
    </row>
    <row r="79" spans="1:2">
      <c r="A79" s="191" t="s">
        <v>325</v>
      </c>
      <c r="B79" s="194">
        <v>0.25</v>
      </c>
    </row>
    <row r="80" spans="1:2">
      <c r="A80" s="191" t="s">
        <v>326</v>
      </c>
      <c r="B80" s="194">
        <v>0.30859999999999999</v>
      </c>
    </row>
    <row r="81" spans="1:2">
      <c r="A81" s="191" t="s">
        <v>327</v>
      </c>
      <c r="B81" s="194">
        <v>0.2</v>
      </c>
    </row>
    <row r="82" spans="1:2">
      <c r="A82" s="191" t="s">
        <v>328</v>
      </c>
      <c r="B82" s="194">
        <v>0.2</v>
      </c>
    </row>
    <row r="83" spans="1:2">
      <c r="A83" s="191" t="s">
        <v>329</v>
      </c>
      <c r="B83" s="194">
        <v>0.2</v>
      </c>
    </row>
    <row r="84" spans="1:2">
      <c r="A84" s="191" t="s">
        <v>330</v>
      </c>
      <c r="B84" s="194">
        <v>0.3</v>
      </c>
    </row>
    <row r="85" spans="1:2">
      <c r="A85" s="191" t="s">
        <v>331</v>
      </c>
      <c r="B85" s="194">
        <v>0.22</v>
      </c>
    </row>
    <row r="86" spans="1:2">
      <c r="A86" s="191" t="s">
        <v>332</v>
      </c>
      <c r="B86" s="194">
        <v>0.15</v>
      </c>
    </row>
    <row r="87" spans="1:2">
      <c r="A87" s="191" t="s">
        <v>498</v>
      </c>
      <c r="B87" s="194">
        <v>0.1</v>
      </c>
    </row>
    <row r="88" spans="1:2">
      <c r="A88" s="191" t="s">
        <v>333</v>
      </c>
      <c r="B88" s="194">
        <v>0.15</v>
      </c>
    </row>
    <row r="89" spans="1:2">
      <c r="A89" s="191" t="s">
        <v>474</v>
      </c>
      <c r="B89" s="194">
        <v>0.15</v>
      </c>
    </row>
    <row r="90" spans="1:2">
      <c r="A90" s="191" t="s">
        <v>334</v>
      </c>
      <c r="B90" s="194">
        <v>0.2</v>
      </c>
    </row>
    <row r="91" spans="1:2">
      <c r="A91" s="191" t="s">
        <v>335</v>
      </c>
      <c r="B91" s="194">
        <v>0.125</v>
      </c>
    </row>
    <row r="92" spans="1:2">
      <c r="A92" s="191" t="s">
        <v>336</v>
      </c>
      <c r="B92" s="194">
        <v>0.15</v>
      </c>
    </row>
    <row r="93" spans="1:2">
      <c r="A93" s="191" t="s">
        <v>337</v>
      </c>
      <c r="B93" s="194">
        <v>0.27079999999999999</v>
      </c>
    </row>
    <row r="94" spans="1:2">
      <c r="A94" s="191" t="s">
        <v>338</v>
      </c>
      <c r="B94" s="194">
        <v>0.12</v>
      </c>
    </row>
    <row r="95" spans="1:2">
      <c r="A95" s="191" t="s">
        <v>339</v>
      </c>
      <c r="B95" s="194">
        <v>0.1</v>
      </c>
    </row>
    <row r="96" spans="1:2">
      <c r="A96" s="191" t="s">
        <v>499</v>
      </c>
      <c r="B96" s="194">
        <v>0.2</v>
      </c>
    </row>
    <row r="97" spans="1:2">
      <c r="A97" s="191" t="s">
        <v>340</v>
      </c>
      <c r="B97" s="194">
        <v>0.3</v>
      </c>
    </row>
    <row r="98" spans="1:2">
      <c r="A98" s="191" t="s">
        <v>341</v>
      </c>
      <c r="B98" s="194">
        <v>0.24</v>
      </c>
    </row>
    <row r="99" spans="1:2">
      <c r="A99" s="191" t="s">
        <v>342</v>
      </c>
      <c r="B99" s="194">
        <v>0.35</v>
      </c>
    </row>
    <row r="100" spans="1:2">
      <c r="A100" s="191" t="s">
        <v>343</v>
      </c>
      <c r="B100" s="194">
        <v>0.15</v>
      </c>
    </row>
    <row r="101" spans="1:2">
      <c r="A101" s="191" t="s">
        <v>344</v>
      </c>
      <c r="B101" s="194">
        <v>0.3</v>
      </c>
    </row>
    <row r="102" spans="1:2">
      <c r="A102" s="191" t="s">
        <v>475</v>
      </c>
      <c r="B102" s="194">
        <v>0.12</v>
      </c>
    </row>
    <row r="103" spans="1:2">
      <c r="A103" s="191" t="s">
        <v>500</v>
      </c>
      <c r="B103" s="194">
        <v>0.33329999999999999</v>
      </c>
    </row>
    <row r="104" spans="1:2">
      <c r="A104" s="191" t="s">
        <v>501</v>
      </c>
      <c r="B104" s="194">
        <v>0.25</v>
      </c>
    </row>
    <row r="105" spans="1:2">
      <c r="A105" s="191" t="s">
        <v>345</v>
      </c>
      <c r="B105" s="194">
        <v>0.09</v>
      </c>
    </row>
    <row r="106" spans="1:2">
      <c r="A106" s="191" t="s">
        <v>476</v>
      </c>
      <c r="B106" s="194">
        <v>0.31</v>
      </c>
    </row>
    <row r="107" spans="1:2">
      <c r="A107" s="191" t="s">
        <v>346</v>
      </c>
      <c r="B107" s="194">
        <v>0.32</v>
      </c>
    </row>
    <row r="108" spans="1:2">
      <c r="A108" s="191" t="s">
        <v>502</v>
      </c>
      <c r="B108" s="194">
        <v>0.25</v>
      </c>
    </row>
    <row r="109" spans="1:2">
      <c r="A109" s="191" t="s">
        <v>347</v>
      </c>
      <c r="B109" s="194">
        <v>0.32</v>
      </c>
    </row>
    <row r="110" spans="1:2">
      <c r="A110" s="191" t="s">
        <v>348</v>
      </c>
      <c r="B110" s="194">
        <v>0.25</v>
      </c>
    </row>
    <row r="111" spans="1:2">
      <c r="A111" s="191" t="s">
        <v>349</v>
      </c>
      <c r="B111" s="194">
        <v>0.28000000000000003</v>
      </c>
    </row>
    <row r="112" spans="1:2">
      <c r="A112" s="191" t="s">
        <v>503</v>
      </c>
      <c r="B112" s="194">
        <v>0.3</v>
      </c>
    </row>
    <row r="113" spans="1:2">
      <c r="A113" s="191" t="s">
        <v>350</v>
      </c>
      <c r="B113" s="194">
        <v>0.3</v>
      </c>
    </row>
    <row r="114" spans="1:2">
      <c r="A114" s="191" t="s">
        <v>351</v>
      </c>
      <c r="B114" s="194">
        <v>0.24</v>
      </c>
    </row>
    <row r="115" spans="1:2">
      <c r="A115" s="191" t="s">
        <v>352</v>
      </c>
      <c r="B115" s="194">
        <v>0.15</v>
      </c>
    </row>
    <row r="116" spans="1:2">
      <c r="A116" s="191" t="s">
        <v>353</v>
      </c>
      <c r="B116" s="194">
        <v>0.31</v>
      </c>
    </row>
    <row r="117" spans="1:2">
      <c r="A117" s="191" t="s">
        <v>504</v>
      </c>
      <c r="B117" s="194">
        <v>0.15</v>
      </c>
    </row>
    <row r="118" spans="1:2">
      <c r="A118" s="191" t="s">
        <v>354</v>
      </c>
      <c r="B118" s="194">
        <v>0.25</v>
      </c>
    </row>
    <row r="119" spans="1:2">
      <c r="A119" s="191" t="s">
        <v>355</v>
      </c>
      <c r="B119" s="194">
        <v>0.3</v>
      </c>
    </row>
    <row r="120" spans="1:2">
      <c r="A120" s="191" t="s">
        <v>356</v>
      </c>
      <c r="B120" s="194">
        <v>0.1</v>
      </c>
    </row>
    <row r="121" spans="1:2">
      <c r="A121" s="191" t="s">
        <v>357</v>
      </c>
      <c r="B121" s="194">
        <v>0.29499999999999998</v>
      </c>
    </row>
    <row r="122" spans="1:2">
      <c r="A122" s="191" t="s">
        <v>358</v>
      </c>
      <c r="B122" s="194">
        <v>0.3</v>
      </c>
    </row>
    <row r="123" spans="1:2">
      <c r="A123" s="191" t="s">
        <v>359</v>
      </c>
      <c r="B123" s="194">
        <v>0.19</v>
      </c>
    </row>
    <row r="124" spans="1:2">
      <c r="A124" s="191" t="s">
        <v>360</v>
      </c>
      <c r="B124" s="194">
        <v>0.21</v>
      </c>
    </row>
    <row r="125" spans="1:2">
      <c r="A125" s="191" t="s">
        <v>361</v>
      </c>
      <c r="B125" s="194">
        <v>0.1</v>
      </c>
    </row>
    <row r="126" spans="1:2">
      <c r="A126" s="191" t="s">
        <v>362</v>
      </c>
      <c r="B126" s="194">
        <v>0.16</v>
      </c>
    </row>
    <row r="127" spans="1:2">
      <c r="A127" s="191" t="s">
        <v>363</v>
      </c>
      <c r="B127" s="194">
        <v>0.2</v>
      </c>
    </row>
    <row r="128" spans="1:2">
      <c r="A128" s="191" t="s">
        <v>505</v>
      </c>
      <c r="B128" s="194">
        <v>0.3</v>
      </c>
    </row>
    <row r="129" spans="1:2">
      <c r="A129" s="191" t="s">
        <v>506</v>
      </c>
      <c r="B129" s="194">
        <v>0.33</v>
      </c>
    </row>
    <row r="130" spans="1:2">
      <c r="A130" s="191" t="s">
        <v>507</v>
      </c>
      <c r="B130" s="194">
        <v>0.3</v>
      </c>
    </row>
    <row r="131" spans="1:2">
      <c r="A131" s="191" t="s">
        <v>508</v>
      </c>
      <c r="B131" s="194">
        <v>0.32500000000000001</v>
      </c>
    </row>
    <row r="132" spans="1:2">
      <c r="A132" s="191" t="s">
        <v>364</v>
      </c>
      <c r="B132" s="194">
        <v>0.27</v>
      </c>
    </row>
    <row r="133" spans="1:2">
      <c r="A133" s="191" t="s">
        <v>365</v>
      </c>
      <c r="B133" s="194">
        <v>0.2</v>
      </c>
    </row>
    <row r="134" spans="1:2">
      <c r="A134" s="191" t="s">
        <v>509</v>
      </c>
      <c r="B134" s="194">
        <v>0.3</v>
      </c>
    </row>
    <row r="135" spans="1:2">
      <c r="A135" s="191" t="s">
        <v>366</v>
      </c>
      <c r="B135" s="194">
        <v>0.15</v>
      </c>
    </row>
    <row r="136" spans="1:2">
      <c r="A136" s="191" t="s">
        <v>477</v>
      </c>
      <c r="B136" s="194">
        <v>0.3</v>
      </c>
    </row>
    <row r="137" spans="1:2">
      <c r="A137" s="191" t="s">
        <v>367</v>
      </c>
      <c r="B137" s="194">
        <v>0.17</v>
      </c>
    </row>
    <row r="138" spans="1:2">
      <c r="A138" s="191" t="s">
        <v>478</v>
      </c>
      <c r="B138" s="194">
        <v>0.34499999999999997</v>
      </c>
    </row>
    <row r="139" spans="1:2">
      <c r="A139" s="191" t="s">
        <v>479</v>
      </c>
      <c r="B139" s="194">
        <v>0.21</v>
      </c>
    </row>
    <row r="140" spans="1:2">
      <c r="A140" s="191" t="s">
        <v>368</v>
      </c>
      <c r="B140" s="194">
        <v>0.19</v>
      </c>
    </row>
    <row r="141" spans="1:2">
      <c r="A141" s="191" t="s">
        <v>510</v>
      </c>
      <c r="B141" s="194">
        <v>0.3</v>
      </c>
    </row>
    <row r="142" spans="1:2">
      <c r="A142" s="191" t="s">
        <v>369</v>
      </c>
      <c r="B142" s="194">
        <v>0.28000000000000003</v>
      </c>
    </row>
    <row r="143" spans="1:2">
      <c r="A143" s="191" t="s">
        <v>370</v>
      </c>
      <c r="B143" s="194">
        <v>0.25</v>
      </c>
    </row>
    <row r="144" spans="1:2">
      <c r="A144" s="191" t="s">
        <v>371</v>
      </c>
      <c r="B144" s="194">
        <v>0.28000000000000003</v>
      </c>
    </row>
    <row r="145" spans="1:2">
      <c r="A145" s="191" t="s">
        <v>372</v>
      </c>
      <c r="B145" s="194">
        <v>0.34499999999999997</v>
      </c>
    </row>
    <row r="146" spans="1:2">
      <c r="A146" s="191" t="s">
        <v>373</v>
      </c>
      <c r="B146" s="194">
        <v>0.35</v>
      </c>
    </row>
    <row r="147" spans="1:2">
      <c r="A147" s="191" t="s">
        <v>480</v>
      </c>
      <c r="B147" s="194">
        <v>0.36</v>
      </c>
    </row>
    <row r="148" spans="1:2">
      <c r="A148" s="191" t="s">
        <v>511</v>
      </c>
      <c r="B148" s="194">
        <v>0.27500000000000002</v>
      </c>
    </row>
    <row r="149" spans="1:2">
      <c r="A149" s="191" t="s">
        <v>374</v>
      </c>
      <c r="B149" s="194">
        <v>0.22</v>
      </c>
    </row>
    <row r="150" spans="1:2">
      <c r="A150" s="191" t="s">
        <v>375</v>
      </c>
      <c r="B150" s="194">
        <v>0.1777</v>
      </c>
    </row>
    <row r="151" spans="1:2">
      <c r="A151" s="191" t="s">
        <v>376</v>
      </c>
      <c r="B151" s="194">
        <v>0.28000000000000003</v>
      </c>
    </row>
    <row r="152" spans="1:2">
      <c r="A152" s="191" t="s">
        <v>377</v>
      </c>
      <c r="B152" s="194">
        <v>0.17</v>
      </c>
    </row>
    <row r="153" spans="1:2">
      <c r="A153" s="191" t="s">
        <v>378</v>
      </c>
      <c r="B153" s="194">
        <v>0.3</v>
      </c>
    </row>
    <row r="154" spans="1:2">
      <c r="A154" s="191" t="s">
        <v>379</v>
      </c>
      <c r="B154" s="194">
        <v>0.2</v>
      </c>
    </row>
    <row r="155" spans="1:2">
      <c r="A155" s="191" t="s">
        <v>380</v>
      </c>
      <c r="B155" s="194">
        <v>0.25</v>
      </c>
    </row>
    <row r="156" spans="1:2">
      <c r="A156" s="191" t="s">
        <v>381</v>
      </c>
      <c r="B156" s="194">
        <v>0.25</v>
      </c>
    </row>
    <row r="157" spans="1:2">
      <c r="A157" s="191" t="s">
        <v>382</v>
      </c>
      <c r="B157" s="194">
        <v>0.2</v>
      </c>
    </row>
    <row r="158" spans="1:2">
      <c r="A158" s="191" t="s">
        <v>512</v>
      </c>
      <c r="B158" s="194">
        <v>0.2</v>
      </c>
    </row>
    <row r="159" spans="1:2">
      <c r="A159" s="191" t="s">
        <v>513</v>
      </c>
      <c r="B159" s="194">
        <v>0</v>
      </c>
    </row>
    <row r="160" spans="1:2">
      <c r="A160" s="191" t="s">
        <v>383</v>
      </c>
      <c r="B160" s="194">
        <v>0.3</v>
      </c>
    </row>
    <row r="161" spans="1:2">
      <c r="A161" s="191" t="s">
        <v>384</v>
      </c>
      <c r="B161" s="194">
        <v>0.18</v>
      </c>
    </row>
    <row r="162" spans="1:2">
      <c r="A162" s="191" t="s">
        <v>385</v>
      </c>
      <c r="B162" s="194">
        <v>0.55000000000000004</v>
      </c>
    </row>
    <row r="163" spans="1:2">
      <c r="A163" s="191" t="s">
        <v>386</v>
      </c>
      <c r="B163" s="194">
        <v>0.19</v>
      </c>
    </row>
    <row r="164" spans="1:2">
      <c r="A164" s="191" t="s">
        <v>387</v>
      </c>
      <c r="B164" s="194">
        <v>0.24</v>
      </c>
    </row>
    <row r="165" spans="1:2">
      <c r="A165" s="191" t="s">
        <v>388</v>
      </c>
      <c r="B165" s="194">
        <v>0.25</v>
      </c>
    </row>
    <row r="166" spans="1:2">
      <c r="A166" s="191" t="s">
        <v>514</v>
      </c>
      <c r="B166" s="194">
        <v>7.4999999999999997E-2</v>
      </c>
    </row>
    <row r="167" spans="1:2">
      <c r="A167" s="191" t="s">
        <v>389</v>
      </c>
      <c r="B167" s="194">
        <v>0</v>
      </c>
    </row>
    <row r="168" spans="1:2">
      <c r="A168" s="191" t="s">
        <v>390</v>
      </c>
      <c r="B168" s="194">
        <v>0.34</v>
      </c>
    </row>
    <row r="169" spans="1:2">
      <c r="A169" s="191" t="s">
        <v>391</v>
      </c>
      <c r="B169" s="194">
        <v>0.2</v>
      </c>
    </row>
    <row r="170" spans="1:2">
      <c r="A170" s="191" t="s">
        <v>392</v>
      </c>
      <c r="B170" s="194">
        <v>0.2</v>
      </c>
    </row>
    <row r="171" spans="1:2">
      <c r="A171" s="191" t="s">
        <v>393</v>
      </c>
      <c r="B171" s="194">
        <v>0.35</v>
      </c>
    </row>
    <row r="172" spans="1:2">
      <c r="A172" s="191" t="s">
        <v>394</v>
      </c>
      <c r="B172" s="194">
        <v>0.25</v>
      </c>
    </row>
    <row r="173" spans="1:2" ht="16">
      <c r="A173" s="192" t="s">
        <v>395</v>
      </c>
      <c r="B173" s="195">
        <v>0.28210000000000002</v>
      </c>
    </row>
    <row r="174" spans="1:2" ht="16">
      <c r="A174" s="192" t="s">
        <v>481</v>
      </c>
      <c r="B174" s="195">
        <v>0.25659999999999999</v>
      </c>
    </row>
    <row r="175" spans="1:2" ht="16">
      <c r="A175" s="192" t="s">
        <v>397</v>
      </c>
      <c r="B175" s="195">
        <v>0.21280000000000002</v>
      </c>
    </row>
    <row r="176" spans="1:2" ht="16">
      <c r="A176" s="192" t="s">
        <v>401</v>
      </c>
      <c r="B176" s="195">
        <v>0.21510000000000001</v>
      </c>
    </row>
    <row r="177" spans="1:2" ht="16">
      <c r="A177" s="192" t="s">
        <v>398</v>
      </c>
      <c r="B177" s="195">
        <v>0.19539999999999999</v>
      </c>
    </row>
    <row r="178" spans="1:2" ht="16">
      <c r="A178" s="192" t="s">
        <v>403</v>
      </c>
      <c r="B178" s="195">
        <v>0.24249999999999999</v>
      </c>
    </row>
    <row r="179" spans="1:2" ht="16">
      <c r="A179" s="192" t="s">
        <v>399</v>
      </c>
      <c r="B179" s="195">
        <v>0.27979999999999999</v>
      </c>
    </row>
    <row r="180" spans="1:2" ht="16">
      <c r="A180" s="192" t="s">
        <v>396</v>
      </c>
      <c r="B180" s="195">
        <v>0.23749999999999999</v>
      </c>
    </row>
    <row r="181" spans="1:2" ht="16">
      <c r="A181" s="192" t="s">
        <v>400</v>
      </c>
      <c r="B181" s="195">
        <v>0.28670000000000001</v>
      </c>
    </row>
    <row r="182" spans="1:2" ht="16">
      <c r="A182" s="192" t="s">
        <v>402</v>
      </c>
      <c r="B182" s="195">
        <v>0.2407</v>
      </c>
    </row>
    <row r="183" spans="1:2" ht="16">
      <c r="A183" s="192" t="s">
        <v>515</v>
      </c>
      <c r="B183" s="195">
        <v>0.27979999999999999</v>
      </c>
    </row>
  </sheetData>
  <pageMargins left="0.75" right="0.75" top="1" bottom="1" header="0.5" footer="0.5"/>
  <pageSetup orientation="portrait" horizontalDpi="4294967292" verticalDpi="4294967292"/>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8"/>
  <sheetViews>
    <sheetView zoomScaleNormal="100" workbookViewId="0">
      <selection activeCell="E8" sqref="E8"/>
    </sheetView>
  </sheetViews>
  <sheetFormatPr baseColWidth="10" defaultRowHeight="14"/>
  <sheetData>
    <row r="1" spans="1:11" s="57" customFormat="1" ht="19">
      <c r="A1" s="93" t="s">
        <v>25</v>
      </c>
      <c r="B1" s="93"/>
      <c r="C1" s="93"/>
      <c r="D1" s="93"/>
      <c r="E1" s="93"/>
      <c r="F1" s="93"/>
      <c r="G1" s="93"/>
      <c r="H1" s="93"/>
      <c r="I1" s="93"/>
      <c r="J1" s="93"/>
      <c r="K1" s="93"/>
    </row>
    <row r="2" spans="1:11" s="1" customFormat="1" ht="16">
      <c r="A2" s="94" t="s">
        <v>26</v>
      </c>
      <c r="B2" s="95"/>
      <c r="C2" s="95"/>
      <c r="D2" s="95"/>
      <c r="E2" s="95"/>
      <c r="F2" s="95"/>
      <c r="G2" s="95"/>
      <c r="H2" s="95"/>
      <c r="I2" s="95"/>
      <c r="J2" s="96"/>
      <c r="K2" s="97"/>
    </row>
    <row r="3" spans="1:11" s="1" customFormat="1" ht="16">
      <c r="A3" s="98" t="s">
        <v>27</v>
      </c>
      <c r="B3" s="99"/>
      <c r="C3" s="99"/>
      <c r="D3" s="99"/>
      <c r="E3" s="99"/>
      <c r="F3" s="99"/>
      <c r="G3" s="99"/>
      <c r="H3" s="99"/>
      <c r="I3" s="99"/>
      <c r="J3" s="100"/>
      <c r="K3" s="97"/>
    </row>
    <row r="4" spans="1:11" s="104" customFormat="1" ht="16">
      <c r="A4" s="101" t="s">
        <v>28</v>
      </c>
      <c r="B4" s="102"/>
      <c r="C4" s="102"/>
      <c r="D4" s="102"/>
      <c r="E4" s="102"/>
      <c r="F4" s="102"/>
      <c r="G4" s="102"/>
      <c r="H4" s="102"/>
      <c r="I4" s="102"/>
      <c r="J4" s="103"/>
    </row>
    <row r="5" spans="1:11" s="57" customFormat="1" ht="19">
      <c r="A5" s="93"/>
      <c r="B5" s="93"/>
      <c r="C5" s="93"/>
      <c r="D5" s="93"/>
      <c r="E5" s="93"/>
      <c r="F5" s="93"/>
      <c r="G5" s="93"/>
      <c r="H5" s="93"/>
      <c r="I5" s="93"/>
      <c r="J5" s="93"/>
      <c r="K5" s="93"/>
    </row>
    <row r="6" spans="1:11" s="2" customFormat="1">
      <c r="A6" s="2" t="s">
        <v>166</v>
      </c>
    </row>
    <row r="7" spans="1:11" s="3" customFormat="1">
      <c r="A7" s="3" t="s">
        <v>29</v>
      </c>
      <c r="E7" s="105">
        <v>269</v>
      </c>
    </row>
    <row r="8" spans="1:11" s="5" customFormat="1">
      <c r="A8" s="5" t="s">
        <v>30</v>
      </c>
    </row>
    <row r="9" spans="1:11" s="3" customFormat="1">
      <c r="A9" s="7" t="s">
        <v>31</v>
      </c>
      <c r="B9" s="7" t="s">
        <v>32</v>
      </c>
      <c r="C9" s="3" t="s">
        <v>33</v>
      </c>
    </row>
    <row r="10" spans="1:11" s="3" customFormat="1">
      <c r="A10" s="7">
        <v>1</v>
      </c>
      <c r="B10" s="106">
        <v>277</v>
      </c>
      <c r="D10"/>
    </row>
    <row r="11" spans="1:11" s="3" customFormat="1">
      <c r="A11" s="7">
        <v>2</v>
      </c>
      <c r="B11" s="106">
        <v>284</v>
      </c>
      <c r="D11"/>
    </row>
    <row r="12" spans="1:11" s="3" customFormat="1">
      <c r="A12" s="7">
        <v>3</v>
      </c>
      <c r="B12" s="106">
        <v>272</v>
      </c>
      <c r="D12"/>
    </row>
    <row r="13" spans="1:11" s="3" customFormat="1">
      <c r="A13" s="7">
        <v>4</v>
      </c>
      <c r="B13" s="106">
        <v>256</v>
      </c>
      <c r="D13"/>
    </row>
    <row r="14" spans="1:11" s="3" customFormat="1">
      <c r="A14" s="7">
        <v>5</v>
      </c>
      <c r="B14" s="106">
        <v>220</v>
      </c>
      <c r="D14"/>
    </row>
    <row r="15" spans="1:11" s="3" customFormat="1">
      <c r="A15" s="7" t="s">
        <v>34</v>
      </c>
      <c r="B15" s="106">
        <v>1131</v>
      </c>
    </row>
    <row r="16" spans="1:11" s="3" customFormat="1" ht="15" thickBot="1"/>
    <row r="17" spans="1:5" s="3" customFormat="1" ht="15" thickBot="1">
      <c r="A17" s="3" t="s">
        <v>35</v>
      </c>
      <c r="C17" s="107">
        <f ca="1">IF(Inputs!B43="Yes",'Default Spreads and Ratios'!D10,Inputs!B16)</f>
        <v>3.0899999999999997E-2</v>
      </c>
      <c r="D17" s="3" t="s">
        <v>36</v>
      </c>
    </row>
    <row r="18" spans="1:5" s="3" customFormat="1"/>
    <row r="19" spans="1:5" s="5" customFormat="1">
      <c r="A19" s="5" t="s">
        <v>0</v>
      </c>
    </row>
    <row r="20" spans="1:5" s="3" customFormat="1">
      <c r="A20" s="3" t="s">
        <v>1</v>
      </c>
      <c r="D20" s="147">
        <f>Inputs!B10-Inputs!B11</f>
        <v>17484</v>
      </c>
      <c r="E20" s="3" t="s">
        <v>2</v>
      </c>
    </row>
    <row r="21" spans="1:5" s="3" customFormat="1">
      <c r="A21" s="3" t="s">
        <v>3</v>
      </c>
      <c r="D21" s="147">
        <f>Inputs!B13</f>
        <v>10</v>
      </c>
    </row>
    <row r="22" spans="1:5" s="2" customFormat="1">
      <c r="A22" s="2" t="s">
        <v>65</v>
      </c>
      <c r="D22" s="108"/>
    </row>
    <row r="23" spans="1:5" s="3" customFormat="1">
      <c r="A23" s="3" t="s">
        <v>4</v>
      </c>
      <c r="D23" s="109">
        <f>ROUND(B15/AVERAGE(B10:B14),0)</f>
        <v>4</v>
      </c>
      <c r="E23" s="3" t="s">
        <v>5</v>
      </c>
    </row>
    <row r="24" spans="1:5" s="2" customFormat="1">
      <c r="E24" s="3" t="s">
        <v>45</v>
      </c>
    </row>
    <row r="25" spans="1:5" s="5" customFormat="1">
      <c r="A25" s="5" t="s">
        <v>46</v>
      </c>
    </row>
    <row r="26" spans="1:5" s="3" customFormat="1">
      <c r="A26" s="7" t="s">
        <v>31</v>
      </c>
      <c r="B26" s="7" t="s">
        <v>32</v>
      </c>
      <c r="C26" s="7" t="s">
        <v>47</v>
      </c>
    </row>
    <row r="27" spans="1:5" s="3" customFormat="1">
      <c r="A27" s="56">
        <f>A10</f>
        <v>1</v>
      </c>
      <c r="B27" s="110">
        <f>B10</f>
        <v>277</v>
      </c>
      <c r="C27" s="111">
        <f ca="1">B27/(1+$C$17)^A27</f>
        <v>268.69725482588029</v>
      </c>
    </row>
    <row r="28" spans="1:5" s="3" customFormat="1">
      <c r="A28" s="56">
        <f t="shared" ref="A28:B31" si="0">A11</f>
        <v>2</v>
      </c>
      <c r="B28" s="110">
        <f t="shared" si="0"/>
        <v>284</v>
      </c>
      <c r="C28" s="111">
        <f ca="1">B28/(1+$C$17)^A28</f>
        <v>267.23003022682155</v>
      </c>
    </row>
    <row r="29" spans="1:5" s="3" customFormat="1">
      <c r="A29" s="56">
        <f t="shared" si="0"/>
        <v>3</v>
      </c>
      <c r="B29" s="110">
        <f t="shared" si="0"/>
        <v>272</v>
      </c>
      <c r="C29" s="111">
        <f ca="1">B29/(1+$C$17)^A29</f>
        <v>248.26716509741752</v>
      </c>
    </row>
    <row r="30" spans="1:5" s="3" customFormat="1">
      <c r="A30" s="56">
        <f t="shared" si="0"/>
        <v>4</v>
      </c>
      <c r="B30" s="110">
        <f t="shared" si="0"/>
        <v>256</v>
      </c>
      <c r="C30" s="111">
        <f ca="1">B30/(1+$C$17)^A30</f>
        <v>226.65943758786898</v>
      </c>
    </row>
    <row r="31" spans="1:5" s="3" customFormat="1">
      <c r="A31" s="56">
        <f t="shared" si="0"/>
        <v>5</v>
      </c>
      <c r="B31" s="110">
        <f t="shared" si="0"/>
        <v>220</v>
      </c>
      <c r="C31" s="111">
        <f ca="1">B31/(1+$C$17)^A31</f>
        <v>188.94699212054991</v>
      </c>
    </row>
    <row r="32" spans="1:5" s="3" customFormat="1" ht="15" thickBot="1">
      <c r="A32" s="66" t="str">
        <f>A15</f>
        <v>6 and beyond</v>
      </c>
      <c r="B32" s="112">
        <f>IF(B15&gt;0,IF(D23&gt;0,B15/D23,B15),0)</f>
        <v>282.75</v>
      </c>
      <c r="C32" s="113">
        <f ca="1">IF(D23&gt;0,(B32*(1-(1+C17)^(-D23))/C17)/(1+$C$17)^5,B15/(1+C17)^6)</f>
        <v>900.72020519721252</v>
      </c>
      <c r="D32" s="3" t="s">
        <v>48</v>
      </c>
    </row>
    <row r="33" spans="1:6" s="3" customFormat="1" ht="15" thickBot="1">
      <c r="A33" s="114" t="s">
        <v>49</v>
      </c>
      <c r="B33" s="114"/>
      <c r="C33" s="115">
        <f ca="1">SUM(C27:C32)</f>
        <v>2100.521085055751</v>
      </c>
    </row>
    <row r="34" spans="1:6" s="3" customFormat="1"/>
    <row r="35" spans="1:6" s="3" customFormat="1" ht="15" thickBot="1">
      <c r="A35" s="5" t="s">
        <v>50</v>
      </c>
    </row>
    <row r="36" spans="1:6" s="3" customFormat="1" ht="15" thickBot="1">
      <c r="A36" s="3" t="s">
        <v>51</v>
      </c>
      <c r="F36" s="115">
        <f ca="1">D20+E7-C33/(5+D23)</f>
        <v>17519.60876832714</v>
      </c>
    </row>
    <row r="37" spans="1:6" s="3" customFormat="1" ht="15" thickBot="1">
      <c r="A37" s="3" t="s">
        <v>12</v>
      </c>
      <c r="F37" s="116">
        <f ca="1">D21+C33*C17</f>
        <v>74.906101528222692</v>
      </c>
    </row>
    <row r="38" spans="1:6">
      <c r="A38" s="156" t="s">
        <v>435</v>
      </c>
      <c r="F38" s="157">
        <f ca="1">Inputs!B11+'Operating leases'!C33/(5+'Operating leases'!D23)</f>
        <v>2314.3912316728611</v>
      </c>
    </row>
  </sheetData>
  <phoneticPr fontId="17"/>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8"/>
  <sheetViews>
    <sheetView workbookViewId="0">
      <selection activeCell="D26" sqref="D26"/>
    </sheetView>
  </sheetViews>
  <sheetFormatPr baseColWidth="10" defaultRowHeight="14"/>
  <sheetData>
    <row r="1" spans="1:11" ht="20" thickBot="1">
      <c r="A1" s="57" t="s">
        <v>192</v>
      </c>
    </row>
    <row r="2" spans="1:11" s="58" customFormat="1" ht="15" thickBot="1">
      <c r="A2" s="3" t="s">
        <v>62</v>
      </c>
      <c r="B2" s="3"/>
      <c r="C2" s="146">
        <f>Inputs!B41</f>
        <v>1</v>
      </c>
      <c r="D2" s="3" t="s">
        <v>68</v>
      </c>
      <c r="E2" s="3"/>
      <c r="F2" s="3"/>
      <c r="G2" s="3"/>
      <c r="H2" s="3"/>
      <c r="I2" s="3"/>
      <c r="J2" s="3"/>
    </row>
    <row r="3" spans="1:11" s="58" customFormat="1" ht="15" thickBot="1">
      <c r="A3" s="3" t="s">
        <v>142</v>
      </c>
      <c r="B3" s="3"/>
      <c r="C3" s="3"/>
      <c r="D3" s="3"/>
      <c r="E3" s="15"/>
      <c r="F3" s="144">
        <f ca="1">IF(Inputs!B27="Yes",'Operating leases'!F36,Inputs!B10-Inputs!B11)</f>
        <v>17519.60876832714</v>
      </c>
      <c r="G3" s="3" t="s">
        <v>63</v>
      </c>
      <c r="H3" s="3"/>
      <c r="I3" s="3"/>
      <c r="J3" s="3"/>
    </row>
    <row r="4" spans="1:11" s="58" customFormat="1" ht="15" thickBot="1">
      <c r="A4" s="3" t="s">
        <v>143</v>
      </c>
      <c r="B4" s="3"/>
      <c r="C4" s="3"/>
      <c r="D4" s="3"/>
      <c r="E4" s="3"/>
      <c r="F4" s="144">
        <f ca="1">IF(Inputs!B27="Yes",Inputs!B13+'Operating leases'!$C$33*'Operating leases'!$C$17,Inputs!B13)</f>
        <v>74.906101528222692</v>
      </c>
      <c r="G4" s="3" t="s">
        <v>64</v>
      </c>
      <c r="H4" s="3"/>
      <c r="I4" s="3"/>
      <c r="J4" s="3"/>
    </row>
    <row r="5" spans="1:11" s="58" customFormat="1" ht="15" thickBot="1">
      <c r="A5" s="3" t="s">
        <v>144</v>
      </c>
      <c r="B5" s="3"/>
      <c r="C5" s="3"/>
      <c r="D5" s="3"/>
      <c r="E5" s="3"/>
      <c r="F5" s="145">
        <f>Inputs!B36</f>
        <v>2.5499999999999998E-2</v>
      </c>
      <c r="G5" s="3"/>
      <c r="H5" s="3"/>
      <c r="I5" s="3"/>
      <c r="J5" s="3"/>
    </row>
    <row r="6" spans="1:11" s="58" customFormat="1" ht="15" thickBot="1">
      <c r="A6" s="2" t="s">
        <v>65</v>
      </c>
      <c r="B6" s="3"/>
      <c r="C6" s="3"/>
      <c r="D6" s="3"/>
      <c r="E6" s="3"/>
      <c r="F6" s="15"/>
      <c r="G6" s="3"/>
      <c r="H6" s="3"/>
      <c r="I6" s="3"/>
      <c r="J6" s="3"/>
    </row>
    <row r="7" spans="1:11" s="58" customFormat="1" ht="15" thickBot="1">
      <c r="A7" s="3" t="s">
        <v>66</v>
      </c>
      <c r="B7" s="3"/>
      <c r="C7" s="3"/>
      <c r="D7" s="59">
        <f ca="1">IF(F4&gt;0,F3/F4,10000000)</f>
        <v>233.88760609476122</v>
      </c>
      <c r="E7" s="3"/>
      <c r="F7" s="15"/>
      <c r="G7" s="3"/>
      <c r="H7" s="3"/>
      <c r="I7" s="3"/>
      <c r="J7" s="3"/>
    </row>
    <row r="8" spans="1:11" s="58" customFormat="1" ht="15" thickBot="1">
      <c r="A8" s="3" t="s">
        <v>67</v>
      </c>
      <c r="D8" s="60" t="str">
        <f ca="1">IF(C2=1,VLOOKUP(D7,A15:D29,3),(IF(C2=2,VLOOKUP(D7,A34:D48,3),VLOOKUP(D7,#REF!,3))))</f>
        <v>Aaa/AAA</v>
      </c>
    </row>
    <row r="9" spans="1:11" s="58" customFormat="1" ht="15" thickBot="1">
      <c r="A9" s="3" t="s">
        <v>145</v>
      </c>
      <c r="D9" s="61">
        <f ca="1">IF(C2=1,VLOOKUP(D7,A15:D29,4),(IF(C2=2,VLOOKUP(D7,A34:D48,4),VLOOKUP(D7,#REF!,4))))+Inputs!B38</f>
        <v>5.3999999999999986E-3</v>
      </c>
    </row>
    <row r="10" spans="1:11" s="3" customFormat="1" ht="15" thickBot="1">
      <c r="A10" s="3" t="s">
        <v>146</v>
      </c>
      <c r="D10" s="62">
        <f ca="1">F5+D9</f>
        <v>3.0899999999999997E-2</v>
      </c>
    </row>
    <row r="11" spans="1:11" s="3" customFormat="1">
      <c r="D11" s="30"/>
    </row>
    <row r="12" spans="1:11" s="58" customFormat="1">
      <c r="A12" s="2" t="s">
        <v>238</v>
      </c>
      <c r="B12" s="2"/>
      <c r="C12" s="2"/>
      <c r="D12"/>
      <c r="H12"/>
      <c r="I12"/>
      <c r="J12"/>
      <c r="K12"/>
    </row>
    <row r="13" spans="1:11" s="58" customFormat="1">
      <c r="A13" s="63" t="s">
        <v>13</v>
      </c>
      <c r="B13" s="117"/>
      <c r="C13" s="118"/>
      <c r="D13" s="118"/>
      <c r="E13" s="3"/>
      <c r="H13"/>
      <c r="I13"/>
      <c r="J13"/>
      <c r="K13"/>
    </row>
    <row r="14" spans="1:11" s="58" customFormat="1">
      <c r="A14" s="83" t="s">
        <v>14</v>
      </c>
      <c r="B14" s="119" t="s">
        <v>44</v>
      </c>
      <c r="C14" s="119" t="s">
        <v>61</v>
      </c>
      <c r="D14" s="119" t="s">
        <v>196</v>
      </c>
      <c r="E14" s="64" t="s">
        <v>234</v>
      </c>
      <c r="H14"/>
      <c r="I14"/>
      <c r="J14"/>
      <c r="K14"/>
    </row>
    <row r="15" spans="1:11" s="58" customFormat="1">
      <c r="A15" s="52">
        <v>-100000</v>
      </c>
      <c r="B15" s="120">
        <v>0.19999900000000001</v>
      </c>
      <c r="C15" s="133" t="s">
        <v>264</v>
      </c>
      <c r="D15" s="188">
        <v>0.18602500000000002</v>
      </c>
      <c r="E15" s="54">
        <f>IF(Inputs!$B$33="No",0,IF(Inputs!$B$34="High",'Input choices page'!D20,IF(Inputs!$B$34="Medium",'Input choices page'!C20,'Input choices page'!B20)))</f>
        <v>0</v>
      </c>
      <c r="H15"/>
      <c r="I15"/>
      <c r="J15"/>
      <c r="K15"/>
    </row>
    <row r="16" spans="1:11" s="58" customFormat="1">
      <c r="A16" s="52">
        <v>0.2</v>
      </c>
      <c r="B16" s="120">
        <v>0.64999899999999999</v>
      </c>
      <c r="C16" s="133" t="s">
        <v>263</v>
      </c>
      <c r="D16" s="188">
        <v>0.13951875</v>
      </c>
      <c r="E16" s="54">
        <f>IF(Inputs!$B$33="No",0,IF(Inputs!$B$34="High",'Input choices page'!D21,IF(Inputs!$B$34="Medium",'Input choices page'!C21,'Input choices page'!B21)))</f>
        <v>0</v>
      </c>
      <c r="H16"/>
      <c r="I16"/>
      <c r="J16"/>
      <c r="K16"/>
    </row>
    <row r="17" spans="1:11" s="58" customFormat="1">
      <c r="A17" s="52">
        <v>0.65</v>
      </c>
      <c r="B17" s="120">
        <v>0.79999900000000002</v>
      </c>
      <c r="C17" s="133" t="s">
        <v>262</v>
      </c>
      <c r="D17" s="188">
        <v>0.10630000000000001</v>
      </c>
      <c r="E17" s="54">
        <f>IF(Inputs!$B$33="No",0,IF(Inputs!$B$34="High",'Input choices page'!D22,IF(Inputs!$B$34="Medium",'Input choices page'!C22,'Input choices page'!B22)))</f>
        <v>0</v>
      </c>
      <c r="H17"/>
      <c r="I17"/>
      <c r="J17"/>
      <c r="K17"/>
    </row>
    <row r="18" spans="1:11" s="58" customFormat="1">
      <c r="A18" s="52">
        <v>0.8</v>
      </c>
      <c r="B18" s="120">
        <v>1.2499990000000001</v>
      </c>
      <c r="C18" s="133" t="s">
        <v>261</v>
      </c>
      <c r="D18" s="188">
        <v>8.6368750000000008E-2</v>
      </c>
      <c r="E18" s="54">
        <f>IF(Inputs!$B$33="No",0,IF(Inputs!$B$34="High",'Input choices page'!D23,IF(Inputs!$B$34="Medium",'Input choices page'!C23,'Input choices page'!B23)))</f>
        <v>0</v>
      </c>
      <c r="H18"/>
      <c r="I18"/>
      <c r="J18"/>
      <c r="K18"/>
    </row>
    <row r="19" spans="1:11" s="58" customFormat="1">
      <c r="A19" s="52">
        <v>1.25</v>
      </c>
      <c r="B19" s="120">
        <v>1.4999990000000001</v>
      </c>
      <c r="C19" s="133" t="s">
        <v>260</v>
      </c>
      <c r="D19" s="188">
        <v>4.3656250000000001E-2</v>
      </c>
      <c r="E19" s="54">
        <f>IF(Inputs!$B$33="No",0,IF(Inputs!$B$34="High",'Input choices page'!D24,IF(Inputs!$B$34="Medium",'Input choices page'!C24,'Input choices page'!B24)))</f>
        <v>0</v>
      </c>
      <c r="H19"/>
      <c r="I19"/>
      <c r="J19"/>
      <c r="K19"/>
    </row>
    <row r="20" spans="1:11" s="58" customFormat="1">
      <c r="A20" s="52">
        <v>1.5</v>
      </c>
      <c r="B20" s="120">
        <v>1.7499990000000001</v>
      </c>
      <c r="C20" s="133" t="s">
        <v>259</v>
      </c>
      <c r="D20" s="188">
        <v>3.5718749999999994E-2</v>
      </c>
      <c r="E20" s="54">
        <f>IF(Inputs!$B$33="No",0,IF(Inputs!$B$34="High",'Input choices page'!D25,IF(Inputs!$B$34="Medium",'Input choices page'!C25,'Input choices page'!B25)))</f>
        <v>0</v>
      </c>
      <c r="G20" s="153"/>
      <c r="H20"/>
      <c r="I20"/>
      <c r="J20"/>
      <c r="K20"/>
    </row>
    <row r="21" spans="1:11" s="58" customFormat="1">
      <c r="A21" s="52">
        <v>1.75</v>
      </c>
      <c r="B21" s="120">
        <v>1.9999990000000001</v>
      </c>
      <c r="C21" s="133" t="s">
        <v>258</v>
      </c>
      <c r="D21" s="188">
        <v>2.9765624999999997E-2</v>
      </c>
      <c r="E21" s="54">
        <f>IF(Inputs!$B$33="No",0,IF(Inputs!$B$34="High",'Input choices page'!D26,IF(Inputs!$B$34="Medium",'Input choices page'!C26,'Input choices page'!B26)))</f>
        <v>0</v>
      </c>
      <c r="H21"/>
      <c r="I21"/>
      <c r="J21"/>
      <c r="K21"/>
    </row>
    <row r="22" spans="1:11" s="58" customFormat="1">
      <c r="A22" s="52">
        <v>2</v>
      </c>
      <c r="B22" s="120">
        <v>2.2499999000000002</v>
      </c>
      <c r="C22" s="133" t="s">
        <v>257</v>
      </c>
      <c r="D22" s="188">
        <v>2.3812499999999997E-2</v>
      </c>
      <c r="E22" s="54">
        <f>IF(Inputs!$B$33="No",0,IF(Inputs!$B$34="High",'Input choices page'!D27,IF(Inputs!$B$34="Medium",'Input choices page'!C27,'Input choices page'!B27)))</f>
        <v>0</v>
      </c>
      <c r="G22" s="153"/>
      <c r="H22"/>
      <c r="I22"/>
      <c r="J22"/>
      <c r="K22"/>
    </row>
    <row r="23" spans="1:11" s="58" customFormat="1">
      <c r="A23" s="52">
        <v>2.25</v>
      </c>
      <c r="B23" s="120">
        <v>2.4999899999999999</v>
      </c>
      <c r="C23" s="133" t="s">
        <v>256</v>
      </c>
      <c r="D23" s="188">
        <v>1.984375E-2</v>
      </c>
      <c r="E23" s="54">
        <f>IF(Inputs!$B$33="No",0,IF(Inputs!$B$34="High",'Input choices page'!D28,IF(Inputs!$B$34="Medium",'Input choices page'!C28,'Input choices page'!B28)))</f>
        <v>0</v>
      </c>
      <c r="G23" s="153"/>
      <c r="H23"/>
      <c r="I23"/>
      <c r="J23"/>
      <c r="K23"/>
    </row>
    <row r="24" spans="1:11" s="58" customFormat="1">
      <c r="A24" s="52">
        <v>2.5</v>
      </c>
      <c r="B24" s="120">
        <v>2.9999989999999999</v>
      </c>
      <c r="C24" s="133" t="s">
        <v>255</v>
      </c>
      <c r="D24" s="188">
        <v>1.2699999999999999E-2</v>
      </c>
      <c r="E24" s="54">
        <f>IF(Inputs!$B$33="No",0,IF(Inputs!$B$34="High",'Input choices page'!D29,IF(Inputs!$B$34="Medium",'Input choices page'!C29,'Input choices page'!B29)))</f>
        <v>0</v>
      </c>
      <c r="H24"/>
      <c r="I24"/>
      <c r="J24"/>
      <c r="K24"/>
    </row>
    <row r="25" spans="1:11" s="58" customFormat="1">
      <c r="A25" s="52">
        <v>3</v>
      </c>
      <c r="B25" s="120">
        <v>4.2499989999999999</v>
      </c>
      <c r="C25" s="133" t="s">
        <v>254</v>
      </c>
      <c r="D25" s="189">
        <v>1.1249999999999996E-2</v>
      </c>
      <c r="E25" s="54">
        <f>IF(Inputs!$B$33="No",0,IF(Inputs!$B$34="High",'Input choices page'!D30,IF(Inputs!$B$34="Medium",'Input choices page'!C30,'Input choices page'!B30)))</f>
        <v>0</v>
      </c>
      <c r="H25"/>
      <c r="I25"/>
      <c r="J25"/>
      <c r="K25"/>
    </row>
    <row r="26" spans="1:11" s="58" customFormat="1">
      <c r="A26" s="52">
        <v>4.25</v>
      </c>
      <c r="B26" s="120">
        <v>5.4999989999999999</v>
      </c>
      <c r="C26" s="133" t="s">
        <v>253</v>
      </c>
      <c r="D26" s="189">
        <v>9.8999999999999956E-3</v>
      </c>
      <c r="E26" s="54">
        <f>IF(Inputs!$B$33="No",0,IF(Inputs!$B$34="High",'Input choices page'!D31,IF(Inputs!$B$34="Medium",'Input choices page'!C31,'Input choices page'!B31)))</f>
        <v>0</v>
      </c>
      <c r="H26"/>
      <c r="I26"/>
      <c r="J26"/>
      <c r="K26"/>
    </row>
    <row r="27" spans="1:11" s="58" customFormat="1">
      <c r="A27" s="52">
        <v>5.5</v>
      </c>
      <c r="B27" s="120">
        <v>6.4999989999999999</v>
      </c>
      <c r="C27" s="133" t="s">
        <v>428</v>
      </c>
      <c r="D27" s="189">
        <v>8.9999999999999976E-3</v>
      </c>
      <c r="E27" s="54">
        <f>IF(Inputs!$B$33="No",0,IF(Inputs!$B$34="High",'Input choices page'!D32,IF(Inputs!$B$34="Medium",'Input choices page'!C32,'Input choices page'!B32)))</f>
        <v>0</v>
      </c>
      <c r="H27"/>
      <c r="I27"/>
      <c r="J27"/>
      <c r="K27"/>
    </row>
    <row r="28" spans="1:11" s="58" customFormat="1">
      <c r="A28" s="52">
        <v>6.5</v>
      </c>
      <c r="B28" s="120">
        <v>8.4999990000000007</v>
      </c>
      <c r="C28" s="133" t="s">
        <v>252</v>
      </c>
      <c r="D28" s="189">
        <v>7.1999999999999981E-3</v>
      </c>
      <c r="E28" s="54">
        <f>IF(Inputs!$B$33="No",0,IF(Inputs!$B$34="High",'Input choices page'!D33,IF(Inputs!$B$34="Medium",'Input choices page'!C33,'Input choices page'!B33)))</f>
        <v>0</v>
      </c>
      <c r="H28"/>
      <c r="I28"/>
      <c r="J28"/>
      <c r="K28"/>
    </row>
    <row r="29" spans="1:11" s="58" customFormat="1">
      <c r="A29" s="121">
        <v>8.5</v>
      </c>
      <c r="B29" s="120">
        <v>100000</v>
      </c>
      <c r="C29" s="133" t="s">
        <v>251</v>
      </c>
      <c r="D29" s="189">
        <v>5.3999999999999986E-3</v>
      </c>
      <c r="E29" s="54">
        <f>IF(Inputs!$B$33="No",0,IF(Inputs!$B$34="High",'Input choices page'!D34,IF(Inputs!$B$34="Medium",'Input choices page'!C34,'Input choices page'!B34)))</f>
        <v>0</v>
      </c>
      <c r="H29"/>
      <c r="I29"/>
      <c r="J29"/>
      <c r="K29"/>
    </row>
    <row r="30" spans="1:11" s="58" customFormat="1">
      <c r="H30"/>
      <c r="I30"/>
      <c r="J30"/>
      <c r="K30"/>
    </row>
    <row r="31" spans="1:11" s="58" customFormat="1">
      <c r="A31" s="2" t="s">
        <v>239</v>
      </c>
      <c r="B31" s="2"/>
      <c r="C31"/>
      <c r="D31"/>
      <c r="H31"/>
      <c r="I31"/>
      <c r="J31"/>
      <c r="K31"/>
    </row>
    <row r="32" spans="1:11" s="58" customFormat="1">
      <c r="A32" s="63" t="s">
        <v>13</v>
      </c>
      <c r="B32" s="122"/>
      <c r="C32" s="123"/>
      <c r="D32" s="123"/>
      <c r="H32"/>
      <c r="I32"/>
      <c r="J32"/>
      <c r="K32"/>
    </row>
    <row r="33" spans="1:11" s="58" customFormat="1">
      <c r="A33" s="52" t="s">
        <v>43</v>
      </c>
      <c r="B33" s="120" t="s">
        <v>44</v>
      </c>
      <c r="C33" s="120" t="s">
        <v>61</v>
      </c>
      <c r="D33" s="120" t="s">
        <v>196</v>
      </c>
      <c r="E33" s="64" t="s">
        <v>234</v>
      </c>
      <c r="H33"/>
      <c r="I33"/>
      <c r="J33"/>
      <c r="K33"/>
    </row>
    <row r="34" spans="1:11" s="58" customFormat="1">
      <c r="A34" s="52">
        <v>-100000</v>
      </c>
      <c r="B34" s="120">
        <v>0.49999900000000003</v>
      </c>
      <c r="C34" s="133" t="s">
        <v>264</v>
      </c>
      <c r="D34" s="188">
        <v>0.18602500000000002</v>
      </c>
      <c r="E34" s="54">
        <f>E15</f>
        <v>0</v>
      </c>
      <c r="H34"/>
      <c r="I34"/>
      <c r="J34"/>
      <c r="K34"/>
    </row>
    <row r="35" spans="1:11" s="58" customFormat="1">
      <c r="A35" s="52">
        <v>0.5</v>
      </c>
      <c r="B35" s="120">
        <v>0.79999900000000002</v>
      </c>
      <c r="C35" s="133" t="s">
        <v>263</v>
      </c>
      <c r="D35" s="188">
        <v>0.13951875</v>
      </c>
      <c r="E35" s="54">
        <f t="shared" ref="E35:E48" si="0">E16</f>
        <v>0</v>
      </c>
      <c r="H35"/>
      <c r="I35"/>
      <c r="J35"/>
      <c r="K35"/>
    </row>
    <row r="36" spans="1:11" s="58" customFormat="1">
      <c r="A36" s="52">
        <v>0.8</v>
      </c>
      <c r="B36" s="120">
        <v>1.2499990000000001</v>
      </c>
      <c r="C36" s="133" t="s">
        <v>262</v>
      </c>
      <c r="D36" s="188">
        <v>0.10630000000000001</v>
      </c>
      <c r="E36" s="54">
        <f t="shared" si="0"/>
        <v>0</v>
      </c>
      <c r="H36"/>
      <c r="I36"/>
      <c r="J36"/>
      <c r="K36"/>
    </row>
    <row r="37" spans="1:11" s="58" customFormat="1">
      <c r="A37" s="52">
        <v>1.25</v>
      </c>
      <c r="B37" s="120">
        <v>1.4999990000000001</v>
      </c>
      <c r="C37" s="133" t="s">
        <v>261</v>
      </c>
      <c r="D37" s="188">
        <v>8.6368750000000008E-2</v>
      </c>
      <c r="E37" s="54">
        <f t="shared" si="0"/>
        <v>0</v>
      </c>
      <c r="H37"/>
      <c r="I37"/>
      <c r="J37"/>
      <c r="K37"/>
    </row>
    <row r="38" spans="1:11" s="58" customFormat="1">
      <c r="A38" s="52">
        <v>1.5</v>
      </c>
      <c r="B38" s="120">
        <v>1.9999990000000001</v>
      </c>
      <c r="C38" s="133" t="s">
        <v>260</v>
      </c>
      <c r="D38" s="188">
        <v>4.3656250000000001E-2</v>
      </c>
      <c r="E38" s="54">
        <f t="shared" si="0"/>
        <v>0</v>
      </c>
      <c r="H38"/>
      <c r="I38"/>
      <c r="J38"/>
      <c r="K38"/>
    </row>
    <row r="39" spans="1:11" s="58" customFormat="1">
      <c r="A39" s="52">
        <v>2</v>
      </c>
      <c r="B39" s="120">
        <v>2.4999989999999999</v>
      </c>
      <c r="C39" s="133" t="s">
        <v>259</v>
      </c>
      <c r="D39" s="188">
        <v>3.5718749999999994E-2</v>
      </c>
      <c r="E39" s="54">
        <f t="shared" si="0"/>
        <v>0</v>
      </c>
      <c r="H39"/>
      <c r="I39"/>
      <c r="J39"/>
      <c r="K39"/>
    </row>
    <row r="40" spans="1:11" s="58" customFormat="1">
      <c r="A40" s="52">
        <v>2.5</v>
      </c>
      <c r="B40" s="120">
        <v>2.9999989999999999</v>
      </c>
      <c r="C40" s="133" t="s">
        <v>258</v>
      </c>
      <c r="D40" s="188">
        <v>2.9765624999999997E-2</v>
      </c>
      <c r="E40" s="54">
        <f t="shared" si="0"/>
        <v>0</v>
      </c>
      <c r="H40"/>
      <c r="I40"/>
      <c r="J40"/>
      <c r="K40"/>
    </row>
    <row r="41" spans="1:11" s="58" customFormat="1">
      <c r="A41" s="52">
        <v>3</v>
      </c>
      <c r="B41" s="120">
        <v>3.4999989999999999</v>
      </c>
      <c r="C41" s="133" t="s">
        <v>257</v>
      </c>
      <c r="D41" s="188">
        <v>2.3812499999999997E-2</v>
      </c>
      <c r="E41" s="54">
        <f t="shared" si="0"/>
        <v>0</v>
      </c>
      <c r="H41"/>
      <c r="I41"/>
      <c r="J41"/>
      <c r="K41"/>
    </row>
    <row r="42" spans="1:11" s="58" customFormat="1">
      <c r="A42" s="52">
        <v>3.5</v>
      </c>
      <c r="B42" s="120">
        <v>3.9999999000000002</v>
      </c>
      <c r="C42" s="133" t="s">
        <v>256</v>
      </c>
      <c r="D42" s="188">
        <v>1.984375E-2</v>
      </c>
      <c r="E42" s="54">
        <f t="shared" si="0"/>
        <v>0</v>
      </c>
      <c r="H42"/>
      <c r="I42"/>
      <c r="J42"/>
      <c r="K42"/>
    </row>
    <row r="43" spans="1:11" s="58" customFormat="1">
      <c r="A43" s="52">
        <v>4</v>
      </c>
      <c r="B43" s="120">
        <v>4.4999989999999999</v>
      </c>
      <c r="C43" s="133" t="s">
        <v>255</v>
      </c>
      <c r="D43" s="188">
        <v>1.2699999999999999E-2</v>
      </c>
      <c r="E43" s="54">
        <f t="shared" si="0"/>
        <v>0</v>
      </c>
      <c r="H43"/>
      <c r="I43"/>
      <c r="J43"/>
      <c r="K43"/>
    </row>
    <row r="44" spans="1:11" s="58" customFormat="1">
      <c r="A44" s="52">
        <v>4.5</v>
      </c>
      <c r="B44" s="120">
        <v>5.9999989999999999</v>
      </c>
      <c r="C44" s="133" t="s">
        <v>254</v>
      </c>
      <c r="D44" s="189">
        <v>1.1249999999999996E-2</v>
      </c>
      <c r="E44" s="54">
        <f t="shared" si="0"/>
        <v>0</v>
      </c>
      <c r="H44"/>
      <c r="I44"/>
      <c r="J44"/>
      <c r="K44"/>
    </row>
    <row r="45" spans="1:11" s="58" customFormat="1">
      <c r="A45" s="52">
        <v>6</v>
      </c>
      <c r="B45" s="120">
        <v>7.4999989999999999</v>
      </c>
      <c r="C45" s="133" t="s">
        <v>253</v>
      </c>
      <c r="D45" s="189">
        <v>9.8999999999999956E-3</v>
      </c>
      <c r="E45" s="54">
        <f t="shared" si="0"/>
        <v>0</v>
      </c>
      <c r="H45"/>
      <c r="I45"/>
      <c r="J45"/>
      <c r="K45"/>
    </row>
    <row r="46" spans="1:11" s="58" customFormat="1">
      <c r="A46" s="52">
        <v>7.5</v>
      </c>
      <c r="B46" s="120">
        <v>9.4999990000000007</v>
      </c>
      <c r="C46" s="133" t="s">
        <v>428</v>
      </c>
      <c r="D46" s="189">
        <v>8.9999999999999976E-3</v>
      </c>
      <c r="E46" s="54">
        <f t="shared" si="0"/>
        <v>0</v>
      </c>
      <c r="H46"/>
      <c r="I46"/>
      <c r="J46"/>
      <c r="K46"/>
    </row>
    <row r="47" spans="1:11">
      <c r="A47" s="52">
        <v>9.5</v>
      </c>
      <c r="B47" s="120">
        <v>12.499999000000001</v>
      </c>
      <c r="C47" s="133" t="s">
        <v>252</v>
      </c>
      <c r="D47" s="189">
        <v>7.1999999999999981E-3</v>
      </c>
      <c r="E47" s="54">
        <f t="shared" si="0"/>
        <v>0</v>
      </c>
    </row>
    <row r="48" spans="1:11">
      <c r="A48" s="52">
        <v>12.5</v>
      </c>
      <c r="B48" s="120">
        <v>100000</v>
      </c>
      <c r="C48" s="133" t="s">
        <v>251</v>
      </c>
      <c r="D48" s="189">
        <v>5.3999999999999986E-3</v>
      </c>
      <c r="E48" s="54">
        <f t="shared" si="0"/>
        <v>0</v>
      </c>
    </row>
  </sheetData>
  <phoneticPr fontId="16"/>
  <pageMargins left="0.75" right="0.75" top="1" bottom="1" header="0.5" footer="0.5"/>
  <pageSetup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2"/>
  <sheetViews>
    <sheetView showGridLines="0" topLeftCell="A41" zoomScale="169" zoomScaleNormal="169" workbookViewId="0">
      <selection activeCell="D48" sqref="D48:K48"/>
    </sheetView>
  </sheetViews>
  <sheetFormatPr baseColWidth="10" defaultRowHeight="16"/>
  <cols>
    <col min="1" max="1" width="29.28515625" style="1" customWidth="1"/>
    <col min="2" max="6" width="9.7109375" customWidth="1"/>
    <col min="7" max="7" width="10.85546875" customWidth="1"/>
    <col min="8" max="8" width="9.7109375" customWidth="1"/>
    <col min="9" max="9" width="14.42578125" customWidth="1"/>
    <col min="10" max="11" width="9.7109375" customWidth="1"/>
  </cols>
  <sheetData>
    <row r="1" spans="1:14" s="3" customFormat="1" ht="20" thickBot="1">
      <c r="A1" s="255" t="str">
        <f>Inputs!B7</f>
        <v>Facebook</v>
      </c>
      <c r="B1" s="256"/>
      <c r="C1" s="256"/>
      <c r="D1" s="256"/>
      <c r="E1" s="256"/>
      <c r="F1" s="256"/>
      <c r="G1" s="256"/>
      <c r="H1" s="256"/>
      <c r="I1" s="257"/>
    </row>
    <row r="2" spans="1:14" s="3" customFormat="1" ht="20" thickBot="1">
      <c r="A2" s="261">
        <f>Inputs!B8</f>
        <v>41639</v>
      </c>
      <c r="B2" s="262"/>
      <c r="C2" s="262"/>
      <c r="D2" s="262"/>
      <c r="E2" s="262"/>
      <c r="F2" s="262"/>
      <c r="G2" s="262"/>
      <c r="H2" s="262"/>
      <c r="I2" s="263"/>
      <c r="K2" s="264" t="s">
        <v>424</v>
      </c>
      <c r="L2" s="265"/>
      <c r="M2" s="266"/>
    </row>
    <row r="3" spans="1:14" s="5" customFormat="1" ht="15" thickTop="1">
      <c r="A3" s="11" t="s">
        <v>53</v>
      </c>
      <c r="B3" s="12"/>
      <c r="C3" s="12"/>
      <c r="D3" s="12" t="s">
        <v>209</v>
      </c>
      <c r="E3" s="12"/>
      <c r="F3" s="12"/>
      <c r="G3" s="12" t="s">
        <v>210</v>
      </c>
      <c r="H3" s="12"/>
      <c r="I3" s="13"/>
      <c r="K3" s="148" t="s">
        <v>425</v>
      </c>
      <c r="L3" s="64"/>
      <c r="M3" s="149">
        <f>I6</f>
        <v>0.4</v>
      </c>
    </row>
    <row r="4" spans="1:14" s="3" customFormat="1" ht="14">
      <c r="A4" s="14" t="s">
        <v>211</v>
      </c>
      <c r="B4" s="15"/>
      <c r="C4" s="16">
        <f>Inputs!B18*Inputs!B19</f>
        <v>552102</v>
      </c>
      <c r="D4" s="15" t="s">
        <v>212</v>
      </c>
      <c r="E4" s="15"/>
      <c r="F4" s="67">
        <f>Inputs!B20</f>
        <v>1.05</v>
      </c>
      <c r="G4" s="15" t="s">
        <v>213</v>
      </c>
      <c r="H4" s="15"/>
      <c r="I4" s="17">
        <f ca="1">IF(Inputs!B27="Yes",'Operating leases'!F36+'Operating leases'!F38,Inputs!B10)</f>
        <v>19834</v>
      </c>
      <c r="K4" s="148" t="s">
        <v>444</v>
      </c>
      <c r="L4" s="56"/>
      <c r="M4" s="150">
        <f ca="1">I4/J14</f>
        <v>3.8444427582137508E-2</v>
      </c>
    </row>
    <row r="5" spans="1:14" s="3" customFormat="1" ht="15" thickBot="1">
      <c r="A5" s="14" t="s">
        <v>74</v>
      </c>
      <c r="B5" s="15"/>
      <c r="C5" s="16">
        <f>IF(Inputs!B23="Yes",Inputs!B24,IF(Inputs!B25="Yes",Inputs!B13*(1-(1+Inputs!B16)^(0-Inputs!B26))/Inputs!B16+Inputs!B22/(1+Inputs!B16)^Inputs!B26,Inputs!B22))</f>
        <v>0</v>
      </c>
      <c r="D5" s="15" t="s">
        <v>214</v>
      </c>
      <c r="E5" s="15"/>
      <c r="F5" s="6" t="str">
        <f>Inputs!B15</f>
        <v>Not rated</v>
      </c>
      <c r="G5" s="15" t="s">
        <v>215</v>
      </c>
      <c r="H5" s="15"/>
      <c r="I5" s="17">
        <f ca="1">IF(Inputs!B27="Yes",'Operating leases'!F38,Inputs!B11)</f>
        <v>2314.3912316728611</v>
      </c>
      <c r="K5" s="148" t="s">
        <v>445</v>
      </c>
      <c r="L5" s="56"/>
      <c r="M5" s="150">
        <f ca="1">(I4-I5)/J14</f>
        <v>3.3958421425901684E-2</v>
      </c>
    </row>
    <row r="6" spans="1:14" s="3" customFormat="1" ht="15" thickBot="1">
      <c r="A6" s="14" t="s">
        <v>216</v>
      </c>
      <c r="B6" s="15"/>
      <c r="C6" s="6">
        <f>Inputs!B18</f>
        <v>2905.8</v>
      </c>
      <c r="D6" s="252" t="s">
        <v>232</v>
      </c>
      <c r="E6" s="253"/>
      <c r="F6" s="254"/>
      <c r="G6" s="15" t="s">
        <v>217</v>
      </c>
      <c r="H6" s="15"/>
      <c r="I6" s="19">
        <f>Inputs!B14</f>
        <v>0.4</v>
      </c>
      <c r="K6" s="151" t="s">
        <v>426</v>
      </c>
      <c r="L6" s="152"/>
      <c r="M6" s="163">
        <f ca="1">B48</f>
        <v>1.0476085681056859</v>
      </c>
    </row>
    <row r="7" spans="1:14" s="3" customFormat="1" ht="14">
      <c r="A7" s="14" t="s">
        <v>414</v>
      </c>
      <c r="B7" s="15"/>
      <c r="C7" s="69">
        <f ca="1">IF(Inputs!B27="Yes",'Operating leases'!C33,0)</f>
        <v>2100.521085055751</v>
      </c>
      <c r="D7" s="15" t="s">
        <v>139</v>
      </c>
      <c r="E7" s="15"/>
      <c r="F7" s="18">
        <f>Inputs!B36</f>
        <v>2.5499999999999998E-2</v>
      </c>
      <c r="G7" s="15" t="s">
        <v>218</v>
      </c>
      <c r="H7" s="15"/>
      <c r="I7" s="20">
        <f>Inputs!B12</f>
        <v>5739</v>
      </c>
    </row>
    <row r="8" spans="1:14" s="3" customFormat="1" ht="14">
      <c r="A8" s="21" t="s">
        <v>415</v>
      </c>
      <c r="B8" s="22"/>
      <c r="C8" s="23">
        <f>Inputs!B37</f>
        <v>5.0799999999999998E-2</v>
      </c>
      <c r="D8" s="22" t="s">
        <v>140</v>
      </c>
      <c r="E8" s="22"/>
      <c r="F8" s="23">
        <f>Inputs!B16</f>
        <v>3.2199999999999999E-2</v>
      </c>
      <c r="G8" s="22" t="s">
        <v>156</v>
      </c>
      <c r="H8" s="22"/>
      <c r="I8" s="70">
        <f ca="1">IF(Inputs!B27="Yes",'Operating leases'!F37,Inputs!B13)</f>
        <v>74.906101528222692</v>
      </c>
    </row>
    <row r="9" spans="1:14" s="3" customFormat="1" thickTop="1" thickBot="1"/>
    <row r="10" spans="1:14" s="3" customFormat="1" ht="15" thickTop="1">
      <c r="C10" s="258" t="s">
        <v>157</v>
      </c>
      <c r="D10" s="259"/>
      <c r="E10" s="259"/>
      <c r="F10" s="259"/>
      <c r="G10" s="260"/>
    </row>
    <row r="11" spans="1:14" s="5" customFormat="1" ht="14">
      <c r="C11" s="36"/>
      <c r="D11" s="37"/>
      <c r="E11" s="76" t="s">
        <v>158</v>
      </c>
      <c r="F11" s="77" t="s">
        <v>159</v>
      </c>
      <c r="G11" s="78" t="s">
        <v>160</v>
      </c>
      <c r="L11" s="161"/>
    </row>
    <row r="12" spans="1:14" s="3" customFormat="1" ht="14">
      <c r="C12" s="38" t="s">
        <v>161</v>
      </c>
      <c r="D12" s="39"/>
      <c r="E12" s="40">
        <f ca="1">(C5+C7)/(C5+C7+C4)</f>
        <v>3.7901687652795342E-3</v>
      </c>
      <c r="F12" s="71">
        <f ca="1">B75*B69+C75*C69+D75*D69+E75*E69+F75*F69+G75*G69+H75*H69+I75*I69+J75*J69+K75*K69</f>
        <v>0.2</v>
      </c>
      <c r="G12" s="41">
        <f ca="1">F12-E12</f>
        <v>0.19620983123472047</v>
      </c>
      <c r="L12" s="158"/>
    </row>
    <row r="13" spans="1:14" s="3" customFormat="1" ht="14">
      <c r="A13" s="154"/>
      <c r="C13" s="38"/>
      <c r="D13" s="39"/>
      <c r="E13" s="42"/>
      <c r="F13" s="72"/>
      <c r="G13" s="43"/>
      <c r="I13" s="138" t="s">
        <v>55</v>
      </c>
      <c r="J13" s="139"/>
      <c r="K13" s="15"/>
      <c r="L13" s="15"/>
    </row>
    <row r="14" spans="1:14" s="3" customFormat="1" ht="14">
      <c r="C14" s="38" t="s">
        <v>162</v>
      </c>
      <c r="D14" s="39"/>
      <c r="E14" s="42">
        <f>F4</f>
        <v>1.05</v>
      </c>
      <c r="F14" s="73">
        <f ca="1">B75*B48+C75*C48+D75*D48+E75*E48+F75*F48+G75*G48+H75*H48+I75*I48+J75*J48+K75*K48</f>
        <v>1.2047498533215386</v>
      </c>
      <c r="G14" s="44">
        <f ca="1">F14-E14</f>
        <v>0.15474985332153857</v>
      </c>
      <c r="I14" s="56" t="s">
        <v>441</v>
      </c>
      <c r="J14" s="140">
        <f ca="1">C4+C5+C7-Inputs!B21</f>
        <v>515913.52108505578</v>
      </c>
      <c r="K14" s="15"/>
      <c r="L14" s="15"/>
    </row>
    <row r="15" spans="1:14" s="3" customFormat="1" ht="14">
      <c r="C15" s="38" t="s">
        <v>163</v>
      </c>
      <c r="D15" s="39"/>
      <c r="E15" s="40">
        <f>F7+F4*C8</f>
        <v>7.8839999999999993E-2</v>
      </c>
      <c r="F15" s="71">
        <f ca="1">B75*B72+C75*C72+D75*D72+E75*E72+F75*F72+G75*G72+H75*H72+I75*I72+J75*J72+K75*K72</f>
        <v>8.6701292548734155E-2</v>
      </c>
      <c r="G15" s="41">
        <f ca="1">F15-E15</f>
        <v>7.8612925487341612E-3</v>
      </c>
      <c r="I15" s="56" t="s">
        <v>199</v>
      </c>
      <c r="J15" s="80">
        <f ca="1">E19</f>
        <v>7.8611452823453637E-2</v>
      </c>
      <c r="K15" s="15"/>
      <c r="L15" s="15"/>
      <c r="N15" s="159"/>
    </row>
    <row r="16" spans="1:14" s="3" customFormat="1" ht="14">
      <c r="C16" s="38" t="s">
        <v>412</v>
      </c>
      <c r="D16" s="39"/>
      <c r="E16" s="42" t="str">
        <f>F5</f>
        <v>Not rated</v>
      </c>
      <c r="F16" s="72"/>
      <c r="G16" s="41"/>
      <c r="I16" s="56" t="s">
        <v>147</v>
      </c>
      <c r="J16" s="141">
        <f ca="1">(I4-I5)*(1-I6)+I5-I7</f>
        <v>7087.1564926691462</v>
      </c>
      <c r="K16" s="15" t="s">
        <v>148</v>
      </c>
      <c r="L16" s="15"/>
    </row>
    <row r="17" spans="1:15" s="3" customFormat="1" ht="14">
      <c r="C17" s="38" t="s">
        <v>413</v>
      </c>
      <c r="D17" s="39"/>
      <c r="E17" s="40">
        <f ca="1">IF(Inputs!B43="Yes",K27*(1-I6),F8*(1-I6))</f>
        <v>1.8539999999999997E-2</v>
      </c>
      <c r="F17" s="71">
        <f ca="1">B75*B73+C75*C73+D75*D73+E75*E73+F75*F73+G75*G73+H75*H73+I75*I73+J75*J73+K75*K73</f>
        <v>2.1239999999999995E-2</v>
      </c>
      <c r="G17" s="41">
        <f ca="1">F17-E17</f>
        <v>2.6999999999999975E-3</v>
      </c>
      <c r="I17" s="56" t="s">
        <v>164</v>
      </c>
      <c r="J17" s="81">
        <f ca="1">IF(J16&gt;0,(J14*J15-J16)/(J14+J16),"NA")</f>
        <v>6.3995242006386385E-2</v>
      </c>
      <c r="K17" s="15"/>
      <c r="L17" s="15"/>
    </row>
    <row r="18" spans="1:15" s="3" customFormat="1" ht="14">
      <c r="C18" s="38"/>
      <c r="D18" s="39"/>
      <c r="E18" s="40"/>
      <c r="F18" s="71"/>
      <c r="G18" s="41"/>
      <c r="I18" s="15" t="s">
        <v>60</v>
      </c>
      <c r="J18" s="15"/>
      <c r="K18" s="15"/>
      <c r="L18" s="15"/>
    </row>
    <row r="19" spans="1:15" s="3" customFormat="1" ht="14">
      <c r="C19" s="38" t="s">
        <v>100</v>
      </c>
      <c r="D19" s="39"/>
      <c r="E19" s="40">
        <f ca="1">E15*(1-E12)+E17*E12</f>
        <v>7.8611452823453637E-2</v>
      </c>
      <c r="F19" s="71">
        <f ca="1">B75*B74+C75*C74+D75*D74+E75*E74+F75*F74+G75*G74+H75*H74+I75*I74+J75*J74+K75*K74</f>
        <v>7.3609034038987331E-2</v>
      </c>
      <c r="G19" s="41">
        <f ca="1">F19-E19</f>
        <v>-5.0024187844663059E-3</v>
      </c>
      <c r="I19" s="15"/>
      <c r="J19" s="15"/>
      <c r="K19" s="15"/>
      <c r="L19" s="15"/>
    </row>
    <row r="20" spans="1:15" s="3" customFormat="1" ht="14">
      <c r="C20" s="38" t="s">
        <v>164</v>
      </c>
      <c r="D20" s="39"/>
      <c r="E20" s="40">
        <f ca="1">IF(J17&gt;F7,F7,IF(J17="NA",6%,J17))</f>
        <v>2.5499999999999998E-2</v>
      </c>
      <c r="F20" s="72"/>
      <c r="G20" s="41"/>
    </row>
    <row r="21" spans="1:15" s="3" customFormat="1" ht="14">
      <c r="A21" s="68" t="s">
        <v>23</v>
      </c>
      <c r="C21" s="38" t="s">
        <v>442</v>
      </c>
      <c r="D21" s="39"/>
      <c r="E21" s="45">
        <f ca="1">J14</f>
        <v>515913.52108505578</v>
      </c>
      <c r="F21" s="74">
        <f ca="1">B75*B76+C75*C76+D75*D76+E75*E76+F75*F76+G75*G76+H75*H76+I75*I76+J75*J76+K75*K76</f>
        <v>569558.65324348898</v>
      </c>
      <c r="G21" s="46">
        <f ca="1">F21-E21</f>
        <v>53645.132158433204</v>
      </c>
      <c r="J21" s="154"/>
      <c r="L21" s="162"/>
    </row>
    <row r="22" spans="1:15" s="3" customFormat="1" ht="15" thickBot="1">
      <c r="C22" s="47" t="s">
        <v>54</v>
      </c>
      <c r="D22" s="48"/>
      <c r="E22" s="49">
        <f ca="1">(E21+Inputs!B21-C5-C7)/C6</f>
        <v>190</v>
      </c>
      <c r="F22" s="75">
        <f ca="1">(F21-E21)/C6+E22</f>
        <v>208.46139863666914</v>
      </c>
      <c r="G22" s="50">
        <f ca="1">F22-E22</f>
        <v>18.461398636669145</v>
      </c>
      <c r="L22" s="162"/>
    </row>
    <row r="23" spans="1:15" s="3" customFormat="1" ht="14">
      <c r="L23" s="162"/>
    </row>
    <row r="24" spans="1:15" s="5" customFormat="1" ht="14">
      <c r="A24" s="5" t="s">
        <v>165</v>
      </c>
      <c r="H24" s="24" t="s">
        <v>85</v>
      </c>
      <c r="I24" s="25"/>
      <c r="J24" s="25"/>
      <c r="K24" s="26"/>
    </row>
    <row r="25" spans="1:15" s="3" customFormat="1" ht="14">
      <c r="C25" s="64" t="s">
        <v>86</v>
      </c>
      <c r="D25" s="64" t="s">
        <v>87</v>
      </c>
      <c r="E25" s="65" t="s">
        <v>88</v>
      </c>
      <c r="F25" s="64" t="s">
        <v>89</v>
      </c>
      <c r="G25" s="64" t="s">
        <v>234</v>
      </c>
      <c r="H25" s="15" t="s">
        <v>90</v>
      </c>
      <c r="I25" s="15"/>
      <c r="J25" s="15"/>
      <c r="K25" s="27">
        <f ca="1">IF(I8&gt;0,(F41-J40)/I8,10000000)</f>
        <v>233.88760609476122</v>
      </c>
      <c r="O25" s="154"/>
    </row>
    <row r="26" spans="1:15" s="3" customFormat="1" ht="14">
      <c r="C26" s="56" t="s">
        <v>231</v>
      </c>
      <c r="D26" s="56">
        <f>IF(Inputs!$B$41=1,'Default Spreads and Ratios'!A29,'Default Spreads and Ratios'!A48)</f>
        <v>8.5</v>
      </c>
      <c r="E26" s="56">
        <f>IF(Inputs!$B$41=1,'Default Spreads and Ratios'!B29,'Default Spreads and Ratios'!B48)</f>
        <v>100000</v>
      </c>
      <c r="F26" s="80">
        <f>IF(Inputs!$B$41=1,'Default Spreads and Ratios'!D29,'Default Spreads and Ratios'!D48)</f>
        <v>5.3999999999999986E-3</v>
      </c>
      <c r="G26" s="81">
        <f>IF(Inputs!$B$41=1,'Default Spreads and Ratios'!E29,'Default Spreads and Ratios'!E48)</f>
        <v>0</v>
      </c>
      <c r="H26" s="15" t="s">
        <v>18</v>
      </c>
      <c r="I26" s="15"/>
      <c r="J26" s="15"/>
      <c r="K26" s="7" t="str">
        <f ca="1">VLOOKUP(K25,D81:G95,3)</f>
        <v>Aaa/AAA</v>
      </c>
    </row>
    <row r="27" spans="1:15" s="3" customFormat="1" ht="14">
      <c r="C27" s="56" t="s">
        <v>230</v>
      </c>
      <c r="D27" s="56">
        <f>IF(Inputs!$B$41=1,'Default Spreads and Ratios'!A28,'Default Spreads and Ratios'!A47)</f>
        <v>6.5</v>
      </c>
      <c r="E27" s="56">
        <f>IF(Inputs!$B$41=1,'Default Spreads and Ratios'!B28,'Default Spreads and Ratios'!B47)</f>
        <v>8.4999990000000007</v>
      </c>
      <c r="F27" s="80">
        <f>IF(Inputs!$B$41=1,'Default Spreads and Ratios'!D28,'Default Spreads and Ratios'!D47)</f>
        <v>7.1999999999999981E-3</v>
      </c>
      <c r="G27" s="81">
        <f>IF(Inputs!$B$41=1,'Default Spreads and Ratios'!E28,'Default Spreads and Ratios'!E47)</f>
        <v>0</v>
      </c>
      <c r="H27" s="15" t="s">
        <v>179</v>
      </c>
      <c r="I27" s="15"/>
      <c r="J27" s="15"/>
      <c r="K27" s="54">
        <f ca="1">VLOOKUP(K25,D81:G95,4)</f>
        <v>3.0899999999999997E-2</v>
      </c>
    </row>
    <row r="28" spans="1:15" s="3" customFormat="1" ht="14">
      <c r="C28" s="56" t="s">
        <v>229</v>
      </c>
      <c r="D28" s="56">
        <f>IF(Inputs!$B$41=1,'Default Spreads and Ratios'!A27,'Default Spreads and Ratios'!A46)</f>
        <v>5.5</v>
      </c>
      <c r="E28" s="56">
        <f>IF(Inputs!$B$41=1,'Default Spreads and Ratios'!B27,'Default Spreads and Ratios'!B46)</f>
        <v>6.4999989999999999</v>
      </c>
      <c r="F28" s="80">
        <f>IF(Inputs!$B$41=1,'Default Spreads and Ratios'!D27,'Default Spreads and Ratios'!D46)</f>
        <v>8.9999999999999976E-3</v>
      </c>
      <c r="G28" s="81">
        <f>IF(Inputs!$B$41=1,'Default Spreads and Ratios'!E27,'Default Spreads and Ratios'!E46)</f>
        <v>0</v>
      </c>
      <c r="H28" s="15" t="s">
        <v>169</v>
      </c>
      <c r="I28" s="15"/>
      <c r="J28" s="15"/>
      <c r="K28" s="8" t="str">
        <f>F5</f>
        <v>Not rated</v>
      </c>
    </row>
    <row r="29" spans="1:15" s="3" customFormat="1" ht="14">
      <c r="C29" s="56" t="s">
        <v>104</v>
      </c>
      <c r="D29" s="56">
        <f>IF(Inputs!$B$41=1,'Default Spreads and Ratios'!A26,'Default Spreads and Ratios'!A45)</f>
        <v>4.25</v>
      </c>
      <c r="E29" s="56">
        <f>IF(Inputs!$B$41=1,'Default Spreads and Ratios'!B26,'Default Spreads and Ratios'!B45)</f>
        <v>5.4999989999999999</v>
      </c>
      <c r="F29" s="80">
        <f>IF(Inputs!$B$41=1,'Default Spreads and Ratios'!D26,'Default Spreads and Ratios'!D45)</f>
        <v>9.8999999999999956E-3</v>
      </c>
      <c r="G29" s="81">
        <f>IF(Inputs!$B$41=1,'Default Spreads and Ratios'!E26,'Default Spreads and Ratios'!E45)</f>
        <v>0</v>
      </c>
      <c r="H29" s="28" t="s">
        <v>75</v>
      </c>
      <c r="I29" s="28"/>
      <c r="J29" s="28"/>
      <c r="K29" s="8">
        <f>F8</f>
        <v>3.2199999999999999E-2</v>
      </c>
    </row>
    <row r="30" spans="1:15" s="3" customFormat="1" ht="14">
      <c r="C30" s="56" t="s">
        <v>228</v>
      </c>
      <c r="D30" s="56">
        <f>IF(Inputs!$B$41=1,'Default Spreads and Ratios'!A25,'Default Spreads and Ratios'!A44)</f>
        <v>3</v>
      </c>
      <c r="E30" s="56">
        <f>IF(Inputs!$B$41=1,'Default Spreads and Ratios'!B25,'Default Spreads and Ratios'!B44)</f>
        <v>4.2499989999999999</v>
      </c>
      <c r="F30" s="80">
        <f>IF(Inputs!$B$41=1,'Default Spreads and Ratios'!D25,'Default Spreads and Ratios'!D44)</f>
        <v>1.1249999999999996E-2</v>
      </c>
      <c r="G30" s="81">
        <f>IF(Inputs!$B$41=1,'Default Spreads and Ratios'!E25,'Default Spreads and Ratios'!E44)</f>
        <v>0</v>
      </c>
      <c r="H30" s="56" t="s">
        <v>167</v>
      </c>
      <c r="I30" s="56"/>
      <c r="J30" s="56"/>
      <c r="K30" s="54">
        <f ca="1">VLOOKUP(K25,D81:H95,5)</f>
        <v>0</v>
      </c>
      <c r="O30" s="162"/>
    </row>
    <row r="31" spans="1:15" s="3" customFormat="1" ht="14">
      <c r="C31" s="56" t="s">
        <v>227</v>
      </c>
      <c r="D31" s="56">
        <f>IF(Inputs!$B$41=1,'Default Spreads and Ratios'!A24,'Default Spreads and Ratios'!A43)</f>
        <v>2.5</v>
      </c>
      <c r="E31" s="56">
        <f>IF(Inputs!$B$41=1,'Default Spreads and Ratios'!B24,'Default Spreads and Ratios'!B43)</f>
        <v>2.9999989999999999</v>
      </c>
      <c r="F31" s="80">
        <f>IF(Inputs!$B$41=1,'Default Spreads and Ratios'!D24,'Default Spreads and Ratios'!D43)</f>
        <v>1.2699999999999999E-2</v>
      </c>
      <c r="G31" s="81">
        <f>IF(Inputs!$B$41=1,'Default Spreads and Ratios'!E24,'Default Spreads and Ratios'!E43)</f>
        <v>0</v>
      </c>
    </row>
    <row r="32" spans="1:15" s="3" customFormat="1" ht="14">
      <c r="C32" s="56" t="s">
        <v>226</v>
      </c>
      <c r="D32" s="56">
        <f>IF(Inputs!$B$41=1,'Default Spreads and Ratios'!A22,'Default Spreads and Ratios'!A41)</f>
        <v>2</v>
      </c>
      <c r="E32" s="56">
        <f>IF(Inputs!$B$41=1,'Default Spreads and Ratios'!B22,'Default Spreads and Ratios'!B41)</f>
        <v>2.2499999000000002</v>
      </c>
      <c r="F32" s="80">
        <f>IF(Inputs!$B$41=1,'Default Spreads and Ratios'!D22,'Default Spreads and Ratios'!D41)</f>
        <v>2.3812499999999997E-2</v>
      </c>
      <c r="G32" s="81">
        <f>IF(Inputs!$B$41=1,'Default Spreads and Ratios'!E22,'Default Spreads and Ratios'!E41)</f>
        <v>0</v>
      </c>
    </row>
    <row r="33" spans="1:13" s="3" customFormat="1" ht="14">
      <c r="C33" s="56" t="s">
        <v>225</v>
      </c>
      <c r="D33" s="56">
        <f>IF(Inputs!$B$41=1,'Default Spreads and Ratios'!A21,'Default Spreads and Ratios'!A40)</f>
        <v>1.75</v>
      </c>
      <c r="E33" s="56">
        <f>IF(Inputs!$B$41=1,'Default Spreads and Ratios'!B21,'Default Spreads and Ratios'!B40)</f>
        <v>1.9999990000000001</v>
      </c>
      <c r="F33" s="80">
        <f>IF(Inputs!$B$41=1,'Default Spreads and Ratios'!D21,'Default Spreads and Ratios'!D40)</f>
        <v>2.9765624999999997E-2</v>
      </c>
      <c r="G33" s="81">
        <f>IF(Inputs!$B$41=1,'Default Spreads and Ratios'!E21,'Default Spreads and Ratios'!E40)</f>
        <v>0</v>
      </c>
    </row>
    <row r="34" spans="1:13" s="3" customFormat="1" ht="14">
      <c r="C34" s="56" t="s">
        <v>224</v>
      </c>
      <c r="D34" s="56">
        <f>IF(Inputs!$B$41=1,'Default Spreads and Ratios'!A20,'Default Spreads and Ratios'!A39)</f>
        <v>1.5</v>
      </c>
      <c r="E34" s="56">
        <f>IF(Inputs!$B$41=1,'Default Spreads and Ratios'!B20,'Default Spreads and Ratios'!B39)</f>
        <v>1.7499990000000001</v>
      </c>
      <c r="F34" s="80">
        <f>IF(Inputs!$B$41=1,'Default Spreads and Ratios'!D20,'Default Spreads and Ratios'!D39)</f>
        <v>3.5718749999999994E-2</v>
      </c>
      <c r="G34" s="81">
        <f>IF(Inputs!$B$41=1,'Default Spreads and Ratios'!E20,'Default Spreads and Ratios'!E39)</f>
        <v>0</v>
      </c>
    </row>
    <row r="35" spans="1:13" s="3" customFormat="1" ht="14">
      <c r="C35" s="56" t="s">
        <v>223</v>
      </c>
      <c r="D35" s="56">
        <f>IF(Inputs!$B$41=1,'Default Spreads and Ratios'!A19,'Default Spreads and Ratios'!A38)</f>
        <v>1.25</v>
      </c>
      <c r="E35" s="56">
        <f>IF(Inputs!$B$41=1,'Default Spreads and Ratios'!B19,'Default Spreads and Ratios'!B38)</f>
        <v>1.4999990000000001</v>
      </c>
      <c r="F35" s="80">
        <f>IF(Inputs!$B$41=1,'Default Spreads and Ratios'!D19,'Default Spreads and Ratios'!D38)</f>
        <v>4.3656250000000001E-2</v>
      </c>
      <c r="G35" s="81">
        <f>IF(Inputs!$B$41=1,'Default Spreads and Ratios'!E19,'Default Spreads and Ratios'!E38)</f>
        <v>0</v>
      </c>
      <c r="M35" s="162"/>
    </row>
    <row r="36" spans="1:13" s="3" customFormat="1" ht="14">
      <c r="C36" s="56" t="s">
        <v>222</v>
      </c>
      <c r="D36" s="56">
        <f>IF(Inputs!$B$41=1,'Default Spreads and Ratios'!A18,'Default Spreads and Ratios'!A37)</f>
        <v>0.8</v>
      </c>
      <c r="E36" s="56">
        <f>IF(Inputs!$B$41=1,'Default Spreads and Ratios'!B18,'Default Spreads and Ratios'!B37)</f>
        <v>1.2499990000000001</v>
      </c>
      <c r="F36" s="80">
        <f>IF(Inputs!$B$41=1,'Default Spreads and Ratios'!D18,'Default Spreads and Ratios'!D37)</f>
        <v>8.6368750000000008E-2</v>
      </c>
      <c r="G36" s="81">
        <f>IF(Inputs!$B$41=1,'Default Spreads and Ratios'!E18,'Default Spreads and Ratios'!E37)</f>
        <v>0</v>
      </c>
      <c r="M36" s="162"/>
    </row>
    <row r="37" spans="1:13" s="3" customFormat="1" ht="14">
      <c r="C37" s="56" t="s">
        <v>221</v>
      </c>
      <c r="D37" s="56">
        <f>IF(Inputs!$B$41=1,'Default Spreads and Ratios'!A17,'Default Spreads and Ratios'!A36)</f>
        <v>0.65</v>
      </c>
      <c r="E37" s="56">
        <f>IF(Inputs!$B$41=1,'Default Spreads and Ratios'!B17,'Default Spreads and Ratios'!B36)</f>
        <v>0.79999900000000002</v>
      </c>
      <c r="F37" s="80">
        <f>IF(Inputs!$B$41=1,'Default Spreads and Ratios'!D17,'Default Spreads and Ratios'!D36)</f>
        <v>0.10630000000000001</v>
      </c>
      <c r="G37" s="81">
        <f>IF(Inputs!$B$41=1,'Default Spreads and Ratios'!E17,'Default Spreads and Ratios'!E36)</f>
        <v>0</v>
      </c>
    </row>
    <row r="38" spans="1:13" s="3" customFormat="1" ht="14">
      <c r="C38" s="56" t="s">
        <v>220</v>
      </c>
      <c r="D38" s="56">
        <f>IF(Inputs!$B$41=1,'Default Spreads and Ratios'!A16,'Default Spreads and Ratios'!A35)</f>
        <v>0.2</v>
      </c>
      <c r="E38" s="56">
        <f>IF(Inputs!$B$41=1,'Default Spreads and Ratios'!B16,'Default Spreads and Ratios'!B35)</f>
        <v>0.64999899999999999</v>
      </c>
      <c r="F38" s="80">
        <f>IF(Inputs!$B$41=1,'Default Spreads and Ratios'!D16,'Default Spreads and Ratios'!D35)</f>
        <v>0.13951875</v>
      </c>
      <c r="G38" s="81">
        <f>IF(Inputs!$B$41=1,'Default Spreads and Ratios'!E16,'Default Spreads and Ratios'!E35)</f>
        <v>0</v>
      </c>
    </row>
    <row r="39" spans="1:13" s="3" customFormat="1" ht="14">
      <c r="C39" s="56" t="s">
        <v>219</v>
      </c>
      <c r="D39" s="56">
        <f>IF(Inputs!$B$41=1,'Default Spreads and Ratios'!A15,'Default Spreads and Ratios'!A34)</f>
        <v>-100000</v>
      </c>
      <c r="E39" s="56">
        <f>IF(Inputs!$B$41=1,'Default Spreads and Ratios'!B15,'Default Spreads and Ratios'!B34)</f>
        <v>0.19999900000000001</v>
      </c>
      <c r="F39" s="80">
        <f>IF(Inputs!$B$41=1,'Default Spreads and Ratios'!D15,'Default Spreads and Ratios'!D34)</f>
        <v>0.18602500000000002</v>
      </c>
      <c r="G39" s="81">
        <f>IF(Inputs!$B$41=1,'Default Spreads and Ratios'!E15,'Default Spreads and Ratios'!E34)</f>
        <v>0</v>
      </c>
    </row>
    <row r="40" spans="1:13" s="3" customFormat="1" ht="14">
      <c r="A40" s="56" t="s">
        <v>180</v>
      </c>
      <c r="B40" s="173">
        <f>F4</f>
        <v>1.05</v>
      </c>
      <c r="C40" s="18"/>
      <c r="D40" s="143" t="s">
        <v>181</v>
      </c>
      <c r="E40" s="8"/>
      <c r="F40" s="174">
        <f>C4</f>
        <v>552102</v>
      </c>
      <c r="G40" s="29"/>
      <c r="H40" s="143" t="s">
        <v>182</v>
      </c>
      <c r="I40" s="8"/>
      <c r="J40" s="174">
        <f ca="1">I5</f>
        <v>2314.3912316728611</v>
      </c>
      <c r="K40" s="10"/>
    </row>
    <row r="41" spans="1:13" s="3" customFormat="1" ht="14">
      <c r="A41" s="56" t="s">
        <v>183</v>
      </c>
      <c r="B41" s="174">
        <f ca="1">C5+C7</f>
        <v>2100.521085055751</v>
      </c>
      <c r="C41" s="18"/>
      <c r="D41" s="143" t="s">
        <v>184</v>
      </c>
      <c r="E41" s="8"/>
      <c r="F41" s="174">
        <f ca="1">I4</f>
        <v>19834</v>
      </c>
      <c r="G41" s="29"/>
      <c r="H41" s="143" t="s">
        <v>105</v>
      </c>
      <c r="I41" s="8"/>
      <c r="J41" s="175">
        <f ca="1">IF(Inputs!B43="Yes",K27,F8)</f>
        <v>3.0899999999999997E-2</v>
      </c>
      <c r="K41" s="10"/>
    </row>
    <row r="42" spans="1:13" s="3" customFormat="1" ht="14">
      <c r="A42" s="56" t="s">
        <v>106</v>
      </c>
      <c r="B42" s="175">
        <f>I6</f>
        <v>0.4</v>
      </c>
      <c r="C42" s="18"/>
      <c r="D42" s="143" t="s">
        <v>107</v>
      </c>
      <c r="E42" s="8"/>
      <c r="F42" s="175" t="str">
        <f>F5</f>
        <v>Not rated</v>
      </c>
      <c r="G42" s="29"/>
      <c r="H42" s="143" t="s">
        <v>108</v>
      </c>
      <c r="I42" s="8"/>
      <c r="J42" s="175">
        <f>F7</f>
        <v>2.5499999999999998E-2</v>
      </c>
      <c r="K42" s="10"/>
    </row>
    <row r="43" spans="1:13" s="3" customFormat="1" ht="15" thickBot="1">
      <c r="A43" s="15" t="s">
        <v>441</v>
      </c>
      <c r="B43" s="176">
        <f ca="1">C4+C5+C7-Inputs!B21</f>
        <v>515913.52108505578</v>
      </c>
      <c r="C43" s="18"/>
      <c r="D43" s="143" t="s">
        <v>168</v>
      </c>
      <c r="E43" s="8"/>
      <c r="F43" s="177">
        <f ca="1">IF(B41=0,F41,F41/(1+K30))</f>
        <v>19834</v>
      </c>
      <c r="G43"/>
      <c r="H43"/>
      <c r="I43"/>
      <c r="J43"/>
      <c r="K43" s="10"/>
    </row>
    <row r="44" spans="1:13" s="3" customFormat="1" ht="14">
      <c r="A44" s="31"/>
      <c r="B44" s="32"/>
      <c r="C44" s="32"/>
      <c r="D44" s="18"/>
      <c r="E44" s="18"/>
      <c r="F44" s="142" t="s">
        <v>109</v>
      </c>
      <c r="G44" s="32"/>
      <c r="H44" s="32"/>
      <c r="I44" s="32"/>
      <c r="J44" s="32"/>
      <c r="K44" s="33"/>
    </row>
    <row r="45" spans="1:13" s="3" customFormat="1" ht="14">
      <c r="A45" s="130" t="s">
        <v>110</v>
      </c>
      <c r="B45" s="8">
        <v>0</v>
      </c>
      <c r="C45" s="8">
        <v>0.1</v>
      </c>
      <c r="D45" s="8">
        <v>0.2</v>
      </c>
      <c r="E45" s="8">
        <v>0.3</v>
      </c>
      <c r="F45" s="8">
        <v>0.4</v>
      </c>
      <c r="G45" s="8">
        <v>0.5</v>
      </c>
      <c r="H45" s="8">
        <v>0.6</v>
      </c>
      <c r="I45" s="8">
        <v>0.7</v>
      </c>
      <c r="J45" s="8">
        <v>0.8</v>
      </c>
      <c r="K45" s="8">
        <v>0.9</v>
      </c>
    </row>
    <row r="46" spans="1:13" s="3" customFormat="1" ht="14">
      <c r="A46" s="130" t="s">
        <v>111</v>
      </c>
      <c r="B46" s="8">
        <f t="shared" ref="B46:K46" si="0">B45/(1-B45)</f>
        <v>0</v>
      </c>
      <c r="C46" s="8">
        <f t="shared" si="0"/>
        <v>0.11111111111111112</v>
      </c>
      <c r="D46" s="8">
        <f t="shared" si="0"/>
        <v>0.25</v>
      </c>
      <c r="E46" s="8">
        <f t="shared" si="0"/>
        <v>0.4285714285714286</v>
      </c>
      <c r="F46" s="8">
        <f t="shared" si="0"/>
        <v>0.66666666666666674</v>
      </c>
      <c r="G46" s="8">
        <f t="shared" si="0"/>
        <v>1</v>
      </c>
      <c r="H46" s="8">
        <f t="shared" si="0"/>
        <v>1.4999999999999998</v>
      </c>
      <c r="I46" s="8">
        <f t="shared" si="0"/>
        <v>2.333333333333333</v>
      </c>
      <c r="J46" s="8">
        <f t="shared" si="0"/>
        <v>4.0000000000000009</v>
      </c>
      <c r="K46" s="8">
        <f t="shared" si="0"/>
        <v>9.0000000000000018</v>
      </c>
    </row>
    <row r="47" spans="1:13" s="3" customFormat="1" ht="14">
      <c r="A47" s="130" t="s">
        <v>112</v>
      </c>
      <c r="B47" s="55">
        <v>0</v>
      </c>
      <c r="C47" s="55">
        <f ca="1">C45*(B41+F40)</f>
        <v>55420.252108505578</v>
      </c>
      <c r="D47" s="55">
        <f ca="1">D45*(B41+F40)</f>
        <v>110840.50421701116</v>
      </c>
      <c r="E47" s="55">
        <f ca="1">E45*(B41+F40)</f>
        <v>166260.75632551673</v>
      </c>
      <c r="F47" s="55">
        <f ca="1">F45*(B41+F40)</f>
        <v>221681.00843402231</v>
      </c>
      <c r="G47" s="55">
        <f ca="1">G45*(B41+F40)</f>
        <v>277101.26054252789</v>
      </c>
      <c r="H47" s="55">
        <f ca="1">H45*(B41+F40)</f>
        <v>332521.51265103347</v>
      </c>
      <c r="I47" s="55">
        <f ca="1">I45*(B41+F40)</f>
        <v>387941.76475953904</v>
      </c>
      <c r="J47" s="55">
        <f ca="1">J45*(B41+F40)</f>
        <v>443362.01686804462</v>
      </c>
      <c r="K47" s="55">
        <f ca="1">K45*(B41+F40)</f>
        <v>498782.2689765502</v>
      </c>
    </row>
    <row r="48" spans="1:13" s="3" customFormat="1" ht="14">
      <c r="A48" s="130" t="s">
        <v>134</v>
      </c>
      <c r="B48" s="155">
        <f ca="1">B40/(1+(1-B42)*B41/F40)*(1+(1-B42)*B46)</f>
        <v>1.0476085681056859</v>
      </c>
      <c r="C48" s="27">
        <f ca="1">$B48*(1+(1-C67)*C46)</f>
        <v>1.1174491393127317</v>
      </c>
      <c r="D48" s="27">
        <f t="shared" ref="D48:K48" ca="1" si="1">$B48*(1+(1-D67)*D46)</f>
        <v>1.2047498533215386</v>
      </c>
      <c r="E48" s="27">
        <f t="shared" ca="1" si="1"/>
        <v>1.3819047454672244</v>
      </c>
      <c r="F48" s="27">
        <f t="shared" ca="1" si="1"/>
        <v>1.6122222030450952</v>
      </c>
      <c r="G48" s="27">
        <f t="shared" ca="1" si="1"/>
        <v>1.9346666436541142</v>
      </c>
      <c r="H48" s="27">
        <f t="shared" ca="1" si="1"/>
        <v>2.4183333045676427</v>
      </c>
      <c r="I48" s="27">
        <f t="shared" ca="1" si="1"/>
        <v>3.22444440609019</v>
      </c>
      <c r="J48" s="27">
        <f t="shared" ca="1" si="1"/>
        <v>4.924913877123597</v>
      </c>
      <c r="K48" s="27">
        <f t="shared" ca="1" si="1"/>
        <v>9.8498277542471939</v>
      </c>
    </row>
    <row r="49" spans="1:11" s="3" customFormat="1" ht="14">
      <c r="A49" s="130" t="s">
        <v>135</v>
      </c>
      <c r="B49" s="54">
        <f ca="1">$F$7+B48*$C$8</f>
        <v>7.8718515259768834E-2</v>
      </c>
      <c r="C49" s="54">
        <f t="shared" ref="C49:K49" ca="1" si="2">$F$7+C48*$C$8</f>
        <v>8.2266416277086765E-2</v>
      </c>
      <c r="D49" s="54">
        <f t="shared" ca="1" si="2"/>
        <v>8.6701292548734155E-2</v>
      </c>
      <c r="E49" s="54">
        <f t="shared" ca="1" si="2"/>
        <v>9.5700761069734991E-2</v>
      </c>
      <c r="F49" s="54">
        <f t="shared" ca="1" si="2"/>
        <v>0.10740088791469082</v>
      </c>
      <c r="G49" s="54">
        <f t="shared" ca="1" si="2"/>
        <v>0.12378106549762899</v>
      </c>
      <c r="H49" s="54">
        <f t="shared" ca="1" si="2"/>
        <v>0.14835133187203625</v>
      </c>
      <c r="I49" s="54">
        <f t="shared" ca="1" si="2"/>
        <v>0.18930177582938165</v>
      </c>
      <c r="J49" s="54">
        <f t="shared" ca="1" si="2"/>
        <v>0.27568562495787874</v>
      </c>
      <c r="K49" s="54">
        <f t="shared" ca="1" si="2"/>
        <v>0.5258712499157574</v>
      </c>
    </row>
    <row r="50" spans="1:11" s="3" customFormat="1" ht="14">
      <c r="A50" s="130" t="s">
        <v>236</v>
      </c>
      <c r="B50" s="54">
        <v>0</v>
      </c>
      <c r="C50" s="54">
        <f t="shared" ref="C50:K50" ca="1" si="3">VLOOKUP(C61,$D$81:$H$95,5)</f>
        <v>0</v>
      </c>
      <c r="D50" s="54">
        <f t="shared" ca="1" si="3"/>
        <v>0</v>
      </c>
      <c r="E50" s="54">
        <f t="shared" ca="1" si="3"/>
        <v>0</v>
      </c>
      <c r="F50" s="54">
        <f t="shared" ca="1" si="3"/>
        <v>0</v>
      </c>
      <c r="G50" s="54">
        <f t="shared" ca="1" si="3"/>
        <v>0</v>
      </c>
      <c r="H50" s="54">
        <f t="shared" ca="1" si="3"/>
        <v>0</v>
      </c>
      <c r="I50" s="54">
        <f t="shared" ca="1" si="3"/>
        <v>0</v>
      </c>
      <c r="J50" s="54">
        <f t="shared" ca="1" si="3"/>
        <v>0</v>
      </c>
      <c r="K50" s="54">
        <f t="shared" ca="1" si="3"/>
        <v>0</v>
      </c>
    </row>
    <row r="51" spans="1:11" s="3" customFormat="1" ht="14">
      <c r="A51" s="130" t="s">
        <v>113</v>
      </c>
      <c r="B51" s="218">
        <f ca="1">$F$43*(1+B50)</f>
        <v>19834</v>
      </c>
      <c r="C51" s="218">
        <f t="shared" ref="C51:K51" ca="1" si="4">$F$43*(1+C50)</f>
        <v>19834</v>
      </c>
      <c r="D51" s="218">
        <f t="shared" ca="1" si="4"/>
        <v>19834</v>
      </c>
      <c r="E51" s="218">
        <f t="shared" ca="1" si="4"/>
        <v>19834</v>
      </c>
      <c r="F51" s="218">
        <f t="shared" ca="1" si="4"/>
        <v>19834</v>
      </c>
      <c r="G51" s="218">
        <f t="shared" ca="1" si="4"/>
        <v>19834</v>
      </c>
      <c r="H51" s="218">
        <f t="shared" ca="1" si="4"/>
        <v>19834</v>
      </c>
      <c r="I51" s="218">
        <f t="shared" ca="1" si="4"/>
        <v>19834</v>
      </c>
      <c r="J51" s="218">
        <f t="shared" ca="1" si="4"/>
        <v>19834</v>
      </c>
      <c r="K51" s="218">
        <f t="shared" ca="1" si="4"/>
        <v>19834</v>
      </c>
    </row>
    <row r="52" spans="1:11" s="3" customFormat="1" ht="14">
      <c r="A52" s="130" t="s">
        <v>114</v>
      </c>
      <c r="B52" s="55">
        <f ca="1">J40</f>
        <v>2314.3912316728611</v>
      </c>
      <c r="C52" s="55">
        <f t="shared" ref="C52:K52" ca="1" si="5">B52</f>
        <v>2314.3912316728611</v>
      </c>
      <c r="D52" s="55">
        <f t="shared" ca="1" si="5"/>
        <v>2314.3912316728611</v>
      </c>
      <c r="E52" s="55">
        <f t="shared" ca="1" si="5"/>
        <v>2314.3912316728611</v>
      </c>
      <c r="F52" s="55">
        <f t="shared" ca="1" si="5"/>
        <v>2314.3912316728611</v>
      </c>
      <c r="G52" s="55">
        <f t="shared" ca="1" si="5"/>
        <v>2314.3912316728611</v>
      </c>
      <c r="H52" s="55">
        <f t="shared" ca="1" si="5"/>
        <v>2314.3912316728611</v>
      </c>
      <c r="I52" s="55">
        <f t="shared" ca="1" si="5"/>
        <v>2314.3912316728611</v>
      </c>
      <c r="J52" s="55">
        <f t="shared" ca="1" si="5"/>
        <v>2314.3912316728611</v>
      </c>
      <c r="K52" s="55">
        <f t="shared" ca="1" si="5"/>
        <v>2314.3912316728611</v>
      </c>
    </row>
    <row r="53" spans="1:11" s="3" customFormat="1" ht="14">
      <c r="A53" s="130" t="s">
        <v>115</v>
      </c>
      <c r="B53" s="55">
        <f ca="1">B51-B52</f>
        <v>17519.60876832714</v>
      </c>
      <c r="C53" s="55">
        <f t="shared" ref="C53:K53" ca="1" si="6">C51-C52</f>
        <v>17519.60876832714</v>
      </c>
      <c r="D53" s="55">
        <f t="shared" ca="1" si="6"/>
        <v>17519.60876832714</v>
      </c>
      <c r="E53" s="55">
        <f t="shared" ca="1" si="6"/>
        <v>17519.60876832714</v>
      </c>
      <c r="F53" s="55">
        <f t="shared" ca="1" si="6"/>
        <v>17519.60876832714</v>
      </c>
      <c r="G53" s="55">
        <f t="shared" ca="1" si="6"/>
        <v>17519.60876832714</v>
      </c>
      <c r="H53" s="55">
        <f t="shared" ca="1" si="6"/>
        <v>17519.60876832714</v>
      </c>
      <c r="I53" s="55">
        <f t="shared" ca="1" si="6"/>
        <v>17519.60876832714</v>
      </c>
      <c r="J53" s="55">
        <f t="shared" ca="1" si="6"/>
        <v>17519.60876832714</v>
      </c>
      <c r="K53" s="55">
        <f t="shared" ca="1" si="6"/>
        <v>17519.60876832714</v>
      </c>
    </row>
    <row r="54" spans="1:11" s="3" customFormat="1" ht="14">
      <c r="A54" s="130" t="s">
        <v>116</v>
      </c>
      <c r="B54" s="55">
        <f>IF(Inputs!$B$42="Yes",B64*B47,(IF(B45&lt;$E$12,(Inputs!$B$13/Inputs!$B$22)*B47,Inputs!$B$13+B64*(B47-$C$5))))</f>
        <v>0</v>
      </c>
      <c r="C54" s="55">
        <f ca="1">IF(Inputs!$B$42="Yes",C64*C47,(IF(C45&lt;$E$12,(Inputs!$B$13/Inputs!$B$22)*C47,Inputs!$B$13+C64*(C47-$C$5))))</f>
        <v>1712.4857901528221</v>
      </c>
      <c r="D54" s="55">
        <f ca="1">IF(Inputs!$B$42="Yes",D64*D47,(IF(D45&lt;$E$12,(Inputs!$B$13/Inputs!$B$22)*D47,Inputs!$B$13+D64*(D47-$C$5))))</f>
        <v>3923.7538492821941</v>
      </c>
      <c r="E54" s="55">
        <f ca="1">IF(Inputs!$B$42="Yes",E64*E47,(IF(E45&lt;$E$12,(Inputs!$B$13/Inputs!$B$22)*E47,Inputs!$B$13+E64*(E47-$C$5))))</f>
        <v>27436.142182891363</v>
      </c>
      <c r="F54" s="55">
        <f ca="1">IF(Inputs!$B$42="Yes",F64*F47,(IF(F45&lt;$E$12,(Inputs!$B$13/Inputs!$B$22)*F47,Inputs!$B$13+F64*(F47-$C$5))))</f>
        <v>36581.522910521817</v>
      </c>
      <c r="G54" s="55">
        <f ca="1">IF(Inputs!$B$42="Yes",G64*G47,(IF(G45&lt;$E$12,(Inputs!$B$13/Inputs!$B$22)*G47,Inputs!$B$13+G64*(G47-$C$5))))</f>
        <v>45726.903638152275</v>
      </c>
      <c r="H54" s="55">
        <f ca="1">IF(Inputs!$B$42="Yes",H64*H47,(IF(H45&lt;$E$12,(Inputs!$B$13/Inputs!$B$22)*H47,Inputs!$B$13+H64*(H47-$C$5))))</f>
        <v>54872.284365782725</v>
      </c>
      <c r="I54" s="55">
        <f ca="1">IF(Inputs!$B$42="Yes",I64*I47,(IF(I45&lt;$E$12,(Inputs!$B$13/Inputs!$B$22)*I47,Inputs!$B$13+I64*(I47-$C$5))))</f>
        <v>64017.665093413183</v>
      </c>
      <c r="J54" s="55">
        <f ca="1">IF(Inputs!$B$42="Yes",J64*J47,(IF(J45&lt;$E$12,(Inputs!$B$13/Inputs!$B$22)*J47,Inputs!$B$13+J64*(J47-$C$5))))</f>
        <v>93782.15061801314</v>
      </c>
      <c r="K54" s="55">
        <f ca="1">IF(Inputs!$B$42="Yes",K64*K47,(IF(K45&lt;$E$12,(Inputs!$B$13/Inputs!$B$22)*K47,Inputs!$B$13+K64*(K47-$C$5))))</f>
        <v>105504.91944526479</v>
      </c>
    </row>
    <row r="55" spans="1:11" s="3" customFormat="1" ht="14">
      <c r="A55" s="130" t="s">
        <v>117</v>
      </c>
      <c r="B55" s="55">
        <f ca="1">B53-B54</f>
        <v>17519.60876832714</v>
      </c>
      <c r="C55" s="55">
        <f t="shared" ref="C55:K55" ca="1" si="7">C53-C54</f>
        <v>15807.122978174317</v>
      </c>
      <c r="D55" s="55">
        <f t="shared" ca="1" si="7"/>
        <v>13595.854919044945</v>
      </c>
      <c r="E55" s="55">
        <f t="shared" ca="1" si="7"/>
        <v>-9916.5334145642228</v>
      </c>
      <c r="F55" s="55">
        <f t="shared" ca="1" si="7"/>
        <v>-19061.914142194677</v>
      </c>
      <c r="G55" s="55">
        <f t="shared" ca="1" si="7"/>
        <v>-28207.294869825135</v>
      </c>
      <c r="H55" s="55">
        <f t="shared" ca="1" si="7"/>
        <v>-37352.675597455585</v>
      </c>
      <c r="I55" s="55">
        <f t="shared" ca="1" si="7"/>
        <v>-46498.056325086043</v>
      </c>
      <c r="J55" s="55">
        <f t="shared" ca="1" si="7"/>
        <v>-76262.541849686007</v>
      </c>
      <c r="K55" s="55">
        <f t="shared" ca="1" si="7"/>
        <v>-87985.310676937661</v>
      </c>
    </row>
    <row r="56" spans="1:11" s="3" customFormat="1" ht="14">
      <c r="A56" s="130" t="s">
        <v>118</v>
      </c>
      <c r="B56" s="55">
        <f ca="1">IF(Inputs!$B$29="No",$B$42*B55,IF(Inputs!$B$30="EBITDA",IF('Optimal Capital Structure'!B54&lt;Inputs!$B$31*'Optimal Capital Structure'!B51,$B$42*B55,('Optimal Capital Structure'!B53-Inputs!$B$31*'Optimal Capital Structure'!B51)*$B$42), IF('Optimal Capital Structure'!B54&lt;Inputs!$B$31*'Optimal Capital Structure'!B53,$B$42*B55,('Optimal Capital Structure'!B53-Inputs!$B$31*'Optimal Capital Structure'!B53)*'Optimal Capital Structure'!$B$42)))</f>
        <v>7007.8435073308565</v>
      </c>
      <c r="C56" s="55">
        <f ca="1">IF(Inputs!$B$29="No",$B$42*C55,IF(Inputs!$B$30="EBITDA",IF('Optimal Capital Structure'!C54&lt;Inputs!$B$31*'Optimal Capital Structure'!C51,$B$42*C55,('Optimal Capital Structure'!C53-Inputs!$B$31*'Optimal Capital Structure'!C51)*$B$42), IF('Optimal Capital Structure'!C54&lt;Inputs!$B$31*'Optimal Capital Structure'!C53,$B$42*C55,('Optimal Capital Structure'!C53-Inputs!$B$31*'Optimal Capital Structure'!C53)*'Optimal Capital Structure'!$B$42)))</f>
        <v>6322.8491912697273</v>
      </c>
      <c r="D56" s="55">
        <f ca="1">IF(Inputs!$B$29="No",$B$42*D55,IF(Inputs!$B$30="EBITDA",IF('Optimal Capital Structure'!D54&lt;Inputs!$B$31*'Optimal Capital Structure'!D51,$B$42*D55,('Optimal Capital Structure'!D53-Inputs!$B$31*'Optimal Capital Structure'!D51)*$B$42), IF('Optimal Capital Structure'!D54&lt;Inputs!$B$31*'Optimal Capital Structure'!D53,$B$42*D55,('Optimal Capital Structure'!D53-Inputs!$B$31*'Optimal Capital Structure'!D53)*'Optimal Capital Structure'!$B$42)))</f>
        <v>5438.3419676179783</v>
      </c>
      <c r="E56" s="55">
        <f ca="1">IF(Inputs!$B$29="No",$B$42*E55,IF(Inputs!$B$30="EBITDA",IF('Optimal Capital Structure'!E54&lt;Inputs!$B$31*'Optimal Capital Structure'!E51,$B$42*E55,('Optimal Capital Structure'!E53-Inputs!$B$31*'Optimal Capital Structure'!E51)*$B$42), IF('Optimal Capital Structure'!E54&lt;Inputs!$B$31*'Optimal Capital Structure'!E53,$B$42*E55,('Optimal Capital Structure'!E53-Inputs!$B$31*'Optimal Capital Structure'!E53)*'Optimal Capital Structure'!$B$42)))</f>
        <v>-3966.6133658256895</v>
      </c>
      <c r="F56" s="55">
        <f ca="1">IF(Inputs!$B$29="No",$B$42*F55,IF(Inputs!$B$30="EBITDA",IF('Optimal Capital Structure'!F54&lt;Inputs!$B$31*'Optimal Capital Structure'!F51,$B$42*F55,('Optimal Capital Structure'!F53-Inputs!$B$31*'Optimal Capital Structure'!F51)*$B$42), IF('Optimal Capital Structure'!F54&lt;Inputs!$B$31*'Optimal Capital Structure'!F53,$B$42*F55,('Optimal Capital Structure'!F53-Inputs!$B$31*'Optimal Capital Structure'!F53)*'Optimal Capital Structure'!$B$42)))</f>
        <v>-7624.7656568778712</v>
      </c>
      <c r="G56" s="55">
        <f ca="1">IF(Inputs!$B$29="No",$B$42*G55,IF(Inputs!$B$30="EBITDA",IF('Optimal Capital Structure'!G54&lt;Inputs!$B$31*'Optimal Capital Structure'!G51,$B$42*G55,('Optimal Capital Structure'!G53-Inputs!$B$31*'Optimal Capital Structure'!G51)*$B$42), IF('Optimal Capital Structure'!G54&lt;Inputs!$B$31*'Optimal Capital Structure'!G53,$B$42*G55,('Optimal Capital Structure'!G53-Inputs!$B$31*'Optimal Capital Structure'!G53)*'Optimal Capital Structure'!$B$42)))</f>
        <v>-11282.917947930055</v>
      </c>
      <c r="H56" s="55">
        <f ca="1">IF(Inputs!$B$29="No",$B$42*H55,IF(Inputs!$B$30="EBITDA",IF('Optimal Capital Structure'!H54&lt;Inputs!$B$31*'Optimal Capital Structure'!H51,$B$42*H55,('Optimal Capital Structure'!H53-Inputs!$B$31*'Optimal Capital Structure'!H51)*$B$42), IF('Optimal Capital Structure'!H54&lt;Inputs!$B$31*'Optimal Capital Structure'!H53,$B$42*H55,('Optimal Capital Structure'!H53-Inputs!$B$31*'Optimal Capital Structure'!H53)*'Optimal Capital Structure'!$B$42)))</f>
        <v>-14941.070238982235</v>
      </c>
      <c r="I56" s="55">
        <f ca="1">IF(Inputs!$B$29="No",$B$42*I55,IF(Inputs!$B$30="EBITDA",IF('Optimal Capital Structure'!I54&lt;Inputs!$B$31*'Optimal Capital Structure'!I51,$B$42*I55,('Optimal Capital Structure'!I53-Inputs!$B$31*'Optimal Capital Structure'!I51)*$B$42), IF('Optimal Capital Structure'!I54&lt;Inputs!$B$31*'Optimal Capital Structure'!I53,$B$42*I55,('Optimal Capital Structure'!I53-Inputs!$B$31*'Optimal Capital Structure'!I53)*'Optimal Capital Structure'!$B$42)))</f>
        <v>-18599.222530034418</v>
      </c>
      <c r="J56" s="55">
        <f ca="1">IF(Inputs!$B$29="No",$B$42*J55,IF(Inputs!$B$30="EBITDA",IF('Optimal Capital Structure'!J54&lt;Inputs!$B$31*'Optimal Capital Structure'!J51,$B$42*J55,('Optimal Capital Structure'!J53-Inputs!$B$31*'Optimal Capital Structure'!J51)*$B$42), IF('Optimal Capital Structure'!J54&lt;Inputs!$B$31*'Optimal Capital Structure'!J53,$B$42*J55,('Optimal Capital Structure'!J53-Inputs!$B$31*'Optimal Capital Structure'!J53)*'Optimal Capital Structure'!$B$42)))</f>
        <v>-30505.016739874405</v>
      </c>
      <c r="K56" s="55">
        <f ca="1">IF(Inputs!$B$29="No",$B$42*K55,IF(Inputs!$B$30="EBITDA",IF('Optimal Capital Structure'!K54&lt;Inputs!$B$31*'Optimal Capital Structure'!K51,$B$42*K55,('Optimal Capital Structure'!K53-Inputs!$B$31*'Optimal Capital Structure'!K51)*$B$42), IF('Optimal Capital Structure'!K54&lt;Inputs!$B$31*'Optimal Capital Structure'!K53,$B$42*K55,('Optimal Capital Structure'!K53-Inputs!$B$31*'Optimal Capital Structure'!K53)*'Optimal Capital Structure'!$B$42)))</f>
        <v>-35194.124270775064</v>
      </c>
    </row>
    <row r="57" spans="1:11" s="3" customFormat="1" ht="14">
      <c r="A57" s="130" t="s">
        <v>119</v>
      </c>
      <c r="B57" s="55">
        <f t="shared" ref="B57:K57" ca="1" si="8">B55-B56</f>
        <v>10511.765260996282</v>
      </c>
      <c r="C57" s="55">
        <f t="shared" ca="1" si="8"/>
        <v>9484.2737869045886</v>
      </c>
      <c r="D57" s="55">
        <f t="shared" ca="1" si="8"/>
        <v>8157.5129514269665</v>
      </c>
      <c r="E57" s="55">
        <f t="shared" ca="1" si="8"/>
        <v>-5949.9200487385333</v>
      </c>
      <c r="F57" s="55">
        <f t="shared" ca="1" si="8"/>
        <v>-11437.148485316806</v>
      </c>
      <c r="G57" s="55">
        <f t="shared" ca="1" si="8"/>
        <v>-16924.37692189508</v>
      </c>
      <c r="H57" s="55">
        <f t="shared" ca="1" si="8"/>
        <v>-22411.605358473353</v>
      </c>
      <c r="I57" s="55">
        <f t="shared" ca="1" si="8"/>
        <v>-27898.833795051625</v>
      </c>
      <c r="J57" s="55">
        <f t="shared" ca="1" si="8"/>
        <v>-45757.525109811599</v>
      </c>
      <c r="K57" s="55">
        <f t="shared" ca="1" si="8"/>
        <v>-52791.186406162597</v>
      </c>
    </row>
    <row r="58" spans="1:11" s="3" customFormat="1" ht="14">
      <c r="A58" s="130" t="s">
        <v>120</v>
      </c>
      <c r="B58" s="55">
        <f t="shared" ref="B58:K58" ca="1" si="9">B52</f>
        <v>2314.3912316728611</v>
      </c>
      <c r="C58" s="55">
        <f t="shared" ca="1" si="9"/>
        <v>2314.3912316728611</v>
      </c>
      <c r="D58" s="55">
        <f t="shared" ca="1" si="9"/>
        <v>2314.3912316728611</v>
      </c>
      <c r="E58" s="55">
        <f t="shared" ca="1" si="9"/>
        <v>2314.3912316728611</v>
      </c>
      <c r="F58" s="55">
        <f t="shared" ca="1" si="9"/>
        <v>2314.3912316728611</v>
      </c>
      <c r="G58" s="55">
        <f t="shared" ca="1" si="9"/>
        <v>2314.3912316728611</v>
      </c>
      <c r="H58" s="55">
        <f t="shared" ca="1" si="9"/>
        <v>2314.3912316728611</v>
      </c>
      <c r="I58" s="55">
        <f t="shared" ca="1" si="9"/>
        <v>2314.3912316728611</v>
      </c>
      <c r="J58" s="55">
        <f t="shared" ca="1" si="9"/>
        <v>2314.3912316728611</v>
      </c>
      <c r="K58" s="55">
        <f t="shared" ca="1" si="9"/>
        <v>2314.3912316728611</v>
      </c>
    </row>
    <row r="59" spans="1:11" s="3" customFormat="1" ht="14">
      <c r="A59" s="130" t="s">
        <v>121</v>
      </c>
      <c r="B59" s="55">
        <f t="shared" ref="B59:K59" ca="1" si="10">B57+B58</f>
        <v>12826.156492669143</v>
      </c>
      <c r="C59" s="55">
        <f t="shared" ca="1" si="10"/>
        <v>11798.665018577449</v>
      </c>
      <c r="D59" s="55">
        <f t="shared" ca="1" si="10"/>
        <v>10471.904183099829</v>
      </c>
      <c r="E59" s="55">
        <f t="shared" ca="1" si="10"/>
        <v>-3635.5288170656722</v>
      </c>
      <c r="F59" s="55">
        <f t="shared" ca="1" si="10"/>
        <v>-9122.7572536439438</v>
      </c>
      <c r="G59" s="55">
        <f t="shared" ca="1" si="10"/>
        <v>-14609.98569022222</v>
      </c>
      <c r="H59" s="55">
        <f t="shared" ca="1" si="10"/>
        <v>-20097.214126800493</v>
      </c>
      <c r="I59" s="55">
        <f t="shared" ca="1" si="10"/>
        <v>-25584.442563378765</v>
      </c>
      <c r="J59" s="55">
        <f t="shared" ca="1" si="10"/>
        <v>-43443.133878138739</v>
      </c>
      <c r="K59" s="55">
        <f t="shared" ca="1" si="10"/>
        <v>-50476.795174489736</v>
      </c>
    </row>
    <row r="60" spans="1:11" s="3" customFormat="1" ht="14">
      <c r="A60" s="130"/>
      <c r="B60" s="7"/>
      <c r="C60" s="7"/>
      <c r="D60" s="7"/>
      <c r="E60" s="7"/>
      <c r="F60" s="7"/>
      <c r="G60" s="7"/>
      <c r="H60" s="7"/>
      <c r="I60" s="7"/>
      <c r="J60" s="7"/>
      <c r="K60" s="7"/>
    </row>
    <row r="61" spans="1:11" s="3" customFormat="1" ht="14">
      <c r="A61" s="130" t="s">
        <v>122</v>
      </c>
      <c r="B61" s="7" t="s">
        <v>123</v>
      </c>
      <c r="C61" s="27">
        <f t="shared" ref="C61:K61" ca="1" si="11">C55/C54+1</f>
        <v>10.23051336780067</v>
      </c>
      <c r="D61" s="27">
        <f t="shared" ca="1" si="11"/>
        <v>4.4650121901841908</v>
      </c>
      <c r="E61" s="27">
        <f t="shared" ca="1" si="11"/>
        <v>0.63855948301842602</v>
      </c>
      <c r="F61" s="27">
        <f t="shared" ca="1" si="11"/>
        <v>0.47891961226381952</v>
      </c>
      <c r="G61" s="27">
        <f t="shared" ca="1" si="11"/>
        <v>0.38313568981105561</v>
      </c>
      <c r="H61" s="27">
        <f t="shared" ca="1" si="11"/>
        <v>0.31927974150921301</v>
      </c>
      <c r="I61" s="27">
        <f t="shared" ca="1" si="11"/>
        <v>0.27366834986503974</v>
      </c>
      <c r="J61" s="27">
        <f t="shared" ca="1" si="11"/>
        <v>0.18681176165053803</v>
      </c>
      <c r="K61" s="27">
        <f t="shared" ca="1" si="11"/>
        <v>0.16605489924492267</v>
      </c>
    </row>
    <row r="62" spans="1:11" s="3" customFormat="1" ht="14">
      <c r="A62" s="130" t="s">
        <v>124</v>
      </c>
      <c r="B62" s="7" t="s">
        <v>123</v>
      </c>
      <c r="C62" s="27">
        <f t="shared" ref="C62:K62" ca="1" si="12">C59/C47</f>
        <v>0.2128944667281053</v>
      </c>
      <c r="D62" s="27">
        <f t="shared" ca="1" si="12"/>
        <v>9.4477233364052685E-2</v>
      </c>
      <c r="E62" s="27">
        <f t="shared" ca="1" si="12"/>
        <v>-2.1866427757298204E-2</v>
      </c>
      <c r="F62" s="27">
        <f t="shared" ca="1" si="12"/>
        <v>-4.1152633317973648E-2</v>
      </c>
      <c r="G62" s="27">
        <f t="shared" ca="1" si="12"/>
        <v>-5.2724356654378933E-2</v>
      </c>
      <c r="H62" s="27">
        <f t="shared" ca="1" si="12"/>
        <v>-6.0438838878649107E-2</v>
      </c>
      <c r="I62" s="27">
        <f t="shared" ca="1" si="12"/>
        <v>-6.5949183324556376E-2</v>
      </c>
      <c r="J62" s="27">
        <f t="shared" ca="1" si="12"/>
        <v>-9.7985691658986837E-2</v>
      </c>
      <c r="K62" s="27">
        <f t="shared" ca="1" si="12"/>
        <v>-0.10120005925243276</v>
      </c>
    </row>
    <row r="63" spans="1:11" s="3" customFormat="1" ht="14">
      <c r="A63" s="130" t="s">
        <v>125</v>
      </c>
      <c r="B63" s="7" t="str">
        <f>F95</f>
        <v>Aaa/AAA</v>
      </c>
      <c r="C63" s="7" t="str">
        <f ca="1">VLOOKUP(C61,D81:G95,3)</f>
        <v>Aaa/AAA</v>
      </c>
      <c r="D63" s="7" t="str">
        <f ca="1">VLOOKUP(D61,D81:G95,3)</f>
        <v>A2/A</v>
      </c>
      <c r="E63" s="7" t="str">
        <f ca="1">VLOOKUP(E61,D81:G95,3)</f>
        <v>C2/C</v>
      </c>
      <c r="F63" s="7" t="str">
        <f ca="1">VLOOKUP(F61,D81:G95,3)</f>
        <v>C2/C</v>
      </c>
      <c r="G63" s="7" t="str">
        <f ca="1">VLOOKUP(G61,D81:G95,3)</f>
        <v>C2/C</v>
      </c>
      <c r="H63" s="7" t="str">
        <f ca="1">VLOOKUP(H61,D81:G95,3)</f>
        <v>C2/C</v>
      </c>
      <c r="I63" s="7" t="str">
        <f ca="1">VLOOKUP(I61,D81:G95,3)</f>
        <v>C2/C</v>
      </c>
      <c r="J63" s="7" t="str">
        <f ca="1">VLOOKUP(J61,D81:G95,3)</f>
        <v>D2/D</v>
      </c>
      <c r="K63" s="7" t="str">
        <f ca="1">VLOOKUP(K61,D81:G95,3)</f>
        <v>D2/D</v>
      </c>
    </row>
    <row r="64" spans="1:11" s="3" customFormat="1" ht="14">
      <c r="A64" s="130" t="s">
        <v>195</v>
      </c>
      <c r="B64" s="8">
        <f>G95</f>
        <v>3.0899999999999997E-2</v>
      </c>
      <c r="C64" s="8">
        <f ca="1">VLOOKUP(C61,D81:G95,4)</f>
        <v>3.0899999999999997E-2</v>
      </c>
      <c r="D64" s="8">
        <f ca="1">VLOOKUP(D61,D81:G95,4)</f>
        <v>3.5399999999999994E-2</v>
      </c>
      <c r="E64" s="8">
        <f ca="1">VLOOKUP(E61,D81:G95,4)</f>
        <v>0.16501874999999999</v>
      </c>
      <c r="F64" s="8">
        <f ca="1">VLOOKUP(F61,D81:G95,4)</f>
        <v>0.16501874999999999</v>
      </c>
      <c r="G64" s="8">
        <f ca="1">VLOOKUP(G61,D81:G95,4)</f>
        <v>0.16501874999999999</v>
      </c>
      <c r="H64" s="8">
        <f ca="1">VLOOKUP(H61,D81:G95,4)</f>
        <v>0.16501874999999999</v>
      </c>
      <c r="I64" s="8">
        <f ca="1">VLOOKUP(I61,D81:G95,4)</f>
        <v>0.16501874999999999</v>
      </c>
      <c r="J64" s="8">
        <f ca="1">VLOOKUP(J61,D81:G95,4)</f>
        <v>0.21152500000000002</v>
      </c>
      <c r="K64" s="8">
        <f ca="1">VLOOKUP(K61,D81:G95,4)</f>
        <v>0.21152500000000002</v>
      </c>
    </row>
    <row r="65" spans="1:11" s="3" customFormat="1" ht="14">
      <c r="A65" s="130" t="s">
        <v>523</v>
      </c>
      <c r="B65" s="8">
        <f>IF(Inputs!$B$29="No",'Optimal Capital Structure'!$B$42,IF(Inputs!$B$30="EBIT",IF('Optimal Capital Structure'!B54&lt;Inputs!$B$31*'Optimal Capital Structure'!B53,'Optimal Capital Structure'!$B$42,'Optimal Capital Structure'!$B$42*(Inputs!$B$31*'Optimal Capital Structure'!B53)/'Optimal Capital Structure'!B54),IF('Optimal Capital Structure'!B54&lt;Inputs!$B$31*'Optimal Capital Structure'!B51,'Optimal Capital Structure'!$B$42,'Optimal Capital Structure'!$B$42*(Inputs!$B$31*'Optimal Capital Structure'!B51)/'Optimal Capital Structure'!B54)))</f>
        <v>0.4</v>
      </c>
      <c r="C65" s="8">
        <f>IF(Inputs!$B$29="No",'Optimal Capital Structure'!$B$42,IF(Inputs!$B$30="EBIT",IF('Optimal Capital Structure'!C54&lt;Inputs!$B$31*'Optimal Capital Structure'!C53,'Optimal Capital Structure'!$B$42,'Optimal Capital Structure'!$B$42*(Inputs!$B$31*'Optimal Capital Structure'!C53)/'Optimal Capital Structure'!C54),IF('Optimal Capital Structure'!C54&lt;Inputs!$B$31*'Optimal Capital Structure'!C51,'Optimal Capital Structure'!$B$42,'Optimal Capital Structure'!$B$42*(Inputs!$B$31*'Optimal Capital Structure'!C51)/'Optimal Capital Structure'!C54)))</f>
        <v>0.4</v>
      </c>
      <c r="D65" s="8">
        <f>IF(Inputs!$B$29="No",'Optimal Capital Structure'!$B$42,IF(Inputs!$B$30="EBIT",IF('Optimal Capital Structure'!D54&lt;Inputs!$B$31*'Optimal Capital Structure'!D53,'Optimal Capital Structure'!$B$42,'Optimal Capital Structure'!$B$42*(Inputs!$B$31*'Optimal Capital Structure'!D53)/'Optimal Capital Structure'!D54),IF('Optimal Capital Structure'!D54&lt;Inputs!$B$31*'Optimal Capital Structure'!D51,'Optimal Capital Structure'!$B$42,'Optimal Capital Structure'!$B$42*(Inputs!$B$31*'Optimal Capital Structure'!D51)/'Optimal Capital Structure'!D54)))</f>
        <v>0.4</v>
      </c>
      <c r="E65" s="8">
        <f>IF(Inputs!$B$29="No",'Optimal Capital Structure'!$B$42,IF(Inputs!$B$30="EBIT",IF('Optimal Capital Structure'!E54&lt;Inputs!$B$31*'Optimal Capital Structure'!E53,'Optimal Capital Structure'!$B$42,'Optimal Capital Structure'!$B$42*(Inputs!$B$31*'Optimal Capital Structure'!E53)/'Optimal Capital Structure'!E54),IF('Optimal Capital Structure'!E54&lt;Inputs!$B$31*'Optimal Capital Structure'!E51,'Optimal Capital Structure'!$B$42,'Optimal Capital Structure'!$B$42*(Inputs!$B$31*'Optimal Capital Structure'!E51)/'Optimal Capital Structure'!E54)))</f>
        <v>0.4</v>
      </c>
      <c r="F65" s="8">
        <f>IF(Inputs!$B$29="No",'Optimal Capital Structure'!$B$42,IF(Inputs!$B$30="EBIT",IF('Optimal Capital Structure'!F54&lt;Inputs!$B$31*'Optimal Capital Structure'!F53,'Optimal Capital Structure'!$B$42,'Optimal Capital Structure'!$B$42*(Inputs!$B$31*'Optimal Capital Structure'!F53)/'Optimal Capital Structure'!F54),IF('Optimal Capital Structure'!F54&lt;Inputs!$B$31*'Optimal Capital Structure'!F51,'Optimal Capital Structure'!$B$42,'Optimal Capital Structure'!$B$42*(Inputs!$B$31*'Optimal Capital Structure'!F51)/'Optimal Capital Structure'!F54)))</f>
        <v>0.4</v>
      </c>
      <c r="G65" s="8">
        <f>IF(Inputs!$B$29="No",'Optimal Capital Structure'!$B$42,IF(Inputs!$B$30="EBIT",IF('Optimal Capital Structure'!G54&lt;Inputs!$B$31*'Optimal Capital Structure'!G53,'Optimal Capital Structure'!$B$42,'Optimal Capital Structure'!$B$42*(Inputs!$B$31*'Optimal Capital Structure'!G53)/'Optimal Capital Structure'!G54),IF('Optimal Capital Structure'!G54&lt;Inputs!$B$31*'Optimal Capital Structure'!G51,'Optimal Capital Structure'!$B$42,'Optimal Capital Structure'!$B$42*(Inputs!$B$31*'Optimal Capital Structure'!G51)/'Optimal Capital Structure'!G54)))</f>
        <v>0.4</v>
      </c>
      <c r="H65" s="8">
        <f>IF(Inputs!$B$29="No",'Optimal Capital Structure'!$B$42,IF(Inputs!$B$30="EBIT",IF('Optimal Capital Structure'!H54&lt;Inputs!$B$31*'Optimal Capital Structure'!H53,'Optimal Capital Structure'!$B$42,'Optimal Capital Structure'!$B$42*(Inputs!$B$31*'Optimal Capital Structure'!H53)/'Optimal Capital Structure'!H54),IF('Optimal Capital Structure'!H54&lt;Inputs!$B$31*'Optimal Capital Structure'!H51,'Optimal Capital Structure'!$B$42,'Optimal Capital Structure'!$B$42*(Inputs!$B$31*'Optimal Capital Structure'!H51)/'Optimal Capital Structure'!H54)))</f>
        <v>0.4</v>
      </c>
      <c r="I65" s="8">
        <f>IF(Inputs!$B$29="No",'Optimal Capital Structure'!$B$42,IF(Inputs!$B$30="EBIT",IF('Optimal Capital Structure'!I54&lt;Inputs!$B$31*'Optimal Capital Structure'!I53,'Optimal Capital Structure'!$B$42,'Optimal Capital Structure'!$B$42*(Inputs!$B$31*'Optimal Capital Structure'!I53)/'Optimal Capital Structure'!I54),IF('Optimal Capital Structure'!I54&lt;Inputs!$B$31*'Optimal Capital Structure'!I51,'Optimal Capital Structure'!$B$42,'Optimal Capital Structure'!$B$42*(Inputs!$B$31*'Optimal Capital Structure'!I51)/'Optimal Capital Structure'!I54)))</f>
        <v>0.4</v>
      </c>
      <c r="J65" s="8">
        <f>IF(Inputs!$B$29="No",'Optimal Capital Structure'!$B$42,IF(Inputs!$B$30="EBIT",IF('Optimal Capital Structure'!J54&lt;Inputs!$B$31*'Optimal Capital Structure'!J53,'Optimal Capital Structure'!$B$42,'Optimal Capital Structure'!$B$42*(Inputs!$B$31*'Optimal Capital Structure'!J53)/'Optimal Capital Structure'!J54),IF('Optimal Capital Structure'!J54&lt;Inputs!$B$31*'Optimal Capital Structure'!J51,'Optimal Capital Structure'!$B$42,'Optimal Capital Structure'!$B$42*(Inputs!$B$31*'Optimal Capital Structure'!J51)/'Optimal Capital Structure'!J54)))</f>
        <v>0.4</v>
      </c>
      <c r="K65" s="8">
        <f>IF(Inputs!$B$29="No",'Optimal Capital Structure'!$B$42,IF(Inputs!$B$30="EBIT",IF('Optimal Capital Structure'!K54&lt;Inputs!$B$31*'Optimal Capital Structure'!K53,'Optimal Capital Structure'!$B$42,'Optimal Capital Structure'!$B$42*(Inputs!$B$31*'Optimal Capital Structure'!K53)/'Optimal Capital Structure'!K54),IF('Optimal Capital Structure'!K54&lt;Inputs!$B$31*'Optimal Capital Structure'!K51,'Optimal Capital Structure'!$B$42,'Optimal Capital Structure'!$B$42*(Inputs!$B$31*'Optimal Capital Structure'!K51)/'Optimal Capital Structure'!K54)))</f>
        <v>0.4</v>
      </c>
    </row>
    <row r="66" spans="1:11" s="3" customFormat="1" ht="14">
      <c r="A66" s="130" t="s">
        <v>522</v>
      </c>
      <c r="B66" s="8">
        <f t="shared" ref="B66:K66" ca="1" si="13">IF(B54&lt;B53,$B$42,$B$42*(B53/B54))</f>
        <v>0.4</v>
      </c>
      <c r="C66" s="8">
        <f t="shared" ca="1" si="13"/>
        <v>0.4</v>
      </c>
      <c r="D66" s="8">
        <f t="shared" ca="1" si="13"/>
        <v>0.4</v>
      </c>
      <c r="E66" s="8">
        <f t="shared" ca="1" si="13"/>
        <v>0.25542379320737041</v>
      </c>
      <c r="F66" s="8">
        <f t="shared" ca="1" si="13"/>
        <v>0.19156784490552781</v>
      </c>
      <c r="G66" s="8">
        <f t="shared" ca="1" si="13"/>
        <v>0.15325427592442226</v>
      </c>
      <c r="H66" s="8">
        <f t="shared" ca="1" si="13"/>
        <v>0.1277118966036852</v>
      </c>
      <c r="I66" s="8">
        <f t="shared" ca="1" si="13"/>
        <v>0.1094673399460159</v>
      </c>
      <c r="J66" s="8">
        <f t="shared" ca="1" si="13"/>
        <v>7.472470466021526E-2</v>
      </c>
      <c r="K66" s="8">
        <f t="shared" ca="1" si="13"/>
        <v>6.6421959697969116E-2</v>
      </c>
    </row>
    <row r="67" spans="1:11" s="3" customFormat="1" ht="14">
      <c r="A67" s="130" t="s">
        <v>525</v>
      </c>
      <c r="B67" s="8">
        <f ca="1">MIN(B65:B66)</f>
        <v>0.4</v>
      </c>
      <c r="C67" s="8">
        <f t="shared" ref="C67:K67" ca="1" si="14">MIN(C65:C66)</f>
        <v>0.4</v>
      </c>
      <c r="D67" s="8">
        <f t="shared" ca="1" si="14"/>
        <v>0.4</v>
      </c>
      <c r="E67" s="8">
        <f t="shared" ca="1" si="14"/>
        <v>0.25542379320737041</v>
      </c>
      <c r="F67" s="8">
        <f t="shared" ca="1" si="14"/>
        <v>0.19156784490552781</v>
      </c>
      <c r="G67" s="8">
        <f t="shared" ca="1" si="14"/>
        <v>0.15325427592442226</v>
      </c>
      <c r="H67" s="8">
        <f t="shared" ca="1" si="14"/>
        <v>0.1277118966036852</v>
      </c>
      <c r="I67" s="8">
        <f t="shared" ca="1" si="14"/>
        <v>0.1094673399460159</v>
      </c>
      <c r="J67" s="8">
        <f t="shared" ca="1" si="14"/>
        <v>7.472470466021526E-2</v>
      </c>
      <c r="K67" s="8">
        <f t="shared" ca="1" si="14"/>
        <v>6.6421959697969116E-2</v>
      </c>
    </row>
    <row r="68" spans="1:11" s="3" customFormat="1" ht="14">
      <c r="A68" s="130"/>
      <c r="B68" s="7"/>
      <c r="C68" s="7"/>
      <c r="D68" s="7"/>
      <c r="E68" s="219"/>
      <c r="F68" s="220" t="s">
        <v>83</v>
      </c>
      <c r="G68" s="7"/>
      <c r="H68" s="7"/>
      <c r="I68" s="7"/>
      <c r="J68" s="7"/>
      <c r="K68" s="7"/>
    </row>
    <row r="69" spans="1:11" s="3" customFormat="1" ht="14">
      <c r="A69" s="130" t="s">
        <v>110</v>
      </c>
      <c r="B69" s="8">
        <v>0</v>
      </c>
      <c r="C69" s="8">
        <v>0.1</v>
      </c>
      <c r="D69" s="8">
        <v>0.2</v>
      </c>
      <c r="E69" s="8">
        <v>0.3</v>
      </c>
      <c r="F69" s="8">
        <v>0.4</v>
      </c>
      <c r="G69" s="8">
        <v>0.5</v>
      </c>
      <c r="H69" s="8">
        <v>0.6</v>
      </c>
      <c r="I69" s="8">
        <v>0.7</v>
      </c>
      <c r="J69" s="8">
        <v>0.8</v>
      </c>
      <c r="K69" s="8">
        <v>0.9</v>
      </c>
    </row>
    <row r="70" spans="1:11" s="3" customFormat="1" ht="14">
      <c r="A70" s="130" t="s">
        <v>111</v>
      </c>
      <c r="B70" s="8">
        <f t="shared" ref="B70:K70" si="15">B69/(1-B69)</f>
        <v>0</v>
      </c>
      <c r="C70" s="8">
        <f t="shared" si="15"/>
        <v>0.11111111111111112</v>
      </c>
      <c r="D70" s="8">
        <f t="shared" si="15"/>
        <v>0.25</v>
      </c>
      <c r="E70" s="8">
        <f t="shared" si="15"/>
        <v>0.4285714285714286</v>
      </c>
      <c r="F70" s="8">
        <f t="shared" si="15"/>
        <v>0.66666666666666674</v>
      </c>
      <c r="G70" s="8">
        <f t="shared" si="15"/>
        <v>1</v>
      </c>
      <c r="H70" s="8">
        <f t="shared" si="15"/>
        <v>1.4999999999999998</v>
      </c>
      <c r="I70" s="8">
        <f t="shared" si="15"/>
        <v>2.333333333333333</v>
      </c>
      <c r="J70" s="8">
        <f t="shared" si="15"/>
        <v>4.0000000000000009</v>
      </c>
      <c r="K70" s="8">
        <f t="shared" si="15"/>
        <v>9.0000000000000018</v>
      </c>
    </row>
    <row r="71" spans="1:11" s="3" customFormat="1" ht="14">
      <c r="A71" s="130" t="s">
        <v>112</v>
      </c>
      <c r="B71" s="55">
        <f t="shared" ref="B71:K71" si="16">B47</f>
        <v>0</v>
      </c>
      <c r="C71" s="55">
        <f t="shared" ca="1" si="16"/>
        <v>55420.252108505578</v>
      </c>
      <c r="D71" s="55">
        <f t="shared" ca="1" si="16"/>
        <v>110840.50421701116</v>
      </c>
      <c r="E71" s="55">
        <f t="shared" ca="1" si="16"/>
        <v>166260.75632551673</v>
      </c>
      <c r="F71" s="55">
        <f t="shared" ca="1" si="16"/>
        <v>221681.00843402231</v>
      </c>
      <c r="G71" s="55">
        <f t="shared" ca="1" si="16"/>
        <v>277101.26054252789</v>
      </c>
      <c r="H71" s="55">
        <f t="shared" ca="1" si="16"/>
        <v>332521.51265103347</v>
      </c>
      <c r="I71" s="55">
        <f t="shared" ca="1" si="16"/>
        <v>387941.76475953904</v>
      </c>
      <c r="J71" s="55">
        <f t="shared" ca="1" si="16"/>
        <v>443362.01686804462</v>
      </c>
      <c r="K71" s="55">
        <f t="shared" ca="1" si="16"/>
        <v>498782.2689765502</v>
      </c>
    </row>
    <row r="72" spans="1:11" s="3" customFormat="1" ht="14">
      <c r="A72" s="130" t="s">
        <v>126</v>
      </c>
      <c r="B72" s="8">
        <f t="shared" ref="B72:K72" ca="1" si="17">B49</f>
        <v>7.8718515259768834E-2</v>
      </c>
      <c r="C72" s="8">
        <f t="shared" ca="1" si="17"/>
        <v>8.2266416277086765E-2</v>
      </c>
      <c r="D72" s="8">
        <f t="shared" ca="1" si="17"/>
        <v>8.6701292548734155E-2</v>
      </c>
      <c r="E72" s="8">
        <f t="shared" ca="1" si="17"/>
        <v>9.5700761069734991E-2</v>
      </c>
      <c r="F72" s="8">
        <f t="shared" ca="1" si="17"/>
        <v>0.10740088791469082</v>
      </c>
      <c r="G72" s="8">
        <f t="shared" ca="1" si="17"/>
        <v>0.12378106549762899</v>
      </c>
      <c r="H72" s="8">
        <f t="shared" ca="1" si="17"/>
        <v>0.14835133187203625</v>
      </c>
      <c r="I72" s="8">
        <f t="shared" ca="1" si="17"/>
        <v>0.18930177582938165</v>
      </c>
      <c r="J72" s="8">
        <f t="shared" ca="1" si="17"/>
        <v>0.27568562495787874</v>
      </c>
      <c r="K72" s="8">
        <f t="shared" ca="1" si="17"/>
        <v>0.5258712499157574</v>
      </c>
    </row>
    <row r="73" spans="1:11" s="3" customFormat="1" ht="14">
      <c r="A73" s="130" t="s">
        <v>127</v>
      </c>
      <c r="B73" s="8">
        <f ca="1">B64*(1-B67)</f>
        <v>1.8539999999999997E-2</v>
      </c>
      <c r="C73" s="8">
        <f t="shared" ref="C73:K73" ca="1" si="18">C64*(1-C67)</f>
        <v>1.8539999999999997E-2</v>
      </c>
      <c r="D73" s="8">
        <f t="shared" ca="1" si="18"/>
        <v>2.1239999999999995E-2</v>
      </c>
      <c r="E73" s="8">
        <f t="shared" ca="1" si="18"/>
        <v>0.12286903492466124</v>
      </c>
      <c r="F73" s="8">
        <f t="shared" ca="1" si="18"/>
        <v>0.13340646369349593</v>
      </c>
      <c r="G73" s="8">
        <f t="shared" ca="1" si="18"/>
        <v>0.13972892095479675</v>
      </c>
      <c r="H73" s="8">
        <f t="shared" ca="1" si="18"/>
        <v>0.14394389246233061</v>
      </c>
      <c r="I73" s="8">
        <f t="shared" ca="1" si="18"/>
        <v>0.14695458639628339</v>
      </c>
      <c r="J73" s="8">
        <f t="shared" ca="1" si="18"/>
        <v>0.19571885684674797</v>
      </c>
      <c r="K73" s="8">
        <f t="shared" ca="1" si="18"/>
        <v>0.19747509497488708</v>
      </c>
    </row>
    <row r="74" spans="1:11" s="3" customFormat="1" ht="14">
      <c r="A74" s="130" t="s">
        <v>84</v>
      </c>
      <c r="B74" s="8">
        <f t="shared" ref="B74:K74" ca="1" si="19">B72*(1-B69)+B73*B69</f>
        <v>7.8718515259768834E-2</v>
      </c>
      <c r="C74" s="8">
        <f t="shared" ca="1" si="19"/>
        <v>7.589377464937809E-2</v>
      </c>
      <c r="D74" s="8">
        <f t="shared" ca="1" si="19"/>
        <v>7.3609034038987331E-2</v>
      </c>
      <c r="E74" s="8">
        <f t="shared" ca="1" si="19"/>
        <v>0.10385124322621286</v>
      </c>
      <c r="F74" s="8">
        <f t="shared" ca="1" si="19"/>
        <v>0.11780311822621287</v>
      </c>
      <c r="G74" s="8">
        <f t="shared" ca="1" si="19"/>
        <v>0.13175499322621287</v>
      </c>
      <c r="H74" s="8">
        <f t="shared" ca="1" si="19"/>
        <v>0.14570686822621287</v>
      </c>
      <c r="I74" s="8">
        <f t="shared" ca="1" si="19"/>
        <v>0.15965874322621287</v>
      </c>
      <c r="J74" s="8">
        <f t="shared" ca="1" si="19"/>
        <v>0.21171221046897415</v>
      </c>
      <c r="K74" s="8">
        <f t="shared" ca="1" si="19"/>
        <v>0.23031471046897409</v>
      </c>
    </row>
    <row r="75" spans="1:11" s="3" customFormat="1" ht="14">
      <c r="A75" s="130"/>
      <c r="B75" s="7">
        <f ca="1">IF(B76=MAX($B76:$K76),1,0)</f>
        <v>0</v>
      </c>
      <c r="C75" s="7">
        <f t="shared" ref="C75:K75" ca="1" si="20">IF(C76=MAX($B76:$K76),1,0)</f>
        <v>0</v>
      </c>
      <c r="D75" s="7">
        <f t="shared" ca="1" si="20"/>
        <v>1</v>
      </c>
      <c r="E75" s="7">
        <f t="shared" ca="1" si="20"/>
        <v>0</v>
      </c>
      <c r="F75" s="7">
        <f t="shared" ca="1" si="20"/>
        <v>0</v>
      </c>
      <c r="G75" s="7">
        <f t="shared" ca="1" si="20"/>
        <v>0</v>
      </c>
      <c r="H75" s="7">
        <f t="shared" ca="1" si="20"/>
        <v>0</v>
      </c>
      <c r="I75" s="7">
        <f t="shared" ca="1" si="20"/>
        <v>0</v>
      </c>
      <c r="J75" s="7">
        <f t="shared" ca="1" si="20"/>
        <v>0</v>
      </c>
      <c r="K75" s="7">
        <f t="shared" ca="1" si="20"/>
        <v>0</v>
      </c>
    </row>
    <row r="76" spans="1:11" s="3" customFormat="1" ht="14">
      <c r="A76" s="130" t="s">
        <v>10</v>
      </c>
      <c r="B76" s="55">
        <f ca="1">IF(Inputs!$B$33="No",'Optimal Capital Structure'!$E$21*(1+('Optimal Capital Structure'!$E$19-'Optimal Capital Structure'!B74)/('Optimal Capital Structure'!B74-'Optimal Capital Structure'!$E$20)),IF($J$17="NA",'Optimal Capital Structure'!$E$21*(1+('Optimal Capital Structure'!$E$19-'Optimal Capital Structure'!B74)/('Optimal Capital Structure'!B74-'Optimal Capital Structure'!$E$20)),(B53*(1-$B$42)-($I$7-$I$5))*(1+$J$17)/(B74-$J$17)))</f>
        <v>514875.63120357925</v>
      </c>
      <c r="C76" s="55">
        <f ca="1">IF(Inputs!$B$33="No",'Optimal Capital Structure'!$E$21*(1+('Optimal Capital Structure'!$E$19-'Optimal Capital Structure'!C74)/('Optimal Capital Structure'!C74-'Optimal Capital Structure'!$E$20)),IF($J$17="NA",'Optimal Capital Structure'!$E$21*(1+('Optimal Capital Structure'!$E$19-'Optimal Capital Structure'!C74)/('Optimal Capital Structure'!C74-'Optimal Capital Structure'!$E$20)),(C53*(1-$B$42)-($I$7-$I$5))*(1+$J$17)/(C74-$J$17)))</f>
        <v>543736.14254412567</v>
      </c>
      <c r="D76" s="55">
        <f ca="1">IF(Inputs!$B$33="No",'Optimal Capital Structure'!$E$21*(1+('Optimal Capital Structure'!$E$19-'Optimal Capital Structure'!D74)/('Optimal Capital Structure'!D74-'Optimal Capital Structure'!$E$20)),IF($J$17="NA",'Optimal Capital Structure'!$E$21*(1+('Optimal Capital Structure'!$E$19-'Optimal Capital Structure'!D74)/('Optimal Capital Structure'!D74-'Optimal Capital Structure'!$E$20)),(D53*(1-$B$42)-($I$7-$I$5))*(1+$J$17)/(D74-$J$17)))</f>
        <v>569558.65324348898</v>
      </c>
      <c r="E76" s="55">
        <f ca="1">IF(Inputs!$B$33="No",'Optimal Capital Structure'!$E$21*(1+('Optimal Capital Structure'!$E$19-'Optimal Capital Structure'!E74)/('Optimal Capital Structure'!E74-'Optimal Capital Structure'!$E$20)),IF($J$17="NA",'Optimal Capital Structure'!$E$21*(1+('Optimal Capital Structure'!$E$19-'Optimal Capital Structure'!E74)/('Optimal Capital Structure'!E74-'Optimal Capital Structure'!$E$20)),(E53*(1-$B$42)-($I$7-$I$5))*(1+$J$17)/(E74-$J$17)))</f>
        <v>349718.97710646223</v>
      </c>
      <c r="F76" s="55">
        <f ca="1">IF(Inputs!$B$33="No",'Optimal Capital Structure'!$E$21*(1+('Optimal Capital Structure'!$E$19-'Optimal Capital Structure'!F74)/('Optimal Capital Structure'!F74-'Optimal Capital Structure'!$E$20)),IF($J$17="NA",'Optimal Capital Structure'!$E$21*(1+('Optimal Capital Structure'!$E$19-'Optimal Capital Structure'!F74)/('Optimal Capital Structure'!F74-'Optimal Capital Structure'!$E$20)),(F53*(1-$B$42)-($I$7-$I$5))*(1+$J$17)/(F74-$J$17)))</f>
        <v>296857.9736270415</v>
      </c>
      <c r="G76" s="55">
        <f ca="1">IF(Inputs!$B$33="No",'Optimal Capital Structure'!$E$21*(1+('Optimal Capital Structure'!$E$19-'Optimal Capital Structure'!G74)/('Optimal Capital Structure'!G74-'Optimal Capital Structure'!$E$20)),IF($J$17="NA",'Optimal Capital Structure'!$E$21*(1+('Optimal Capital Structure'!$E$19-'Optimal Capital Structure'!G74)/('Optimal Capital Structure'!G74-'Optimal Capital Structure'!$E$20)),(G53*(1-$B$42)-($I$7-$I$5))*(1+$J$17)/(G74-$J$17)))</f>
        <v>257878.86106919491</v>
      </c>
      <c r="H76" s="55">
        <f ca="1">IF(Inputs!$B$33="No",'Optimal Capital Structure'!$E$21*(1+('Optimal Capital Structure'!$E$19-'Optimal Capital Structure'!H74)/('Optimal Capital Structure'!H74-'Optimal Capital Structure'!$E$20)),IF($J$17="NA",'Optimal Capital Structure'!$E$21*(1+('Optimal Capital Structure'!$E$19-'Optimal Capital Structure'!H74)/('Optimal Capital Structure'!H74-'Optimal Capital Structure'!$E$20)),(H53*(1-$B$42)-($I$7-$I$5))*(1+$J$17)/(H74-$J$17)))</f>
        <v>227948.01195989916</v>
      </c>
      <c r="I76" s="55">
        <f ca="1">IF(Inputs!$B$33="No",'Optimal Capital Structure'!$E$21*(1+('Optimal Capital Structure'!$E$19-'Optimal Capital Structure'!I74)/('Optimal Capital Structure'!I74-'Optimal Capital Structure'!$E$20)),IF($J$17="NA",'Optimal Capital Structure'!$E$21*(1+('Optimal Capital Structure'!$E$19-'Optimal Capital Structure'!I74)/('Optimal Capital Structure'!I74-'Optimal Capital Structure'!$E$20)),(I53*(1-$B$42)-($I$7-$I$5))*(1+$J$17)/(I74-$J$17)))</f>
        <v>204242.49644235647</v>
      </c>
      <c r="J76" s="55">
        <f ca="1">IF(Inputs!$B$33="No",'Optimal Capital Structure'!$E$21*(1+('Optimal Capital Structure'!$E$19-'Optimal Capital Structure'!J74)/('Optimal Capital Structure'!J74-'Optimal Capital Structure'!$E$20)),IF($J$17="NA",'Optimal Capital Structure'!$E$21*(1+('Optimal Capital Structure'!$E$19-'Optimal Capital Structure'!J74)/('Optimal Capital Structure'!J74-'Optimal Capital Structure'!$E$20)),(J53*(1-$B$42)-($I$7-$I$5))*(1+$J$17)/(J74-$J$17)))</f>
        <v>147148.87153254761</v>
      </c>
      <c r="K76" s="55">
        <f ca="1">IF(Inputs!$B$33="No",'Optimal Capital Structure'!$E$21*(1+('Optimal Capital Structure'!$E$19-'Optimal Capital Structure'!K74)/('Optimal Capital Structure'!K74-'Optimal Capital Structure'!$E$20)),IF($J$17="NA",'Optimal Capital Structure'!$E$21*(1+('Optimal Capital Structure'!$E$19-'Optimal Capital Structure'!K74)/('Optimal Capital Structure'!K74-'Optimal Capital Structure'!$E$20)),(K53*(1-$B$42)-($I$7-$I$5))*(1+$J$17)/(K74-$J$17)))</f>
        <v>133783.92876834678</v>
      </c>
    </row>
    <row r="77" spans="1:11" s="3" customFormat="1" ht="14">
      <c r="A77" s="34"/>
      <c r="B77" s="35"/>
      <c r="C77" s="35"/>
      <c r="D77" s="35"/>
      <c r="E77" s="35"/>
      <c r="F77" s="35"/>
      <c r="G77" s="35"/>
      <c r="H77" s="35"/>
      <c r="I77" s="35"/>
      <c r="J77" s="35"/>
      <c r="K77" s="35"/>
    </row>
    <row r="78" spans="1:11" s="3" customFormat="1" ht="14"/>
    <row r="79" spans="1:11" s="3" customFormat="1" ht="14">
      <c r="D79" s="51" t="s">
        <v>128</v>
      </c>
      <c r="E79" s="51" t="s">
        <v>128</v>
      </c>
      <c r="F79" s="51" t="s">
        <v>129</v>
      </c>
      <c r="G79" s="51" t="s">
        <v>130</v>
      </c>
      <c r="H79" s="82" t="s">
        <v>233</v>
      </c>
    </row>
    <row r="80" spans="1:11" s="3" customFormat="1" ht="14">
      <c r="D80" s="52" t="s">
        <v>131</v>
      </c>
      <c r="E80" s="52" t="s">
        <v>132</v>
      </c>
      <c r="F80" s="52"/>
      <c r="G80" s="52"/>
      <c r="H80" s="83" t="s">
        <v>113</v>
      </c>
    </row>
    <row r="81" spans="4:8" s="3" customFormat="1" ht="14">
      <c r="D81" s="7">
        <f>IF(Inputs!$B$41=1,'Default Spreads and Ratios'!A15,'Default Spreads and Ratios'!A34)</f>
        <v>-100000</v>
      </c>
      <c r="E81" s="7">
        <f>IF(Inputs!$B$41=1,'Default Spreads and Ratios'!B15,'Default Spreads and Ratios'!B34)</f>
        <v>0.19999900000000001</v>
      </c>
      <c r="F81" s="7" t="str">
        <f>IF(Inputs!$B$41=1,'Default Spreads and Ratios'!C15,'Default Spreads and Ratios'!C34)</f>
        <v>D2/D</v>
      </c>
      <c r="G81" s="54">
        <f>IF(Inputs!$B$41=1,'Default Spreads and Ratios'!D15+$F$7+Inputs!$B$38,'Default Spreads and Ratios'!D34+$F$7+Inputs!$B$38)</f>
        <v>0.21152500000000002</v>
      </c>
      <c r="H81" s="79">
        <f>IF(Inputs!$B$41=1,'Default Spreads and Ratios'!E15,'Default Spreads and Ratios'!E34)</f>
        <v>0</v>
      </c>
    </row>
    <row r="82" spans="4:8" s="3" customFormat="1" ht="14">
      <c r="D82" s="7">
        <f>IF(Inputs!$B$41=1,'Default Spreads and Ratios'!A16,'Default Spreads and Ratios'!A35)</f>
        <v>0.2</v>
      </c>
      <c r="E82" s="7">
        <f>IF(Inputs!$B$41=1,'Default Spreads and Ratios'!B16,'Default Spreads and Ratios'!B35)</f>
        <v>0.64999899999999999</v>
      </c>
      <c r="F82" s="7" t="str">
        <f>IF(Inputs!$B$41=1,'Default Spreads and Ratios'!C16,'Default Spreads and Ratios'!C35)</f>
        <v>C2/C</v>
      </c>
      <c r="G82" s="54">
        <f>IF(Inputs!$B$41=1,'Default Spreads and Ratios'!D16+$F$7+Inputs!$B$38,'Default Spreads and Ratios'!D35+$F$7+Inputs!$B$38)</f>
        <v>0.16501874999999999</v>
      </c>
      <c r="H82" s="81">
        <f>IF(Inputs!$B$41=1,'Default Spreads and Ratios'!E16,'Default Spreads and Ratios'!E35)</f>
        <v>0</v>
      </c>
    </row>
    <row r="83" spans="4:8" s="3" customFormat="1" ht="14">
      <c r="D83" s="7">
        <f>IF(Inputs!$B$41=1,'Default Spreads and Ratios'!A17,'Default Spreads and Ratios'!A36)</f>
        <v>0.65</v>
      </c>
      <c r="E83" s="7">
        <f>IF(Inputs!$B$41=1,'Default Spreads and Ratios'!B17,'Default Spreads and Ratios'!B36)</f>
        <v>0.79999900000000002</v>
      </c>
      <c r="F83" s="7" t="str">
        <f>IF(Inputs!$B$41=1,'Default Spreads and Ratios'!C17,'Default Spreads and Ratios'!C36)</f>
        <v>Ca2/CC</v>
      </c>
      <c r="G83" s="54">
        <f>IF(Inputs!$B$41=1,'Default Spreads and Ratios'!D17+$F$7+Inputs!$B$38,'Default Spreads and Ratios'!D36+$F$7+Inputs!$B$38)</f>
        <v>0.1318</v>
      </c>
      <c r="H83" s="81">
        <f>IF(Inputs!$B$41=1,'Default Spreads and Ratios'!E17,'Default Spreads and Ratios'!E36)</f>
        <v>0</v>
      </c>
    </row>
    <row r="84" spans="4:8" s="3" customFormat="1" ht="14">
      <c r="D84" s="7">
        <f>IF(Inputs!$B$41=1,'Default Spreads and Ratios'!A18,'Default Spreads and Ratios'!A37)</f>
        <v>0.8</v>
      </c>
      <c r="E84" s="7">
        <f>IF(Inputs!$B$41=1,'Default Spreads and Ratios'!B18,'Default Spreads and Ratios'!B37)</f>
        <v>1.2499990000000001</v>
      </c>
      <c r="F84" s="7" t="str">
        <f>IF(Inputs!$B$41=1,'Default Spreads and Ratios'!C18,'Default Spreads and Ratios'!C37)</f>
        <v>Caa/CCC</v>
      </c>
      <c r="G84" s="54">
        <f>IF(Inputs!$B$41=1,'Default Spreads and Ratios'!D18+$F$7+Inputs!$B$38,'Default Spreads and Ratios'!D37+$F$7+Inputs!$B$38)</f>
        <v>0.11186875</v>
      </c>
      <c r="H84" s="81">
        <f>IF(Inputs!$B$41=1,'Default Spreads and Ratios'!E18,'Default Spreads and Ratios'!E37)</f>
        <v>0</v>
      </c>
    </row>
    <row r="85" spans="4:8" s="3" customFormat="1" ht="14">
      <c r="D85" s="7">
        <f>IF(Inputs!$B$41=1,'Default Spreads and Ratios'!A19,'Default Spreads and Ratios'!A38)</f>
        <v>1.25</v>
      </c>
      <c r="E85" s="7">
        <f>IF(Inputs!$B$41=1,'Default Spreads and Ratios'!B19,'Default Spreads and Ratios'!B38)</f>
        <v>1.4999990000000001</v>
      </c>
      <c r="F85" s="7" t="str">
        <f>IF(Inputs!$B$41=1,'Default Spreads and Ratios'!C19,'Default Spreads and Ratios'!C38)</f>
        <v>B3/B-</v>
      </c>
      <c r="G85" s="54">
        <f>IF(Inputs!$B$41=1,'Default Spreads and Ratios'!D19+$F$7+Inputs!$B$38,'Default Spreads and Ratios'!D38+$F$7+Inputs!$B$38)</f>
        <v>6.9156250000000002E-2</v>
      </c>
      <c r="H85" s="81">
        <f>IF(Inputs!$B$41=1,'Default Spreads and Ratios'!E19,'Default Spreads and Ratios'!E38)</f>
        <v>0</v>
      </c>
    </row>
    <row r="86" spans="4:8" s="3" customFormat="1" ht="14">
      <c r="D86" s="7">
        <f>IF(Inputs!$B$41=1,'Default Spreads and Ratios'!A20,'Default Spreads and Ratios'!A39)</f>
        <v>1.5</v>
      </c>
      <c r="E86" s="7">
        <f>IF(Inputs!$B$41=1,'Default Spreads and Ratios'!B20,'Default Spreads and Ratios'!B39)</f>
        <v>1.7499990000000001</v>
      </c>
      <c r="F86" s="7" t="str">
        <f>IF(Inputs!$B$41=1,'Default Spreads and Ratios'!C20,'Default Spreads and Ratios'!C39)</f>
        <v>B2/B</v>
      </c>
      <c r="G86" s="54">
        <f>IF(Inputs!$B$41=1,'Default Spreads and Ratios'!D20+$F$7+Inputs!$B$38,'Default Spreads and Ratios'!D39+$F$7+Inputs!$B$38)</f>
        <v>6.1218749999999988E-2</v>
      </c>
      <c r="H86" s="81">
        <f>IF(Inputs!$B$41=1,'Default Spreads and Ratios'!E20,'Default Spreads and Ratios'!E39)</f>
        <v>0</v>
      </c>
    </row>
    <row r="87" spans="4:8" s="3" customFormat="1" ht="14">
      <c r="D87" s="7">
        <f>IF(Inputs!$B$41=1,'Default Spreads and Ratios'!A21,'Default Spreads and Ratios'!A40)</f>
        <v>1.75</v>
      </c>
      <c r="E87" s="7">
        <f>IF(Inputs!$B$41=1,'Default Spreads and Ratios'!B21,'Default Spreads and Ratios'!B40)</f>
        <v>1.9999990000000001</v>
      </c>
      <c r="F87" s="7" t="str">
        <f>IF(Inputs!$B$41=1,'Default Spreads and Ratios'!C21,'Default Spreads and Ratios'!C40)</f>
        <v>B1/B+</v>
      </c>
      <c r="G87" s="54">
        <f>IF(Inputs!$B$41=1,'Default Spreads and Ratios'!D21+$F$7+Inputs!$B$38,'Default Spreads and Ratios'!D40+$F$7+Inputs!$B$38)</f>
        <v>5.5265624999999999E-2</v>
      </c>
      <c r="H87" s="81">
        <f>IF(Inputs!$B$41=1,'Default Spreads and Ratios'!E21,'Default Spreads and Ratios'!E40)</f>
        <v>0</v>
      </c>
    </row>
    <row r="88" spans="4:8" s="3" customFormat="1" ht="14">
      <c r="D88" s="7">
        <f>IF(Inputs!$B$41=1,'Default Spreads and Ratios'!A22,'Default Spreads and Ratios'!A41)</f>
        <v>2</v>
      </c>
      <c r="E88" s="7">
        <f>IF(Inputs!$B$41=1,'Default Spreads and Ratios'!B22,'Default Spreads and Ratios'!B41)</f>
        <v>2.2499999000000002</v>
      </c>
      <c r="F88" s="7" t="str">
        <f>IF(Inputs!$B$41=1,'Default Spreads and Ratios'!C22,'Default Spreads and Ratios'!C41)</f>
        <v>Ba2/BB</v>
      </c>
      <c r="G88" s="54">
        <f>IF(Inputs!$B$41=1,'Default Spreads and Ratios'!D22+$F$7+Inputs!$B$38,'Default Spreads and Ratios'!D41+$F$7+Inputs!$B$38)</f>
        <v>4.9312499999999995E-2</v>
      </c>
      <c r="H88" s="81">
        <f>IF(Inputs!$B$41=1,'Default Spreads and Ratios'!E22,'Default Spreads and Ratios'!E41)</f>
        <v>0</v>
      </c>
    </row>
    <row r="89" spans="4:8" s="3" customFormat="1" ht="14">
      <c r="D89" s="7">
        <f>IF(Inputs!$B$41=1,'Default Spreads and Ratios'!A23,'Default Spreads and Ratios'!A42)</f>
        <v>2.25</v>
      </c>
      <c r="E89" s="7">
        <f>IF(Inputs!$B$41=1,'Default Spreads and Ratios'!B23,'Default Spreads and Ratios'!B42)</f>
        <v>2.4999899999999999</v>
      </c>
      <c r="F89" s="7" t="str">
        <f>IF(Inputs!$B$41=1,'Default Spreads and Ratios'!C23,'Default Spreads and Ratios'!C42)</f>
        <v>Ba1/BB+</v>
      </c>
      <c r="G89" s="54">
        <f>IF(Inputs!$B$41=1,'Default Spreads and Ratios'!D23+$F$7+Inputs!$B$38,'Default Spreads and Ratios'!D42+$F$7+Inputs!$B$38)</f>
        <v>4.5343750000000002E-2</v>
      </c>
      <c r="H89" s="81">
        <f>IF(Inputs!$B$41=1,'Default Spreads and Ratios'!E23,'Default Spreads and Ratios'!E42)</f>
        <v>0</v>
      </c>
    </row>
    <row r="90" spans="4:8" s="3" customFormat="1" ht="14">
      <c r="D90" s="7">
        <f>IF(Inputs!$B$41=1,'Default Spreads and Ratios'!A24,'Default Spreads and Ratios'!A43)</f>
        <v>2.5</v>
      </c>
      <c r="E90" s="7">
        <f>IF(Inputs!$B$41=1,'Default Spreads and Ratios'!B24,'Default Spreads and Ratios'!B43)</f>
        <v>2.9999989999999999</v>
      </c>
      <c r="F90" s="7" t="str">
        <f>IF(Inputs!$B$41=1,'Default Spreads and Ratios'!C24,'Default Spreads and Ratios'!C43)</f>
        <v>Baa2/BBB</v>
      </c>
      <c r="G90" s="54">
        <f>IF(Inputs!$B$41=1,'Default Spreads and Ratios'!D24+$F$7+Inputs!$B$38,'Default Spreads and Ratios'!D43+$F$7+Inputs!$B$38)</f>
        <v>3.8199999999999998E-2</v>
      </c>
      <c r="H90" s="81">
        <f>IF(Inputs!$B$41=1,'Default Spreads and Ratios'!E24,'Default Spreads and Ratios'!E43)</f>
        <v>0</v>
      </c>
    </row>
    <row r="91" spans="4:8" s="3" customFormat="1" ht="14">
      <c r="D91" s="7">
        <f>IF(Inputs!$B$41=1,'Default Spreads and Ratios'!A25,'Default Spreads and Ratios'!A44)</f>
        <v>3</v>
      </c>
      <c r="E91" s="7">
        <f>IF(Inputs!$B$41=1,'Default Spreads and Ratios'!B25,'Default Spreads and Ratios'!B44)</f>
        <v>4.2499989999999999</v>
      </c>
      <c r="F91" s="7" t="str">
        <f>IF(Inputs!$B$41=1,'Default Spreads and Ratios'!C25,'Default Spreads and Ratios'!C44)</f>
        <v>A3/A-</v>
      </c>
      <c r="G91" s="54">
        <f>IF(Inputs!$B$41=1,'Default Spreads and Ratios'!D25+$F$7+Inputs!$B$38,'Default Spreads and Ratios'!D44+$F$7+Inputs!$B$38)</f>
        <v>3.6749999999999991E-2</v>
      </c>
      <c r="H91" s="81">
        <f>IF(Inputs!$B$41=1,'Default Spreads and Ratios'!E25,'Default Spreads and Ratios'!E44)</f>
        <v>0</v>
      </c>
    </row>
    <row r="92" spans="4:8" s="3" customFormat="1" ht="14">
      <c r="D92" s="7">
        <f>IF(Inputs!$B$41=1,'Default Spreads and Ratios'!A26,'Default Spreads and Ratios'!A45)</f>
        <v>4.25</v>
      </c>
      <c r="E92" s="7">
        <f>IF(Inputs!$B$41=1,'Default Spreads and Ratios'!B26,'Default Spreads and Ratios'!B45)</f>
        <v>5.4999989999999999</v>
      </c>
      <c r="F92" s="7" t="str">
        <f>IF(Inputs!$B$41=1,'Default Spreads and Ratios'!C26,'Default Spreads and Ratios'!C45)</f>
        <v>A2/A</v>
      </c>
      <c r="G92" s="54">
        <f>IF(Inputs!$B$41=1,'Default Spreads and Ratios'!D26+$F$7+Inputs!$B$38,'Default Spreads and Ratios'!D45+$F$7+Inputs!$B$38)</f>
        <v>3.5399999999999994E-2</v>
      </c>
      <c r="H92" s="81">
        <f>IF(Inputs!$B$41=1,'Default Spreads and Ratios'!E26,'Default Spreads and Ratios'!E45)</f>
        <v>0</v>
      </c>
    </row>
    <row r="93" spans="4:8" s="3" customFormat="1" ht="14">
      <c r="D93" s="7">
        <f>IF(Inputs!$B$41=1,'Default Spreads and Ratios'!A27,'Default Spreads and Ratios'!A46)</f>
        <v>5.5</v>
      </c>
      <c r="E93" s="7">
        <f>IF(Inputs!$B$41=1,'Default Spreads and Ratios'!B27,'Default Spreads and Ratios'!B46)</f>
        <v>6.4999989999999999</v>
      </c>
      <c r="F93" s="7" t="str">
        <f>IF(Inputs!$B$41=1,'Default Spreads and Ratios'!C27,'Default Spreads and Ratios'!C46)</f>
        <v>A1/A+</v>
      </c>
      <c r="G93" s="54">
        <f>IF(Inputs!$B$41=1,'Default Spreads and Ratios'!D27+$F$7+Inputs!$B$38,'Default Spreads and Ratios'!D46+$F$7+Inputs!$B$38)</f>
        <v>3.4499999999999996E-2</v>
      </c>
      <c r="H93" s="81">
        <f>IF(Inputs!$B$41=1,'Default Spreads and Ratios'!E27,'Default Spreads and Ratios'!E46)</f>
        <v>0</v>
      </c>
    </row>
    <row r="94" spans="4:8" s="3" customFormat="1" ht="14">
      <c r="D94" s="7">
        <f>IF(Inputs!$B$41=1,'Default Spreads and Ratios'!A28,'Default Spreads and Ratios'!A47)</f>
        <v>6.5</v>
      </c>
      <c r="E94" s="7">
        <f>IF(Inputs!$B$41=1,'Default Spreads and Ratios'!B28,'Default Spreads and Ratios'!B47)</f>
        <v>8.4999990000000007</v>
      </c>
      <c r="F94" s="7" t="str">
        <f>IF(Inputs!$B$41=1,'Default Spreads and Ratios'!C28,'Default Spreads and Ratios'!C47)</f>
        <v>Aa2/AA</v>
      </c>
      <c r="G94" s="54">
        <f>IF(Inputs!$B$41=1,'Default Spreads and Ratios'!D28+$F$7+Inputs!$B$38,'Default Spreads and Ratios'!D47+$F$7+Inputs!$B$38)</f>
        <v>3.2699999999999993E-2</v>
      </c>
      <c r="H94" s="81">
        <f>IF(Inputs!$B$41=1,'Default Spreads and Ratios'!E28,'Default Spreads and Ratios'!E47)</f>
        <v>0</v>
      </c>
    </row>
    <row r="95" spans="4:8" s="3" customFormat="1" ht="14">
      <c r="D95" s="7">
        <f>IF(Inputs!$B$41=1,'Default Spreads and Ratios'!A29,'Default Spreads and Ratios'!A48)</f>
        <v>8.5</v>
      </c>
      <c r="E95" s="7">
        <f>IF(Inputs!$B$41=1,'Default Spreads and Ratios'!B29,'Default Spreads and Ratios'!B48)</f>
        <v>100000</v>
      </c>
      <c r="F95" s="7" t="str">
        <f>IF(Inputs!$B$41=1,'Default Spreads and Ratios'!C29,'Default Spreads and Ratios'!C48)</f>
        <v>Aaa/AAA</v>
      </c>
      <c r="G95" s="54">
        <f>IF(Inputs!$B$41=1,'Default Spreads and Ratios'!D29+$F$7+Inputs!$B$38,'Default Spreads and Ratios'!D48+$F$7+Inputs!$B$38)</f>
        <v>3.0899999999999997E-2</v>
      </c>
      <c r="H95" s="81">
        <f>IF(Inputs!$B$41=1,'Default Spreads and Ratios'!E29,'Default Spreads and Ratios'!E48)</f>
        <v>0</v>
      </c>
    </row>
    <row r="98" spans="1:1" ht="14">
      <c r="A98"/>
    </row>
    <row r="99" spans="1:1" ht="14">
      <c r="A99"/>
    </row>
    <row r="100" spans="1:1" ht="14">
      <c r="A100"/>
    </row>
    <row r="101" spans="1:1" ht="14">
      <c r="A101"/>
    </row>
    <row r="102" spans="1:1" ht="14">
      <c r="A102"/>
    </row>
  </sheetData>
  <mergeCells count="5">
    <mergeCell ref="D6:F6"/>
    <mergeCell ref="A1:I1"/>
    <mergeCell ref="C10:G10"/>
    <mergeCell ref="A2:I2"/>
    <mergeCell ref="K2:M2"/>
  </mergeCells>
  <pageMargins left="0.75" right="0.75" top="1" bottom="1" header="0.5" footer="0.5"/>
  <pageSetup scale="90" firstPageNumber="17" orientation="landscape" useFirstPageNumber="1" horizontalDpi="4294967292" verticalDpi="4294967292"/>
  <headerFooter alignWithMargins="0">
    <oddHeader>&amp;C&amp;"Times"&amp;12CAPITAL STRUCTURE&amp;R&amp;P</oddHeader>
  </headerFooter>
  <rowBreaks count="5" manualBreakCount="5">
    <brk id="39" max="16383" man="1"/>
    <brk id="77" max="65535" man="1"/>
    <brk id="118" max="65535" man="1"/>
    <brk id="146" max="65535" man="1"/>
    <brk id="162" max="65535" man="1"/>
  </rowBreaks>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7"/>
  <sheetViews>
    <sheetView workbookViewId="0">
      <selection activeCell="B18" sqref="B18"/>
    </sheetView>
  </sheetViews>
  <sheetFormatPr baseColWidth="10" defaultRowHeight="14"/>
  <cols>
    <col min="1" max="1" width="30.85546875" customWidth="1"/>
    <col min="2" max="2" width="11.140625" bestFit="1" customWidth="1"/>
  </cols>
  <sheetData>
    <row r="1" spans="1:3" ht="30" customHeight="1">
      <c r="A1" s="164" t="s">
        <v>449</v>
      </c>
    </row>
    <row r="2" spans="1:3">
      <c r="A2" t="s">
        <v>450</v>
      </c>
      <c r="B2" s="170">
        <f ca="1">'Optimal Capital Structure'!E22</f>
        <v>190</v>
      </c>
    </row>
    <row r="3" spans="1:3">
      <c r="A3" t="s">
        <v>454</v>
      </c>
      <c r="B3" s="169">
        <f>Inputs!B18</f>
        <v>2905.8</v>
      </c>
    </row>
    <row r="4" spans="1:3">
      <c r="A4" t="s">
        <v>451</v>
      </c>
      <c r="B4" s="165">
        <v>67.709999999999994</v>
      </c>
      <c r="C4" t="s">
        <v>467</v>
      </c>
    </row>
    <row r="6" spans="1:3">
      <c r="A6" t="s">
        <v>446</v>
      </c>
      <c r="B6" s="166">
        <f ca="1">'Optimal Capital Structure'!B41</f>
        <v>2100.521085055751</v>
      </c>
    </row>
    <row r="7" spans="1:3">
      <c r="A7" t="s">
        <v>447</v>
      </c>
      <c r="B7" s="167">
        <f ca="1">'Optimal Capital Structure'!F12*('Optimal Capital Structure'!B41+'Optimal Capital Structure'!F40)</f>
        <v>110840.50421701116</v>
      </c>
    </row>
    <row r="8" spans="1:3">
      <c r="A8" t="s">
        <v>448</v>
      </c>
      <c r="B8" s="167">
        <f ca="1">B7-B6</f>
        <v>108739.98313195541</v>
      </c>
    </row>
    <row r="9" spans="1:3">
      <c r="A9" t="s">
        <v>452</v>
      </c>
      <c r="B9" s="168">
        <f ca="1">B8/B4</f>
        <v>1605.9663732381541</v>
      </c>
    </row>
    <row r="10" spans="1:3">
      <c r="A10" t="s">
        <v>453</v>
      </c>
      <c r="B10" s="169">
        <f ca="1">B3-B9</f>
        <v>1299.8336267618461</v>
      </c>
    </row>
    <row r="12" spans="1:3">
      <c r="A12" t="s">
        <v>455</v>
      </c>
      <c r="B12" s="166">
        <f ca="1">'Optimal Capital Structure'!F21</f>
        <v>569558.65324348898</v>
      </c>
    </row>
    <row r="13" spans="1:3">
      <c r="A13" t="s">
        <v>456</v>
      </c>
      <c r="B13" s="168">
        <f>Inputs!B21</f>
        <v>38289</v>
      </c>
    </row>
    <row r="14" spans="1:3">
      <c r="A14" t="s">
        <v>457</v>
      </c>
      <c r="B14" s="171">
        <f ca="1">B7</f>
        <v>110840.50421701116</v>
      </c>
    </row>
    <row r="15" spans="1:3">
      <c r="A15" t="s">
        <v>458</v>
      </c>
      <c r="B15" s="171">
        <f ca="1">B12+B13-B14</f>
        <v>497007.14902647783</v>
      </c>
    </row>
    <row r="16" spans="1:3">
      <c r="A16" t="s">
        <v>459</v>
      </c>
      <c r="B16" s="169">
        <f ca="1">B10</f>
        <v>1299.8336267618461</v>
      </c>
    </row>
    <row r="17" spans="1:2">
      <c r="A17" t="s">
        <v>460</v>
      </c>
      <c r="B17" s="172">
        <f ca="1">B15/B16</f>
        <v>382.36212603964191</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
  <sheetViews>
    <sheetView workbookViewId="0">
      <selection sqref="A1:I11"/>
    </sheetView>
  </sheetViews>
  <sheetFormatPr baseColWidth="10" defaultRowHeight="14"/>
  <cols>
    <col min="1" max="4" width="10.7109375" style="4"/>
    <col min="5" max="5" width="12.140625" style="4" customWidth="1"/>
    <col min="6" max="6" width="10.7109375" style="3"/>
    <col min="7" max="7" width="14.28515625" style="3" customWidth="1"/>
    <col min="8" max="9" width="10.7109375" style="3"/>
  </cols>
  <sheetData>
    <row r="1" spans="1:9">
      <c r="A1" s="7" t="s">
        <v>133</v>
      </c>
      <c r="B1" s="7" t="s">
        <v>134</v>
      </c>
      <c r="C1" s="7" t="s">
        <v>135</v>
      </c>
      <c r="D1" s="7" t="s">
        <v>96</v>
      </c>
      <c r="E1" s="7" t="s">
        <v>97</v>
      </c>
      <c r="F1" s="7" t="s">
        <v>98</v>
      </c>
      <c r="G1" s="7" t="s">
        <v>99</v>
      </c>
      <c r="H1" s="7" t="s">
        <v>100</v>
      </c>
      <c r="I1" s="7" t="s">
        <v>443</v>
      </c>
    </row>
    <row r="2" spans="1:9">
      <c r="A2" s="53">
        <v>0</v>
      </c>
      <c r="B2" s="155">
        <f ca="1">'Optimal Capital Structure'!B48</f>
        <v>1.0476085681056859</v>
      </c>
      <c r="C2" s="8">
        <f ca="1">'Optimal Capital Structure'!B72</f>
        <v>7.8718515259768834E-2</v>
      </c>
      <c r="D2" s="7" t="str">
        <f>'Optimal Capital Structure'!B63</f>
        <v>Aaa/AAA</v>
      </c>
      <c r="E2" s="8">
        <f>'Optimal Capital Structure'!B64</f>
        <v>3.0899999999999997E-2</v>
      </c>
      <c r="F2" s="8">
        <f ca="1">'Optimal Capital Structure'!B66</f>
        <v>0.4</v>
      </c>
      <c r="G2" s="54">
        <f ca="1">E2*(1-F2)</f>
        <v>1.8539999999999997E-2</v>
      </c>
      <c r="H2" s="54">
        <f ca="1">C2*(1-A2)+G2*A2</f>
        <v>7.8718515259768834E-2</v>
      </c>
      <c r="I2" s="55">
        <f ca="1">'Optimal Capital Structure'!B76</f>
        <v>514875.63120357925</v>
      </c>
    </row>
    <row r="3" spans="1:9">
      <c r="A3" s="53">
        <v>0.1</v>
      </c>
      <c r="B3" s="155">
        <f ca="1">'Optimal Capital Structure'!C48</f>
        <v>1.1174491393127317</v>
      </c>
      <c r="C3" s="8">
        <f ca="1">'Optimal Capital Structure'!C72</f>
        <v>8.2266416277086765E-2</v>
      </c>
      <c r="D3" s="7" t="str">
        <f ca="1">'Optimal Capital Structure'!C63</f>
        <v>Aaa/AAA</v>
      </c>
      <c r="E3" s="8">
        <f ca="1">'Optimal Capital Structure'!C64</f>
        <v>3.0899999999999997E-2</v>
      </c>
      <c r="F3" s="8">
        <f ca="1">'Optimal Capital Structure'!C66</f>
        <v>0.4</v>
      </c>
      <c r="G3" s="54">
        <f t="shared" ref="G3:G11" ca="1" si="0">E3*(1-F3)</f>
        <v>1.8539999999999997E-2</v>
      </c>
      <c r="H3" s="54">
        <f t="shared" ref="H3:H11" ca="1" si="1">C3*(1-A3)+G3*A3</f>
        <v>7.589377464937809E-2</v>
      </c>
      <c r="I3" s="55">
        <f ca="1">'Optimal Capital Structure'!C76</f>
        <v>543736.14254412567</v>
      </c>
    </row>
    <row r="4" spans="1:9">
      <c r="A4" s="53">
        <v>0.2</v>
      </c>
      <c r="B4" s="155">
        <f ca="1">'Optimal Capital Structure'!D48</f>
        <v>1.2047498533215386</v>
      </c>
      <c r="C4" s="8">
        <f ca="1">'Optimal Capital Structure'!D72</f>
        <v>8.6701292548734155E-2</v>
      </c>
      <c r="D4" s="7" t="str">
        <f ca="1">'Optimal Capital Structure'!D63</f>
        <v>A2/A</v>
      </c>
      <c r="E4" s="8">
        <f ca="1">'Optimal Capital Structure'!D64</f>
        <v>3.5399999999999994E-2</v>
      </c>
      <c r="F4" s="8">
        <f ca="1">'Optimal Capital Structure'!D66</f>
        <v>0.4</v>
      </c>
      <c r="G4" s="54">
        <f t="shared" ca="1" si="0"/>
        <v>2.1239999999999995E-2</v>
      </c>
      <c r="H4" s="54">
        <f t="shared" ca="1" si="1"/>
        <v>7.3609034038987331E-2</v>
      </c>
      <c r="I4" s="55">
        <f ca="1">'Optimal Capital Structure'!D76</f>
        <v>569558.65324348898</v>
      </c>
    </row>
    <row r="5" spans="1:9">
      <c r="A5" s="53">
        <v>0.3</v>
      </c>
      <c r="B5" s="155">
        <f ca="1">'Optimal Capital Structure'!E48</f>
        <v>1.3819047454672244</v>
      </c>
      <c r="C5" s="8">
        <f ca="1">'Optimal Capital Structure'!E72</f>
        <v>9.5700761069734991E-2</v>
      </c>
      <c r="D5" s="7" t="str">
        <f ca="1">'Optimal Capital Structure'!E63</f>
        <v>C2/C</v>
      </c>
      <c r="E5" s="8">
        <f ca="1">'Optimal Capital Structure'!E64</f>
        <v>0.16501874999999999</v>
      </c>
      <c r="F5" s="8">
        <f ca="1">'Optimal Capital Structure'!E66</f>
        <v>0.25542379320737041</v>
      </c>
      <c r="G5" s="54">
        <f t="shared" ca="1" si="0"/>
        <v>0.12286903492466124</v>
      </c>
      <c r="H5" s="54">
        <f t="shared" ca="1" si="1"/>
        <v>0.10385124322621286</v>
      </c>
      <c r="I5" s="55">
        <f ca="1">'Optimal Capital Structure'!E76</f>
        <v>349718.97710646223</v>
      </c>
    </row>
    <row r="6" spans="1:9">
      <c r="A6" s="53">
        <v>0.4</v>
      </c>
      <c r="B6" s="155">
        <f ca="1">'Optimal Capital Structure'!F48</f>
        <v>1.6122222030450952</v>
      </c>
      <c r="C6" s="8">
        <f ca="1">'Optimal Capital Structure'!F72</f>
        <v>0.10740088791469082</v>
      </c>
      <c r="D6" s="7" t="str">
        <f ca="1">'Optimal Capital Structure'!F63</f>
        <v>C2/C</v>
      </c>
      <c r="E6" s="8">
        <f ca="1">'Optimal Capital Structure'!F64</f>
        <v>0.16501874999999999</v>
      </c>
      <c r="F6" s="8">
        <f ca="1">'Optimal Capital Structure'!F66</f>
        <v>0.19156784490552781</v>
      </c>
      <c r="G6" s="54">
        <f t="shared" ca="1" si="0"/>
        <v>0.13340646369349593</v>
      </c>
      <c r="H6" s="54">
        <f t="shared" ca="1" si="1"/>
        <v>0.11780311822621287</v>
      </c>
      <c r="I6" s="55">
        <f ca="1">'Optimal Capital Structure'!F76</f>
        <v>296857.9736270415</v>
      </c>
    </row>
    <row r="7" spans="1:9">
      <c r="A7" s="53">
        <v>0.5</v>
      </c>
      <c r="B7" s="155">
        <f ca="1">'Optimal Capital Structure'!G48</f>
        <v>1.9346666436541142</v>
      </c>
      <c r="C7" s="8">
        <f ca="1">'Optimal Capital Structure'!G72</f>
        <v>0.12378106549762899</v>
      </c>
      <c r="D7" s="7" t="str">
        <f ca="1">'Optimal Capital Structure'!G63</f>
        <v>C2/C</v>
      </c>
      <c r="E7" s="8">
        <f ca="1">'Optimal Capital Structure'!G64</f>
        <v>0.16501874999999999</v>
      </c>
      <c r="F7" s="8">
        <f ca="1">'Optimal Capital Structure'!G66</f>
        <v>0.15325427592442226</v>
      </c>
      <c r="G7" s="54">
        <f t="shared" ca="1" si="0"/>
        <v>0.13972892095479675</v>
      </c>
      <c r="H7" s="54">
        <f t="shared" ca="1" si="1"/>
        <v>0.13175499322621287</v>
      </c>
      <c r="I7" s="55">
        <f ca="1">'Optimal Capital Structure'!G76</f>
        <v>257878.86106919491</v>
      </c>
    </row>
    <row r="8" spans="1:9">
      <c r="A8" s="53">
        <v>0.6</v>
      </c>
      <c r="B8" s="155">
        <f ca="1">'Optimal Capital Structure'!H48</f>
        <v>2.4183333045676427</v>
      </c>
      <c r="C8" s="8">
        <f ca="1">'Optimal Capital Structure'!H72</f>
        <v>0.14835133187203625</v>
      </c>
      <c r="D8" s="7" t="str">
        <f ca="1">'Optimal Capital Structure'!H63</f>
        <v>C2/C</v>
      </c>
      <c r="E8" s="8">
        <f ca="1">'Optimal Capital Structure'!H64</f>
        <v>0.16501874999999999</v>
      </c>
      <c r="F8" s="8">
        <f ca="1">'Optimal Capital Structure'!H66</f>
        <v>0.1277118966036852</v>
      </c>
      <c r="G8" s="54">
        <f t="shared" ca="1" si="0"/>
        <v>0.14394389246233061</v>
      </c>
      <c r="H8" s="54">
        <f t="shared" ca="1" si="1"/>
        <v>0.14570686822621287</v>
      </c>
      <c r="I8" s="55">
        <f ca="1">'Optimal Capital Structure'!H76</f>
        <v>227948.01195989916</v>
      </c>
    </row>
    <row r="9" spans="1:9">
      <c r="A9" s="53">
        <v>0.7</v>
      </c>
      <c r="B9" s="155">
        <f ca="1">'Optimal Capital Structure'!I48</f>
        <v>3.22444440609019</v>
      </c>
      <c r="C9" s="8">
        <f ca="1">'Optimal Capital Structure'!I72</f>
        <v>0.18930177582938165</v>
      </c>
      <c r="D9" s="7" t="str">
        <f ca="1">'Optimal Capital Structure'!I63</f>
        <v>C2/C</v>
      </c>
      <c r="E9" s="8">
        <f ca="1">'Optimal Capital Structure'!I64</f>
        <v>0.16501874999999999</v>
      </c>
      <c r="F9" s="8">
        <f ca="1">'Optimal Capital Structure'!I66</f>
        <v>0.1094673399460159</v>
      </c>
      <c r="G9" s="54">
        <f t="shared" ca="1" si="0"/>
        <v>0.14695458639628339</v>
      </c>
      <c r="H9" s="54">
        <f t="shared" ca="1" si="1"/>
        <v>0.15965874322621287</v>
      </c>
      <c r="I9" s="55">
        <f ca="1">'Optimal Capital Structure'!I76</f>
        <v>204242.49644235647</v>
      </c>
    </row>
    <row r="10" spans="1:9">
      <c r="A10" s="53">
        <v>0.8</v>
      </c>
      <c r="B10" s="155">
        <f ca="1">'Optimal Capital Structure'!J48</f>
        <v>4.924913877123597</v>
      </c>
      <c r="C10" s="8">
        <f ca="1">'Optimal Capital Structure'!J72</f>
        <v>0.27568562495787874</v>
      </c>
      <c r="D10" s="7" t="str">
        <f ca="1">'Optimal Capital Structure'!J63</f>
        <v>D2/D</v>
      </c>
      <c r="E10" s="8">
        <f ca="1">'Optimal Capital Structure'!J64</f>
        <v>0.21152500000000002</v>
      </c>
      <c r="F10" s="8">
        <f ca="1">'Optimal Capital Structure'!J66</f>
        <v>7.472470466021526E-2</v>
      </c>
      <c r="G10" s="54">
        <f t="shared" ca="1" si="0"/>
        <v>0.19571885684674797</v>
      </c>
      <c r="H10" s="54">
        <f t="shared" ca="1" si="1"/>
        <v>0.21171221046897415</v>
      </c>
      <c r="I10" s="55">
        <f ca="1">'Optimal Capital Structure'!J76</f>
        <v>147148.87153254761</v>
      </c>
    </row>
    <row r="11" spans="1:9">
      <c r="A11" s="53">
        <v>0.9</v>
      </c>
      <c r="B11" s="155">
        <f ca="1">'Optimal Capital Structure'!K48</f>
        <v>9.8498277542471939</v>
      </c>
      <c r="C11" s="8">
        <f ca="1">'Optimal Capital Structure'!K72</f>
        <v>0.5258712499157574</v>
      </c>
      <c r="D11" s="7" t="str">
        <f ca="1">'Optimal Capital Structure'!K63</f>
        <v>D2/D</v>
      </c>
      <c r="E11" s="8">
        <f ca="1">'Optimal Capital Structure'!K64</f>
        <v>0.21152500000000002</v>
      </c>
      <c r="F11" s="8">
        <f ca="1">'Optimal Capital Structure'!K66</f>
        <v>6.6421959697969116E-2</v>
      </c>
      <c r="G11" s="54">
        <f t="shared" ca="1" si="0"/>
        <v>0.19747509497488708</v>
      </c>
      <c r="H11" s="54">
        <f t="shared" ca="1" si="1"/>
        <v>0.23031471046897409</v>
      </c>
      <c r="I11" s="55">
        <f ca="1">'Optimal Capital Structure'!K76</f>
        <v>133783.92876834678</v>
      </c>
    </row>
    <row r="14" spans="1:9">
      <c r="A14" s="7" t="s">
        <v>133</v>
      </c>
      <c r="B14" s="7" t="s">
        <v>112</v>
      </c>
      <c r="C14" s="7" t="s">
        <v>436</v>
      </c>
      <c r="D14" s="7" t="s">
        <v>437</v>
      </c>
      <c r="E14" s="7" t="s">
        <v>96</v>
      </c>
      <c r="F14" s="56" t="s">
        <v>195</v>
      </c>
      <c r="G14" s="56" t="s">
        <v>438</v>
      </c>
      <c r="H14" s="56" t="s">
        <v>439</v>
      </c>
    </row>
    <row r="15" spans="1:9">
      <c r="A15" s="53">
        <f>A2</f>
        <v>0</v>
      </c>
      <c r="B15" s="55">
        <f>'Optimal Capital Structure'!B47</f>
        <v>0</v>
      </c>
      <c r="C15" s="55">
        <f>'Optimal Capital Structure'!B54</f>
        <v>0</v>
      </c>
      <c r="D15" s="7" t="str">
        <f>'Optimal Capital Structure'!B61</f>
        <v>∞</v>
      </c>
      <c r="E15" s="7" t="str">
        <f t="shared" ref="E15:H24" si="2">D2</f>
        <v>Aaa/AAA</v>
      </c>
      <c r="F15" s="80">
        <f t="shared" si="2"/>
        <v>3.0899999999999997E-2</v>
      </c>
      <c r="G15" s="80">
        <f t="shared" ca="1" si="2"/>
        <v>0.4</v>
      </c>
      <c r="H15" s="80">
        <f t="shared" ca="1" si="2"/>
        <v>1.8539999999999997E-2</v>
      </c>
    </row>
    <row r="16" spans="1:9">
      <c r="A16" s="53">
        <f t="shared" ref="A16:A24" si="3">A3</f>
        <v>0.1</v>
      </c>
      <c r="B16" s="55">
        <f ca="1">'Optimal Capital Structure'!C47</f>
        <v>55420.252108505578</v>
      </c>
      <c r="C16" s="55">
        <f ca="1">'Optimal Capital Structure'!C54</f>
        <v>1712.4857901528221</v>
      </c>
      <c r="D16" s="27">
        <f ca="1">'Optimal Capital Structure'!C61</f>
        <v>10.23051336780067</v>
      </c>
      <c r="E16" s="7" t="str">
        <f t="shared" ca="1" si="2"/>
        <v>Aaa/AAA</v>
      </c>
      <c r="F16" s="80">
        <f t="shared" ca="1" si="2"/>
        <v>3.0899999999999997E-2</v>
      </c>
      <c r="G16" s="80">
        <f t="shared" ca="1" si="2"/>
        <v>0.4</v>
      </c>
      <c r="H16" s="80">
        <f t="shared" ca="1" si="2"/>
        <v>1.8539999999999997E-2</v>
      </c>
    </row>
    <row r="17" spans="1:8">
      <c r="A17" s="53">
        <f t="shared" si="3"/>
        <v>0.2</v>
      </c>
      <c r="B17" s="55">
        <f ca="1">'Optimal Capital Structure'!D47</f>
        <v>110840.50421701116</v>
      </c>
      <c r="C17" s="55">
        <f ca="1">'Optimal Capital Structure'!D54</f>
        <v>3923.7538492821941</v>
      </c>
      <c r="D17" s="27">
        <f ca="1">'Optimal Capital Structure'!D61</f>
        <v>4.4650121901841908</v>
      </c>
      <c r="E17" s="7" t="str">
        <f t="shared" ca="1" si="2"/>
        <v>A2/A</v>
      </c>
      <c r="F17" s="80">
        <f t="shared" ca="1" si="2"/>
        <v>3.5399999999999994E-2</v>
      </c>
      <c r="G17" s="80">
        <f t="shared" ca="1" si="2"/>
        <v>0.4</v>
      </c>
      <c r="H17" s="80">
        <f t="shared" ca="1" si="2"/>
        <v>2.1239999999999995E-2</v>
      </c>
    </row>
    <row r="18" spans="1:8">
      <c r="A18" s="53">
        <f t="shared" si="3"/>
        <v>0.3</v>
      </c>
      <c r="B18" s="55">
        <f ca="1">'Optimal Capital Structure'!E47</f>
        <v>166260.75632551673</v>
      </c>
      <c r="C18" s="55">
        <f ca="1">'Optimal Capital Structure'!E54</f>
        <v>27436.142182891363</v>
      </c>
      <c r="D18" s="27">
        <f ca="1">'Optimal Capital Structure'!E61</f>
        <v>0.63855948301842602</v>
      </c>
      <c r="E18" s="7" t="str">
        <f t="shared" ca="1" si="2"/>
        <v>C2/C</v>
      </c>
      <c r="F18" s="80">
        <f t="shared" ca="1" si="2"/>
        <v>0.16501874999999999</v>
      </c>
      <c r="G18" s="80">
        <f t="shared" ca="1" si="2"/>
        <v>0.25542379320737041</v>
      </c>
      <c r="H18" s="80">
        <f t="shared" ca="1" si="2"/>
        <v>0.12286903492466124</v>
      </c>
    </row>
    <row r="19" spans="1:8">
      <c r="A19" s="53">
        <f t="shared" si="3"/>
        <v>0.4</v>
      </c>
      <c r="B19" s="55">
        <f ca="1">'Optimal Capital Structure'!F47</f>
        <v>221681.00843402231</v>
      </c>
      <c r="C19" s="55">
        <f ca="1">'Optimal Capital Structure'!F54</f>
        <v>36581.522910521817</v>
      </c>
      <c r="D19" s="27">
        <f ca="1">'Optimal Capital Structure'!F61</f>
        <v>0.47891961226381952</v>
      </c>
      <c r="E19" s="7" t="str">
        <f t="shared" ca="1" si="2"/>
        <v>C2/C</v>
      </c>
      <c r="F19" s="80">
        <f t="shared" ca="1" si="2"/>
        <v>0.16501874999999999</v>
      </c>
      <c r="G19" s="80">
        <f t="shared" ca="1" si="2"/>
        <v>0.19156784490552781</v>
      </c>
      <c r="H19" s="80">
        <f t="shared" ca="1" si="2"/>
        <v>0.13340646369349593</v>
      </c>
    </row>
    <row r="20" spans="1:8">
      <c r="A20" s="53">
        <f t="shared" si="3"/>
        <v>0.5</v>
      </c>
      <c r="B20" s="55">
        <f ca="1">'Optimal Capital Structure'!G47</f>
        <v>277101.26054252789</v>
      </c>
      <c r="C20" s="55">
        <f ca="1">'Optimal Capital Structure'!G54</f>
        <v>45726.903638152275</v>
      </c>
      <c r="D20" s="27">
        <f ca="1">'Optimal Capital Structure'!G61</f>
        <v>0.38313568981105561</v>
      </c>
      <c r="E20" s="7" t="str">
        <f t="shared" ca="1" si="2"/>
        <v>C2/C</v>
      </c>
      <c r="F20" s="80">
        <f t="shared" ca="1" si="2"/>
        <v>0.16501874999999999</v>
      </c>
      <c r="G20" s="80">
        <f t="shared" ca="1" si="2"/>
        <v>0.15325427592442226</v>
      </c>
      <c r="H20" s="80">
        <f t="shared" ca="1" si="2"/>
        <v>0.13972892095479675</v>
      </c>
    </row>
    <row r="21" spans="1:8">
      <c r="A21" s="53">
        <f t="shared" si="3"/>
        <v>0.6</v>
      </c>
      <c r="B21" s="55">
        <f ca="1">'Optimal Capital Structure'!H47</f>
        <v>332521.51265103347</v>
      </c>
      <c r="C21" s="55">
        <f ca="1">'Optimal Capital Structure'!H54</f>
        <v>54872.284365782725</v>
      </c>
      <c r="D21" s="27">
        <f ca="1">'Optimal Capital Structure'!H61</f>
        <v>0.31927974150921301</v>
      </c>
      <c r="E21" s="7" t="str">
        <f t="shared" ca="1" si="2"/>
        <v>C2/C</v>
      </c>
      <c r="F21" s="80">
        <f t="shared" ca="1" si="2"/>
        <v>0.16501874999999999</v>
      </c>
      <c r="G21" s="80">
        <f t="shared" ca="1" si="2"/>
        <v>0.1277118966036852</v>
      </c>
      <c r="H21" s="80">
        <f t="shared" ca="1" si="2"/>
        <v>0.14394389246233061</v>
      </c>
    </row>
    <row r="22" spans="1:8">
      <c r="A22" s="53">
        <f t="shared" si="3"/>
        <v>0.7</v>
      </c>
      <c r="B22" s="55">
        <f ca="1">'Optimal Capital Structure'!I47</f>
        <v>387941.76475953904</v>
      </c>
      <c r="C22" s="55">
        <f ca="1">'Optimal Capital Structure'!I54</f>
        <v>64017.665093413183</v>
      </c>
      <c r="D22" s="27">
        <f ca="1">'Optimal Capital Structure'!I61</f>
        <v>0.27366834986503974</v>
      </c>
      <c r="E22" s="7" t="str">
        <f t="shared" ca="1" si="2"/>
        <v>C2/C</v>
      </c>
      <c r="F22" s="80">
        <f t="shared" ca="1" si="2"/>
        <v>0.16501874999999999</v>
      </c>
      <c r="G22" s="80">
        <f t="shared" ca="1" si="2"/>
        <v>0.1094673399460159</v>
      </c>
      <c r="H22" s="80">
        <f t="shared" ca="1" si="2"/>
        <v>0.14695458639628339</v>
      </c>
    </row>
    <row r="23" spans="1:8">
      <c r="A23" s="53">
        <f t="shared" si="3"/>
        <v>0.8</v>
      </c>
      <c r="B23" s="55">
        <f ca="1">'Optimal Capital Structure'!J47</f>
        <v>443362.01686804462</v>
      </c>
      <c r="C23" s="55">
        <f ca="1">'Optimal Capital Structure'!J54</f>
        <v>93782.15061801314</v>
      </c>
      <c r="D23" s="27">
        <f ca="1">'Optimal Capital Structure'!J61</f>
        <v>0.18681176165053803</v>
      </c>
      <c r="E23" s="7" t="str">
        <f t="shared" ca="1" si="2"/>
        <v>D2/D</v>
      </c>
      <c r="F23" s="80">
        <f t="shared" ca="1" si="2"/>
        <v>0.21152500000000002</v>
      </c>
      <c r="G23" s="80">
        <f t="shared" ca="1" si="2"/>
        <v>7.472470466021526E-2</v>
      </c>
      <c r="H23" s="80">
        <f t="shared" ca="1" si="2"/>
        <v>0.19571885684674797</v>
      </c>
    </row>
    <row r="24" spans="1:8">
      <c r="A24" s="53">
        <f t="shared" si="3"/>
        <v>0.9</v>
      </c>
      <c r="B24" s="55">
        <f ca="1">'Optimal Capital Structure'!K47</f>
        <v>498782.2689765502</v>
      </c>
      <c r="C24" s="55">
        <f ca="1">'Optimal Capital Structure'!K54</f>
        <v>105504.91944526479</v>
      </c>
      <c r="D24" s="27">
        <f ca="1">'Optimal Capital Structure'!K61</f>
        <v>0.16605489924492267</v>
      </c>
      <c r="E24" s="7" t="str">
        <f t="shared" ca="1" si="2"/>
        <v>D2/D</v>
      </c>
      <c r="F24" s="80">
        <f t="shared" ca="1" si="2"/>
        <v>0.21152500000000002</v>
      </c>
      <c r="G24" s="80">
        <f t="shared" ca="1" si="2"/>
        <v>6.6421959697969116E-2</v>
      </c>
      <c r="H24" s="80">
        <f t="shared" ca="1" si="2"/>
        <v>0.19747509497488708</v>
      </c>
    </row>
    <row r="36" spans="7:7">
      <c r="G36" s="160"/>
    </row>
  </sheetData>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 ME 1ST</vt:lpstr>
      <vt:lpstr>FAQs</vt:lpstr>
      <vt:lpstr>Inputs</vt:lpstr>
      <vt:lpstr>Marginal tax rate by country</vt:lpstr>
      <vt:lpstr>Operating leases</vt:lpstr>
      <vt:lpstr>Default Spreads and Ratios</vt:lpstr>
      <vt:lpstr>Optimal Capital Structure</vt:lpstr>
      <vt:lpstr>Repurchase price Worksheet</vt:lpstr>
      <vt:lpstr>Summary Table</vt:lpstr>
      <vt:lpstr>Input choices page</vt:lpstr>
      <vt:lpstr>Sheet1</vt:lpstr>
      <vt:lpstr>ValueChart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Capital Structure</dc:title>
  <dc:creator>Aswath Damodaran</dc:creator>
  <cp:lastModifiedBy>Aswath Damodaran</cp:lastModifiedBy>
  <cp:lastPrinted>1999-02-15T16:52:54Z</cp:lastPrinted>
  <dcterms:created xsi:type="dcterms:W3CDTF">2000-03-20T17:31:39Z</dcterms:created>
  <dcterms:modified xsi:type="dcterms:W3CDTF">2018-02-08T18:03:05Z</dcterms:modified>
</cp:coreProperties>
</file>