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All My Stuff/Home Page 2002/pc/blog/"/>
    </mc:Choice>
  </mc:AlternateContent>
  <bookViews>
    <workbookView xWindow="1060" yWindow="1700" windowWidth="24040" windowHeight="15800" tabRatio="500" activeTab="1"/>
  </bookViews>
  <sheets>
    <sheet name="Inputs" sheetId="1" r:id="rId1"/>
    <sheet name="Valuation" sheetId="2" r:id="rId2"/>
    <sheet name="Input choices" sheetId="3" r:id="rId3"/>
    <sheet name="Value Breakdown" sheetId="4" r:id="rId4"/>
  </sheets>
  <calcPr calcId="150000" iterate="1" iterateDelta="9.999999999999445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23" i="2"/>
  <c r="B36" i="2"/>
  <c r="B37" i="2"/>
  <c r="B38" i="2"/>
  <c r="B7" i="1"/>
  <c r="B10" i="1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B6" i="2"/>
  <c r="C5" i="2"/>
  <c r="C6" i="2"/>
  <c r="D5" i="2"/>
  <c r="D6" i="2"/>
  <c r="E5" i="2"/>
  <c r="E6" i="2"/>
  <c r="F5" i="2"/>
  <c r="F6" i="2"/>
  <c r="G5" i="2"/>
  <c r="G6" i="2"/>
  <c r="H5" i="2"/>
  <c r="H6" i="2"/>
  <c r="L5" i="2"/>
  <c r="I5" i="2"/>
  <c r="I6" i="2"/>
  <c r="J5" i="2"/>
  <c r="J6" i="2"/>
  <c r="K5" i="2"/>
  <c r="K6" i="2"/>
  <c r="L6" i="2"/>
  <c r="M5" i="2"/>
  <c r="M6" i="2"/>
  <c r="N5" i="2"/>
  <c r="N6" i="2"/>
  <c r="O5" i="2"/>
  <c r="O6" i="2"/>
  <c r="P5" i="2"/>
  <c r="P6" i="2"/>
  <c r="Q5" i="2"/>
  <c r="Q6" i="2"/>
  <c r="R5" i="2"/>
  <c r="R6" i="2"/>
  <c r="S5" i="2"/>
  <c r="S6" i="2"/>
  <c r="T5" i="2"/>
  <c r="T6" i="2"/>
  <c r="U5" i="2"/>
  <c r="U6" i="2"/>
  <c r="V5" i="2"/>
  <c r="V6" i="2"/>
  <c r="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V13" i="2"/>
  <c r="M2" i="2"/>
  <c r="N2" i="2"/>
  <c r="O2" i="2"/>
  <c r="P2" i="2"/>
  <c r="Q2" i="2"/>
  <c r="R2" i="2"/>
  <c r="S2" i="2"/>
  <c r="T2" i="2"/>
  <c r="U2" i="2"/>
  <c r="V2" i="2"/>
  <c r="V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L14" i="2"/>
  <c r="M14" i="2"/>
  <c r="N14" i="2"/>
  <c r="O14" i="2"/>
  <c r="P14" i="2"/>
  <c r="Q14" i="2"/>
  <c r="R14" i="2"/>
  <c r="S14" i="2"/>
  <c r="T14" i="2"/>
  <c r="U14" i="2"/>
  <c r="V14" i="2"/>
  <c r="V15" i="2"/>
  <c r="U8" i="2"/>
  <c r="U10" i="2"/>
  <c r="U13" i="2"/>
  <c r="U3" i="2"/>
  <c r="U15" i="2"/>
  <c r="T8" i="2"/>
  <c r="T10" i="2"/>
  <c r="T13" i="2"/>
  <c r="T3" i="2"/>
  <c r="T15" i="2"/>
  <c r="S8" i="2"/>
  <c r="S10" i="2"/>
  <c r="S13" i="2"/>
  <c r="S3" i="2"/>
  <c r="S15" i="2"/>
  <c r="R8" i="2"/>
  <c r="R10" i="2"/>
  <c r="R13" i="2"/>
  <c r="R3" i="2"/>
  <c r="R15" i="2"/>
  <c r="Q8" i="2"/>
  <c r="Q10" i="2"/>
  <c r="Q13" i="2"/>
  <c r="Q3" i="2"/>
  <c r="Q15" i="2"/>
  <c r="P8" i="2"/>
  <c r="P10" i="2"/>
  <c r="P13" i="2"/>
  <c r="P3" i="2"/>
  <c r="P15" i="2"/>
  <c r="O8" i="2"/>
  <c r="O10" i="2"/>
  <c r="O13" i="2"/>
  <c r="O3" i="2"/>
  <c r="O15" i="2"/>
  <c r="N8" i="2"/>
  <c r="N10" i="2"/>
  <c r="N13" i="2"/>
  <c r="N3" i="2"/>
  <c r="N15" i="2"/>
  <c r="M8" i="2"/>
  <c r="M10" i="2"/>
  <c r="M13" i="2"/>
  <c r="M3" i="2"/>
  <c r="M15" i="2"/>
  <c r="L8" i="2"/>
  <c r="L10" i="2"/>
  <c r="L13" i="2"/>
  <c r="L3" i="2"/>
  <c r="L15" i="2"/>
  <c r="K8" i="2"/>
  <c r="K10" i="2"/>
  <c r="K13" i="2"/>
  <c r="K3" i="2"/>
  <c r="B14" i="2"/>
  <c r="C14" i="2"/>
  <c r="D14" i="2"/>
  <c r="E14" i="2"/>
  <c r="F14" i="2"/>
  <c r="G14" i="2"/>
  <c r="H14" i="2"/>
  <c r="I14" i="2"/>
  <c r="J14" i="2"/>
  <c r="K14" i="2"/>
  <c r="K15" i="2"/>
  <c r="J8" i="2"/>
  <c r="J10" i="2"/>
  <c r="J13" i="2"/>
  <c r="J3" i="2"/>
  <c r="J15" i="2"/>
  <c r="I8" i="2"/>
  <c r="I10" i="2"/>
  <c r="I13" i="2"/>
  <c r="I3" i="2"/>
  <c r="I15" i="2"/>
  <c r="H8" i="2"/>
  <c r="H10" i="2"/>
  <c r="H13" i="2"/>
  <c r="H3" i="2"/>
  <c r="H15" i="2"/>
  <c r="G8" i="2"/>
  <c r="G10" i="2"/>
  <c r="G13" i="2"/>
  <c r="G3" i="2"/>
  <c r="G15" i="2"/>
  <c r="B7" i="2"/>
  <c r="C7" i="2"/>
  <c r="D7" i="2"/>
  <c r="E7" i="2"/>
  <c r="F7" i="2"/>
  <c r="F8" i="2"/>
  <c r="F10" i="2"/>
  <c r="F13" i="2"/>
  <c r="F3" i="2"/>
  <c r="F15" i="2"/>
  <c r="E8" i="2"/>
  <c r="E10" i="2"/>
  <c r="E13" i="2"/>
  <c r="E3" i="2"/>
  <c r="E15" i="2"/>
  <c r="D8" i="2"/>
  <c r="D10" i="2"/>
  <c r="D13" i="2"/>
  <c r="D3" i="2"/>
  <c r="D15" i="2"/>
  <c r="C8" i="2"/>
  <c r="C10" i="2"/>
  <c r="C13" i="2"/>
  <c r="C3" i="2"/>
  <c r="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8" i="2"/>
  <c r="B24" i="2"/>
  <c r="B29" i="2"/>
  <c r="C29" i="2"/>
  <c r="D29" i="2"/>
  <c r="E29" i="2"/>
  <c r="F29" i="2"/>
  <c r="G29" i="2"/>
  <c r="H29" i="2"/>
  <c r="I29" i="2"/>
  <c r="J29" i="2"/>
  <c r="K29" i="2"/>
  <c r="L29" i="2"/>
  <c r="B27" i="2"/>
  <c r="C28" i="2"/>
  <c r="C27" i="2"/>
  <c r="D28" i="2"/>
  <c r="D27" i="2"/>
  <c r="E28" i="2"/>
  <c r="E27" i="2"/>
  <c r="F28" i="2"/>
  <c r="F27" i="2"/>
  <c r="G28" i="2"/>
  <c r="G27" i="2"/>
  <c r="H28" i="2"/>
  <c r="H27" i="2"/>
  <c r="I28" i="2"/>
  <c r="I27" i="2"/>
  <c r="J28" i="2"/>
  <c r="J27" i="2"/>
  <c r="K28" i="2"/>
  <c r="K27" i="2"/>
  <c r="L28" i="2"/>
  <c r="L27" i="2"/>
  <c r="L31" i="2"/>
  <c r="B26" i="1"/>
  <c r="B16" i="1"/>
  <c r="C38" i="2"/>
  <c r="D38" i="2"/>
  <c r="E38" i="2"/>
  <c r="F38" i="2"/>
  <c r="G38" i="2"/>
  <c r="H38" i="2"/>
  <c r="I38" i="2"/>
  <c r="J38" i="2"/>
  <c r="K38" i="2"/>
  <c r="L38" i="2"/>
  <c r="G3" i="1"/>
  <c r="B35" i="1"/>
  <c r="G5" i="1"/>
  <c r="B43" i="1"/>
  <c r="B41" i="1"/>
  <c r="B45" i="2"/>
  <c r="C30" i="2"/>
  <c r="C32" i="2"/>
  <c r="D30" i="2"/>
  <c r="D32" i="2"/>
  <c r="E30" i="2"/>
  <c r="E32" i="2"/>
  <c r="F30" i="2"/>
  <c r="F32" i="2"/>
  <c r="G30" i="2"/>
  <c r="G32" i="2"/>
  <c r="H30" i="2"/>
  <c r="H32" i="2"/>
  <c r="I30" i="2"/>
  <c r="I32" i="2"/>
  <c r="J30" i="2"/>
  <c r="J32" i="2"/>
  <c r="K30" i="2"/>
  <c r="K32" i="2"/>
  <c r="L30" i="2"/>
  <c r="L32" i="2"/>
  <c r="B46" i="2"/>
  <c r="C39" i="2"/>
  <c r="C41" i="2"/>
  <c r="D39" i="2"/>
  <c r="D41" i="2"/>
  <c r="E39" i="2"/>
  <c r="E41" i="2"/>
  <c r="F39" i="2"/>
  <c r="F41" i="2"/>
  <c r="G39" i="2"/>
  <c r="G41" i="2"/>
  <c r="H39" i="2"/>
  <c r="H41" i="2"/>
  <c r="I39" i="2"/>
  <c r="I41" i="2"/>
  <c r="J39" i="2"/>
  <c r="J41" i="2"/>
  <c r="K39" i="2"/>
  <c r="K41" i="2"/>
  <c r="L39" i="2"/>
  <c r="L40" i="2"/>
  <c r="L41" i="2"/>
  <c r="B47" i="2"/>
  <c r="B48" i="2"/>
  <c r="B8" i="2"/>
  <c r="B10" i="2"/>
  <c r="B13" i="2"/>
  <c r="B15" i="2"/>
  <c r="B17" i="2"/>
  <c r="B2" i="4"/>
  <c r="B3" i="4"/>
  <c r="C4" i="4"/>
  <c r="C5" i="4"/>
  <c r="D6" i="4"/>
  <c r="D7" i="4"/>
  <c r="D8" i="4"/>
  <c r="D9" i="4"/>
  <c r="C6" i="4"/>
  <c r="B4" i="4"/>
  <c r="E9" i="4"/>
  <c r="E10" i="4"/>
  <c r="E11" i="4"/>
  <c r="G47" i="1"/>
  <c r="B19" i="2"/>
  <c r="B20" i="2"/>
  <c r="G44" i="1"/>
  <c r="B33" i="2"/>
  <c r="G45" i="1"/>
  <c r="B42" i="2"/>
  <c r="G46" i="1"/>
  <c r="F45" i="1"/>
  <c r="F44" i="1"/>
  <c r="G4" i="1"/>
</calcChain>
</file>

<file path=xl/comments1.xml><?xml version="1.0" encoding="utf-8"?>
<comments xmlns="http://schemas.openxmlformats.org/spreadsheetml/2006/main">
  <authors>
    <author>Aswath Damodaran</author>
  </authors>
  <commentList>
    <comment ref="B18" authorId="0">
      <text>
        <r>
          <rPr>
            <b/>
            <sz val="10"/>
            <color indexed="81"/>
            <rFont val="Calibri"/>
          </rPr>
          <t>Aswath Damodaran:</t>
        </r>
        <r>
          <rPr>
            <sz val="10"/>
            <color indexed="81"/>
            <rFont val="Calibri"/>
          </rPr>
          <t xml:space="preserve">
The expected life of a user who does not renew is set to 25% of the projected life (an approximation). With 15 years and a 95% renewal rate for instance, the actual expected life is 3.41 years.</t>
        </r>
      </text>
    </comment>
  </commentList>
</comments>
</file>

<file path=xl/sharedStrings.xml><?xml version="1.0" encoding="utf-8"?>
<sst xmlns="http://schemas.openxmlformats.org/spreadsheetml/2006/main" count="167" uniqueCount="154">
  <si>
    <t>Most Recent</t>
  </si>
  <si>
    <t>Prior year</t>
  </si>
  <si>
    <t>Operating Information</t>
  </si>
  <si>
    <t>Macroeconomic Data</t>
  </si>
  <si>
    <t>Risk free Rate</t>
  </si>
  <si>
    <t>Cost of capital (existing users)</t>
  </si>
  <si>
    <t>Cost of capital (new users)</t>
  </si>
  <si>
    <t>Existing User Data</t>
  </si>
  <si>
    <t>New User Data</t>
  </si>
  <si>
    <t>Base Year</t>
  </si>
  <si>
    <t>Life of user =</t>
  </si>
  <si>
    <t>Value per new user (in today's $) =</t>
  </si>
  <si>
    <t>Existing Users</t>
  </si>
  <si>
    <t>New Users</t>
  </si>
  <si>
    <t>Inflation Rate</t>
  </si>
  <si>
    <t xml:space="preserve">Present Value </t>
  </si>
  <si>
    <t xml:space="preserve"> + Cash</t>
  </si>
  <si>
    <t>Value of New Users</t>
  </si>
  <si>
    <t>Value of Existing Users</t>
  </si>
  <si>
    <t>Yes or No</t>
  </si>
  <si>
    <t>Yes</t>
  </si>
  <si>
    <t>No</t>
  </si>
  <si>
    <t>All dollar values in millions</t>
  </si>
  <si>
    <t>Cost of capital</t>
  </si>
  <si>
    <t>Lowest decile of US companies (7%)</t>
  </si>
  <si>
    <t>25th percentile of US companies (7.5%)</t>
  </si>
  <si>
    <t>Median of US companies (8%)</t>
  </si>
  <si>
    <t>75th percentile of US companies (10%)</t>
  </si>
  <si>
    <t>Ninth decile of US companies (12%)</t>
  </si>
  <si>
    <t>Direct input</t>
  </si>
  <si>
    <t>Cost of capital for existing users (input choice)</t>
  </si>
  <si>
    <t>Cost of capital for new users (input choice)</t>
  </si>
  <si>
    <t>G&amp;A Data</t>
  </si>
  <si>
    <t>Notes/Comments</t>
  </si>
  <si>
    <t>Number of users , with growth over last year</t>
  </si>
  <si>
    <t>Do not input</t>
  </si>
  <si>
    <t>If yes, you have to input the cost in B29</t>
  </si>
  <si>
    <t>Cost of acquiring new user used in valuation</t>
  </si>
  <si>
    <t>Growth rate in corporate expenses for next 10 years</t>
  </si>
  <si>
    <t>Corporate Expense Growth</t>
  </si>
  <si>
    <t>A1. Grow at same rate as total users</t>
  </si>
  <si>
    <t>A2. Grow at inflation rate</t>
  </si>
  <si>
    <t>A3. Grow at risk free rate</t>
  </si>
  <si>
    <t>A4. Direct Input</t>
  </si>
  <si>
    <t>Growth rate approach for G&amp;A</t>
  </si>
  <si>
    <t>Cost of Capital</t>
  </si>
  <si>
    <t>B1. Lowest decile of US companies</t>
  </si>
  <si>
    <t>b2. 25th percentile of US companies (7.5%)</t>
  </si>
  <si>
    <t>B3. Median of US companies (8%)</t>
  </si>
  <si>
    <t>B4. 75th percentile of US companies (10%)</t>
  </si>
  <si>
    <t>B5. Ninth decile of US companies (12%)</t>
  </si>
  <si>
    <t>B6. Direct input</t>
  </si>
  <si>
    <t>Value Added by New Users</t>
  </si>
  <si>
    <t>Value Drag of Corporate Expenses (Cost)</t>
  </si>
  <si>
    <t>Corporate Expenses</t>
  </si>
  <si>
    <t>After-tax Corporate Expenses</t>
  </si>
  <si>
    <t>Terminal Value (Corporate Exp)</t>
  </si>
  <si>
    <t>PV of Corporate Expenses</t>
  </si>
  <si>
    <t>Input cell</t>
  </si>
  <si>
    <t>Computed Value</t>
  </si>
  <si>
    <t>Value Drag of Corporate Expenses</t>
  </si>
  <si>
    <t>Valuation Output Summary</t>
  </si>
  <si>
    <t>Value per user</t>
  </si>
  <si>
    <t>Aggregate Value</t>
  </si>
  <si>
    <t>Category</t>
  </si>
  <si>
    <t xml:space="preserve"> - Debt</t>
  </si>
  <si>
    <t>User Value</t>
  </si>
  <si>
    <t xml:space="preserve"> - Corporate Expense Drag</t>
  </si>
  <si>
    <t>Uber Operating Assets</t>
  </si>
  <si>
    <t xml:space="preserve"> + Didi Cross Holding</t>
  </si>
  <si>
    <t>Uber Firm Value</t>
  </si>
  <si>
    <t>Company Value</t>
  </si>
  <si>
    <t>Asset value</t>
  </si>
  <si>
    <t>Equity Value</t>
  </si>
  <si>
    <t>Uber's Equity Value</t>
  </si>
  <si>
    <t>Prime Membership Charge</t>
  </si>
  <si>
    <t>Value of Amazon Prime</t>
  </si>
  <si>
    <t>Operating Income on Incremental Sales</t>
  </si>
  <si>
    <t xml:space="preserve">Revenue/Prime Member </t>
  </si>
  <si>
    <t>Incremental Revenue/Member</t>
  </si>
  <si>
    <t>Operating Margin (pre-shipping)</t>
  </si>
  <si>
    <t>Service Cost/ Prime Member</t>
  </si>
  <si>
    <t>NA</t>
  </si>
  <si>
    <t>Shipping Cost/ Prime Member</t>
  </si>
  <si>
    <t>Operating Profit/Loss per Member</t>
  </si>
  <si>
    <t>Membership Survival</t>
  </si>
  <si>
    <t>Prime Membership Shipping Costs (Total)</t>
  </si>
  <si>
    <t>Incremental Revenue/ Member (Prime versus Regular)</t>
  </si>
  <si>
    <t>Growth rate in Shipping Costs used in valuation</t>
  </si>
  <si>
    <t>Tax rate</t>
  </si>
  <si>
    <t>Effective tax rate (current)</t>
  </si>
  <si>
    <t>Effective tax rate (steady state)</t>
  </si>
  <si>
    <t xml:space="preserve">Life Indicator </t>
  </si>
  <si>
    <t>After-tax Operating Income</t>
  </si>
  <si>
    <t>Present Value (at Cost of Capital)</t>
  </si>
  <si>
    <t>Value per Prime Member =</t>
  </si>
  <si>
    <t>Number of Prime Members =</t>
  </si>
  <si>
    <t>Value of Prime Members =</t>
  </si>
  <si>
    <t>Cost of acquiring new Member =</t>
  </si>
  <si>
    <t>Growth rate in # Members (Years 1-5)</t>
  </si>
  <si>
    <t>Growth rate in # Members (Years 6-10)</t>
  </si>
  <si>
    <t>Total Prime Members</t>
  </si>
  <si>
    <t>New Members</t>
  </si>
  <si>
    <t>Value per new Member</t>
  </si>
  <si>
    <t>Value added by new Members</t>
  </si>
  <si>
    <t>Terminal Value (New Members)</t>
  </si>
  <si>
    <t>Technology and Content Costs</t>
  </si>
  <si>
    <t>Value of Existing Members</t>
  </si>
  <si>
    <t>Value of New Members</t>
  </si>
  <si>
    <t>Percent of G&amp;A/Technology Costs attributable to Prime</t>
  </si>
  <si>
    <t>Value of Prime Membership</t>
  </si>
  <si>
    <t>Will Shipping Costs grow with revenues?</t>
  </si>
  <si>
    <t>Number of Prime Members</t>
  </si>
  <si>
    <t>Existing Members</t>
  </si>
  <si>
    <t>Prime Membership Annual Charge (Monthly is higher)</t>
  </si>
  <si>
    <t>Annual Revenue/Prime Member - Revenue/Non-prime Customer</t>
  </si>
  <si>
    <t>Operating Margin in most recent period, prior to shipping subsidy</t>
  </si>
  <si>
    <t>Subsidized Shipping Cost (assumed to be entirely Prime related)</t>
  </si>
  <si>
    <t>Effective tax rate in most recent year</t>
  </si>
  <si>
    <t>Effective tax rate in steady state</t>
  </si>
  <si>
    <t>Lifetime of a Prime Member</t>
  </si>
  <si>
    <t>A guess, but given renewal rates, it should be very high</t>
  </si>
  <si>
    <t>Annual renewal probability (assumed to be constant over time)</t>
  </si>
  <si>
    <t>Annual Growth Rate in Service Costs/ Member</t>
  </si>
  <si>
    <t>Annual Growth Rate in Prime Membership Charge/ Member</t>
  </si>
  <si>
    <t>If set to yes, this will grow at same rate as incremental revenues</t>
  </si>
  <si>
    <t>If no on prior question, enter this number.</t>
  </si>
  <si>
    <t>Number used as growth rate in shipping costs</t>
  </si>
  <si>
    <t>Growth rate in number of members from years 1-5</t>
  </si>
  <si>
    <t>Growth rate in number of members from years 6-10</t>
  </si>
  <si>
    <t>Choice for growth rate in G&amp;A/ Technology Costs</t>
  </si>
  <si>
    <t>Pre-tax Operating Margin (pre-shipping cost)</t>
  </si>
  <si>
    <t>Do you expect this margin to change over time?</t>
  </si>
  <si>
    <t>Prime Membership Service (non-Shipping) Cost/Member</t>
  </si>
  <si>
    <t>Annual Incremental Cost of Servicing Prime Members, not including shipping</t>
  </si>
  <si>
    <t>If you say no, operating margin will be left at current level</t>
  </si>
  <si>
    <t>If yes, enter target operating margin</t>
  </si>
  <si>
    <t>If yes, enter your target operating margin</t>
  </si>
  <si>
    <t>Operating Margin used in the valuation</t>
  </si>
  <si>
    <t>Operating Margin used as steady state</t>
  </si>
  <si>
    <t>Amazon Prime Share of Expenses</t>
  </si>
  <si>
    <t xml:space="preserve"> - PV of Corporate Expenses</t>
  </si>
  <si>
    <t>Total Media &amp; Content Costs</t>
  </si>
  <si>
    <t>Allocated Costs</t>
  </si>
  <si>
    <t>Cost of acquiring a new Prime Member (assumed to be in Marketing costs)</t>
  </si>
  <si>
    <t>This is the portion of cechnology &amp; content costs that are attributable to Prime Members.</t>
  </si>
  <si>
    <t>Growth rate in Annual incremental revenues/Member (Yrs 1-5)</t>
  </si>
  <si>
    <t>Annual Renewal Probability</t>
  </si>
  <si>
    <t xml:space="preserve">Growth rate in Annual Incremental Revenue/ Prime Member  Years 1-5). </t>
  </si>
  <si>
    <t>Growth rate in incremental revenue</t>
  </si>
  <si>
    <t xml:space="preserve">Growth rate in Membership Charge </t>
  </si>
  <si>
    <t>Growth rate in Service Cost/Member (Yrs 1-5)</t>
  </si>
  <si>
    <t>If no, enter the growth rate in shipping costs (Yrs 1-5)</t>
  </si>
  <si>
    <t>Valuing Amazon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</si>
</sst>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%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0" fillId="0" borderId="0" xfId="0" applyFont="1"/>
    <xf numFmtId="4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2" xfId="0" applyFont="1" applyBorder="1"/>
    <xf numFmtId="10" fontId="0" fillId="0" borderId="2" xfId="0" applyNumberFormat="1" applyBorder="1"/>
    <xf numFmtId="10" fontId="0" fillId="2" borderId="2" xfId="0" applyNumberFormat="1" applyFill="1" applyBorder="1"/>
    <xf numFmtId="0" fontId="3" fillId="0" borderId="0" xfId="0" applyFont="1" applyAlignment="1">
      <alignment horizontal="center"/>
    </xf>
    <xf numFmtId="44" fontId="0" fillId="3" borderId="2" xfId="1" applyFont="1" applyFill="1" applyBorder="1"/>
    <xf numFmtId="44" fontId="0" fillId="3" borderId="2" xfId="0" applyNumberFormat="1" applyFill="1" applyBorder="1"/>
    <xf numFmtId="2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44" fontId="2" fillId="3" borderId="2" xfId="1" applyFont="1" applyFill="1" applyBorder="1" applyAlignment="1">
      <alignment horizontal="center"/>
    </xf>
    <xf numFmtId="0" fontId="0" fillId="0" borderId="4" xfId="0" applyBorder="1"/>
    <xf numFmtId="0" fontId="0" fillId="3" borderId="6" xfId="0" applyFill="1" applyBorder="1"/>
    <xf numFmtId="0" fontId="2" fillId="0" borderId="4" xfId="0" applyFont="1" applyBorder="1"/>
    <xf numFmtId="2" fontId="0" fillId="2" borderId="2" xfId="0" applyNumberFormat="1" applyFill="1" applyBorder="1" applyAlignment="1">
      <alignment horizontal="center"/>
    </xf>
    <xf numFmtId="164" fontId="0" fillId="3" borderId="2" xfId="1" applyNumberFormat="1" applyFont="1" applyFill="1" applyBorder="1"/>
    <xf numFmtId="164" fontId="0" fillId="3" borderId="2" xfId="0" applyNumberFormat="1" applyFill="1" applyBorder="1"/>
    <xf numFmtId="2" fontId="0" fillId="2" borderId="2" xfId="0" applyNumberFormat="1" applyFill="1" applyBorder="1" applyAlignment="1" applyProtection="1">
      <alignment horizontal="center"/>
      <protection locked="0"/>
    </xf>
    <xf numFmtId="10" fontId="0" fillId="2" borderId="2" xfId="2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0" fontId="0" fillId="2" borderId="2" xfId="0" applyNumberFormat="1" applyFill="1" applyBorder="1" applyAlignment="1" applyProtection="1">
      <alignment horizontal="center"/>
      <protection locked="0"/>
    </xf>
    <xf numFmtId="2" fontId="0" fillId="2" borderId="2" xfId="1" applyNumberFormat="1" applyFont="1" applyFill="1" applyBorder="1" applyAlignment="1" applyProtection="1">
      <alignment horizontal="center"/>
      <protection locked="0"/>
    </xf>
    <xf numFmtId="9" fontId="0" fillId="2" borderId="2" xfId="0" applyNumberFormat="1" applyFill="1" applyBorder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10" fontId="0" fillId="3" borderId="2" xfId="2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10" fontId="0" fillId="3" borderId="2" xfId="0" applyNumberFormat="1" applyFill="1" applyBorder="1" applyAlignment="1" applyProtection="1">
      <alignment horizontal="center"/>
      <protection locked="0"/>
    </xf>
    <xf numFmtId="10" fontId="0" fillId="0" borderId="2" xfId="2" applyNumberFormat="1" applyFont="1" applyFill="1" applyBorder="1"/>
    <xf numFmtId="10" fontId="0" fillId="0" borderId="2" xfId="0" applyNumberFormat="1" applyFill="1" applyBorder="1"/>
    <xf numFmtId="0" fontId="0" fillId="2" borderId="2" xfId="0" applyFill="1" applyBorder="1" applyAlignment="1" applyProtection="1">
      <alignment horizontal="center"/>
      <protection locked="0"/>
    </xf>
    <xf numFmtId="10" fontId="0" fillId="3" borderId="2" xfId="0" applyNumberFormat="1" applyFont="1" applyFill="1" applyBorder="1" applyAlignment="1" applyProtection="1">
      <alignment horizontal="center"/>
      <protection locked="0"/>
    </xf>
    <xf numFmtId="44" fontId="2" fillId="3" borderId="0" xfId="1" applyFont="1" applyFill="1" applyBorder="1" applyAlignment="1">
      <alignment horizontal="center"/>
    </xf>
    <xf numFmtId="0" fontId="2" fillId="0" borderId="8" xfId="0" applyFont="1" applyFill="1" applyBorder="1"/>
    <xf numFmtId="0" fontId="0" fillId="3" borderId="6" xfId="0" applyFill="1" applyBorder="1" applyAlignment="1">
      <alignment horizontal="center"/>
    </xf>
    <xf numFmtId="0" fontId="2" fillId="0" borderId="4" xfId="0" applyFont="1" applyFill="1" applyBorder="1"/>
    <xf numFmtId="2" fontId="0" fillId="3" borderId="6" xfId="1" applyNumberFormat="1" applyFont="1" applyFill="1" applyBorder="1"/>
    <xf numFmtId="44" fontId="2" fillId="3" borderId="1" xfId="1" applyFont="1" applyFill="1" applyBorder="1"/>
    <xf numFmtId="44" fontId="2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ill="1" applyBorder="1"/>
    <xf numFmtId="164" fontId="2" fillId="3" borderId="1" xfId="0" applyNumberFormat="1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2" fillId="3" borderId="15" xfId="0" applyFont="1" applyFill="1" applyBorder="1"/>
    <xf numFmtId="165" fontId="2" fillId="3" borderId="16" xfId="0" applyNumberFormat="1" applyFont="1" applyFill="1" applyBorder="1" applyAlignment="1">
      <alignment horizontal="center"/>
    </xf>
    <xf numFmtId="10" fontId="0" fillId="3" borderId="2" xfId="0" applyNumberFormat="1" applyFill="1" applyBorder="1"/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0" borderId="17" xfId="0" applyBorder="1"/>
    <xf numFmtId="0" fontId="0" fillId="4" borderId="2" xfId="0" applyFill="1" applyBorder="1"/>
    <xf numFmtId="0" fontId="0" fillId="0" borderId="0" xfId="0" applyFill="1"/>
    <xf numFmtId="0" fontId="3" fillId="0" borderId="9" xfId="0" applyFont="1" applyFill="1" applyBorder="1"/>
    <xf numFmtId="0" fontId="0" fillId="0" borderId="12" xfId="0" applyFill="1" applyBorder="1"/>
    <xf numFmtId="0" fontId="2" fillId="0" borderId="14" xfId="0" applyFont="1" applyFill="1" applyBorder="1"/>
    <xf numFmtId="0" fontId="3" fillId="0" borderId="9" xfId="0" applyFont="1" applyBorder="1" applyAlignment="1">
      <alignment horizontal="center"/>
    </xf>
    <xf numFmtId="44" fontId="0" fillId="0" borderId="22" xfId="1" applyFont="1" applyBorder="1" applyAlignment="1">
      <alignment horizontal="center"/>
    </xf>
    <xf numFmtId="44" fontId="2" fillId="0" borderId="16" xfId="0" applyNumberFormat="1" applyFont="1" applyBorder="1"/>
    <xf numFmtId="0" fontId="0" fillId="0" borderId="18" xfId="0" applyBorder="1"/>
    <xf numFmtId="44" fontId="0" fillId="0" borderId="29" xfId="1" applyFont="1" applyBorder="1" applyAlignment="1">
      <alignment horizontal="center"/>
    </xf>
    <xf numFmtId="0" fontId="0" fillId="0" borderId="19" xfId="0" applyBorder="1"/>
    <xf numFmtId="44" fontId="0" fillId="0" borderId="5" xfId="1" applyFont="1" applyBorder="1"/>
    <xf numFmtId="0" fontId="0" fillId="0" borderId="30" xfId="0" applyBorder="1"/>
    <xf numFmtId="44" fontId="0" fillId="0" borderId="30" xfId="0" applyNumberFormat="1" applyBorder="1" applyAlignment="1"/>
    <xf numFmtId="44" fontId="2" fillId="0" borderId="31" xfId="1" applyFont="1" applyBorder="1"/>
    <xf numFmtId="44" fontId="0" fillId="0" borderId="3" xfId="1" applyFont="1" applyBorder="1"/>
    <xf numFmtId="44" fontId="2" fillId="0" borderId="31" xfId="0" applyNumberFormat="1" applyFont="1" applyBorder="1"/>
    <xf numFmtId="44" fontId="0" fillId="0" borderId="6" xfId="1" applyFont="1" applyBorder="1"/>
    <xf numFmtId="44" fontId="0" fillId="0" borderId="32" xfId="1" applyFont="1" applyBorder="1"/>
    <xf numFmtId="44" fontId="0" fillId="0" borderId="33" xfId="0" applyNumberFormat="1" applyBorder="1" applyAlignment="1"/>
    <xf numFmtId="0" fontId="2" fillId="0" borderId="0" xfId="0" applyFont="1" applyAlignment="1">
      <alignment horizontal="center"/>
    </xf>
    <xf numFmtId="164" fontId="0" fillId="2" borderId="2" xfId="1" applyNumberFormat="1" applyFont="1" applyFill="1" applyBorder="1" applyAlignment="1" applyProtection="1">
      <alignment horizontal="center"/>
      <protection locked="0"/>
    </xf>
    <xf numFmtId="164" fontId="0" fillId="2" borderId="2" xfId="1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0" borderId="2" xfId="0" applyNumberFormat="1" applyBorder="1"/>
    <xf numFmtId="44" fontId="0" fillId="3" borderId="0" xfId="1" applyFont="1" applyFill="1"/>
    <xf numFmtId="10" fontId="0" fillId="2" borderId="0" xfId="0" applyNumberFormat="1" applyFill="1" applyAlignment="1">
      <alignment horizontal="center"/>
    </xf>
    <xf numFmtId="164" fontId="0" fillId="3" borderId="0" xfId="1" applyNumberFormat="1" applyFont="1" applyFill="1" applyBorder="1"/>
    <xf numFmtId="164" fontId="0" fillId="2" borderId="2" xfId="2" applyNumberFormat="1" applyFont="1" applyFill="1" applyBorder="1" applyAlignment="1" applyProtection="1">
      <alignment horizontal="center"/>
      <protection locked="0"/>
    </xf>
    <xf numFmtId="10" fontId="0" fillId="2" borderId="5" xfId="2" applyNumberFormat="1" applyFont="1" applyFill="1" applyBorder="1" applyAlignment="1" applyProtection="1">
      <alignment horizontal="center"/>
      <protection locked="0"/>
    </xf>
    <xf numFmtId="164" fontId="0" fillId="3" borderId="1" xfId="0" applyNumberFormat="1" applyFill="1" applyBorder="1"/>
    <xf numFmtId="164" fontId="0" fillId="3" borderId="0" xfId="0" applyNumberFormat="1" applyFill="1"/>
    <xf numFmtId="44" fontId="0" fillId="3" borderId="0" xfId="1" applyNumberFormat="1" applyFont="1" applyFill="1"/>
    <xf numFmtId="44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0" fontId="0" fillId="4" borderId="0" xfId="0" applyFill="1" applyBorder="1"/>
    <xf numFmtId="10" fontId="0" fillId="3" borderId="2" xfId="1" applyNumberFormat="1" applyFont="1" applyFill="1" applyBorder="1"/>
    <xf numFmtId="10" fontId="0" fillId="3" borderId="0" xfId="2" applyNumberFormat="1" applyFont="1" applyFill="1"/>
    <xf numFmtId="44" fontId="0" fillId="0" borderId="0" xfId="1" applyFont="1"/>
    <xf numFmtId="0" fontId="2" fillId="0" borderId="0" xfId="0" applyFont="1" applyAlignment="1">
      <alignment horizontal="center"/>
    </xf>
    <xf numFmtId="164" fontId="0" fillId="0" borderId="2" xfId="2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0" fillId="0" borderId="6" xfId="0" applyFill="1" applyBorder="1" applyAlignment="1">
      <alignment wrapText="1"/>
    </xf>
    <xf numFmtId="0" fontId="0" fillId="0" borderId="0" xfId="0" applyAlignment="1">
      <alignment horizontal="left"/>
    </xf>
    <xf numFmtId="10" fontId="0" fillId="3" borderId="0" xfId="2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0" fillId="4" borderId="3" xfId="0" applyFill="1" applyBorder="1" applyAlignment="1">
      <alignment horizontal="left" wrapText="1"/>
    </xf>
    <xf numFmtId="0" fontId="0" fillId="4" borderId="5" xfId="0" applyFill="1" applyBorder="1" applyAlignment="1">
      <alignment horizontal="left" wrapText="1"/>
    </xf>
    <xf numFmtId="0" fontId="0" fillId="0" borderId="18" xfId="0" applyBorder="1"/>
    <xf numFmtId="0" fontId="0" fillId="0" borderId="8" xfId="0" applyBorder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5" xfId="0" applyNumberFormat="1" applyBorder="1" applyAlignment="1">
      <alignment horizontal="center"/>
    </xf>
    <xf numFmtId="44" fontId="0" fillId="0" borderId="26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27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75" zoomScaleNormal="75" zoomScalePageLayoutView="75" workbookViewId="0">
      <selection activeCell="B6" sqref="B6"/>
    </sheetView>
  </sheetViews>
  <sheetFormatPr baseColWidth="10" defaultRowHeight="16" x14ac:dyDescent="0.2"/>
  <cols>
    <col min="1" max="1" width="56" customWidth="1"/>
    <col min="2" max="2" width="36.6640625" style="7" customWidth="1"/>
    <col min="3" max="3" width="21.6640625" style="7" customWidth="1"/>
    <col min="5" max="5" width="64" style="64" customWidth="1"/>
    <col min="6" max="6" width="33.83203125" customWidth="1"/>
    <col min="7" max="7" width="14.83203125" customWidth="1"/>
    <col min="8" max="8" width="33.83203125" customWidth="1"/>
  </cols>
  <sheetData>
    <row r="1" spans="1:7" x14ac:dyDescent="0.2">
      <c r="A1" s="49" t="s">
        <v>58</v>
      </c>
      <c r="B1" s="48" t="s">
        <v>59</v>
      </c>
    </row>
    <row r="2" spans="1:7" x14ac:dyDescent="0.2">
      <c r="A2" s="1" t="s">
        <v>2</v>
      </c>
      <c r="E2" s="61" t="s">
        <v>33</v>
      </c>
      <c r="F2" s="112" t="s">
        <v>39</v>
      </c>
      <c r="G2" s="112"/>
    </row>
    <row r="3" spans="1:7" x14ac:dyDescent="0.2">
      <c r="A3" s="11" t="s">
        <v>22</v>
      </c>
      <c r="B3" s="5" t="s">
        <v>0</v>
      </c>
      <c r="C3" s="5" t="s">
        <v>1</v>
      </c>
      <c r="E3" s="60"/>
      <c r="F3" s="4" t="s">
        <v>40</v>
      </c>
      <c r="G3" s="37">
        <f>(Valuation!L27/Valuation!B27)^(1/10)-1</f>
        <v>6.9149805077885818E-2</v>
      </c>
    </row>
    <row r="4" spans="1:7" x14ac:dyDescent="0.2">
      <c r="A4" s="4" t="s">
        <v>112</v>
      </c>
      <c r="B4" s="27">
        <v>85</v>
      </c>
      <c r="C4" s="24">
        <v>60</v>
      </c>
      <c r="E4" s="63" t="s">
        <v>34</v>
      </c>
      <c r="F4" s="62" t="s">
        <v>41</v>
      </c>
      <c r="G4" s="38">
        <f>B39</f>
        <v>1.4999999999999999E-2</v>
      </c>
    </row>
    <row r="5" spans="1:7" x14ac:dyDescent="0.2">
      <c r="A5" s="4" t="s">
        <v>75</v>
      </c>
      <c r="B5" s="84">
        <f>(99*0.75+10.99*12*0.25)*0.8+50*0.2</f>
        <v>95.77600000000001</v>
      </c>
      <c r="C5" s="85">
        <v>99</v>
      </c>
      <c r="E5" s="63" t="s">
        <v>114</v>
      </c>
      <c r="F5" s="62" t="s">
        <v>42</v>
      </c>
      <c r="G5" s="38">
        <f>B38</f>
        <v>2.2499999999999999E-2</v>
      </c>
    </row>
    <row r="6" spans="1:7" x14ac:dyDescent="0.2">
      <c r="A6" s="4" t="s">
        <v>87</v>
      </c>
      <c r="B6" s="84">
        <v>600</v>
      </c>
      <c r="C6" s="85">
        <v>600</v>
      </c>
      <c r="E6" s="63" t="s">
        <v>115</v>
      </c>
      <c r="F6" s="62" t="s">
        <v>43</v>
      </c>
      <c r="G6" s="10">
        <v>0.04</v>
      </c>
    </row>
    <row r="7" spans="1:7" x14ac:dyDescent="0.2">
      <c r="A7" s="4" t="s">
        <v>131</v>
      </c>
      <c r="B7" s="93">
        <f>(4186+7191+Valuation!B23*20+Valuation!B38)/(79785+43983)</f>
        <v>0.12107733824575011</v>
      </c>
      <c r="E7" s="63" t="s">
        <v>116</v>
      </c>
    </row>
    <row r="8" spans="1:7" x14ac:dyDescent="0.2">
      <c r="A8" s="4" t="s">
        <v>132</v>
      </c>
      <c r="B8" s="93" t="s">
        <v>20</v>
      </c>
      <c r="E8" s="63" t="s">
        <v>135</v>
      </c>
    </row>
    <row r="9" spans="1:7" x14ac:dyDescent="0.2">
      <c r="A9" s="4" t="s">
        <v>137</v>
      </c>
      <c r="B9" s="93">
        <v>0.13</v>
      </c>
      <c r="E9" s="63" t="s">
        <v>136</v>
      </c>
    </row>
    <row r="10" spans="1:7" x14ac:dyDescent="0.2">
      <c r="A10" s="4" t="s">
        <v>139</v>
      </c>
      <c r="B10" s="93">
        <f>IF(B8="Yes",B9,B7)</f>
        <v>0.13</v>
      </c>
      <c r="E10" s="63" t="s">
        <v>138</v>
      </c>
    </row>
    <row r="11" spans="1:7" x14ac:dyDescent="0.2">
      <c r="A11" s="4" t="s">
        <v>133</v>
      </c>
      <c r="B11" s="84">
        <v>10</v>
      </c>
      <c r="E11" s="63" t="s">
        <v>134</v>
      </c>
      <c r="F11" s="113" t="s">
        <v>45</v>
      </c>
      <c r="G11" s="113"/>
    </row>
    <row r="12" spans="1:7" x14ac:dyDescent="0.2">
      <c r="A12" s="4" t="s">
        <v>86</v>
      </c>
      <c r="B12" s="28" t="s">
        <v>82</v>
      </c>
      <c r="C12" s="86">
        <v>7191</v>
      </c>
      <c r="E12" s="63" t="s">
        <v>117</v>
      </c>
      <c r="F12" s="62" t="s">
        <v>46</v>
      </c>
      <c r="G12" s="9">
        <v>7.0000000000000007E-2</v>
      </c>
    </row>
    <row r="13" spans="1:7" x14ac:dyDescent="0.2">
      <c r="A13" s="4" t="s">
        <v>90</v>
      </c>
      <c r="B13" s="28">
        <v>0.2</v>
      </c>
      <c r="E13" s="63" t="s">
        <v>118</v>
      </c>
      <c r="F13" s="62" t="s">
        <v>47</v>
      </c>
      <c r="G13" s="9">
        <v>7.4999999999999997E-2</v>
      </c>
    </row>
    <row r="14" spans="1:7" x14ac:dyDescent="0.2">
      <c r="A14" s="4" t="s">
        <v>91</v>
      </c>
      <c r="B14" s="28">
        <v>0.25</v>
      </c>
      <c r="E14" s="63" t="s">
        <v>119</v>
      </c>
      <c r="F14" s="62" t="s">
        <v>48</v>
      </c>
      <c r="G14" s="9">
        <v>0.08</v>
      </c>
    </row>
    <row r="15" spans="1:7" x14ac:dyDescent="0.2">
      <c r="A15" s="106" t="s">
        <v>143</v>
      </c>
      <c r="B15" s="105"/>
      <c r="C15"/>
      <c r="E15" s="107"/>
      <c r="F15" s="62" t="s">
        <v>49</v>
      </c>
      <c r="G15" s="9">
        <v>0.1</v>
      </c>
    </row>
    <row r="16" spans="1:7" x14ac:dyDescent="0.2">
      <c r="A16" s="4" t="s">
        <v>106</v>
      </c>
      <c r="B16" s="92">
        <f>16085</f>
        <v>16085</v>
      </c>
      <c r="E16" s="114" t="s">
        <v>145</v>
      </c>
      <c r="F16" s="62" t="s">
        <v>50</v>
      </c>
      <c r="G16" s="9">
        <v>0.12</v>
      </c>
    </row>
    <row r="17" spans="1:7" x14ac:dyDescent="0.2">
      <c r="A17" s="6" t="s">
        <v>109</v>
      </c>
      <c r="B17" s="28">
        <v>0.1</v>
      </c>
      <c r="E17" s="115"/>
      <c r="F17" s="62" t="s">
        <v>51</v>
      </c>
      <c r="G17" s="10">
        <v>0.105</v>
      </c>
    </row>
    <row r="18" spans="1:7" x14ac:dyDescent="0.2">
      <c r="A18" s="1" t="s">
        <v>7</v>
      </c>
      <c r="B18" s="29"/>
      <c r="E18" s="108"/>
    </row>
    <row r="19" spans="1:7" x14ac:dyDescent="0.2">
      <c r="A19" s="2" t="s">
        <v>146</v>
      </c>
      <c r="B19" s="30">
        <v>0.1</v>
      </c>
      <c r="E19" s="63" t="s">
        <v>148</v>
      </c>
    </row>
    <row r="20" spans="1:7" x14ac:dyDescent="0.2">
      <c r="A20" s="8" t="s">
        <v>120</v>
      </c>
      <c r="B20" s="31">
        <v>20</v>
      </c>
      <c r="E20" s="63" t="s">
        <v>121</v>
      </c>
    </row>
    <row r="21" spans="1:7" x14ac:dyDescent="0.2">
      <c r="A21" s="4" t="s">
        <v>147</v>
      </c>
      <c r="B21" s="32">
        <v>0.96</v>
      </c>
      <c r="E21" s="63" t="s">
        <v>122</v>
      </c>
    </row>
    <row r="22" spans="1:7" x14ac:dyDescent="0.2">
      <c r="A22" s="4" t="s">
        <v>150</v>
      </c>
      <c r="B22" s="30">
        <v>0.02</v>
      </c>
      <c r="E22" s="63" t="s">
        <v>124</v>
      </c>
    </row>
    <row r="23" spans="1:7" x14ac:dyDescent="0.2">
      <c r="A23" s="4" t="s">
        <v>151</v>
      </c>
      <c r="B23" s="28">
        <v>0.05</v>
      </c>
      <c r="C23" s="35"/>
      <c r="E23" s="63" t="s">
        <v>123</v>
      </c>
    </row>
    <row r="24" spans="1:7" x14ac:dyDescent="0.2">
      <c r="A24" s="4" t="s">
        <v>111</v>
      </c>
      <c r="B24" s="90" t="s">
        <v>21</v>
      </c>
      <c r="E24" s="63" t="s">
        <v>125</v>
      </c>
    </row>
    <row r="25" spans="1:7" x14ac:dyDescent="0.2">
      <c r="A25" s="4" t="s">
        <v>152</v>
      </c>
      <c r="B25" s="28">
        <v>0.03</v>
      </c>
      <c r="E25" s="63" t="s">
        <v>126</v>
      </c>
    </row>
    <row r="26" spans="1:7" x14ac:dyDescent="0.2">
      <c r="A26" s="4" t="s">
        <v>88</v>
      </c>
      <c r="B26" s="36">
        <f>IF(B24="Yes",B19,B25)</f>
        <v>0.03</v>
      </c>
      <c r="C26" s="35" t="s">
        <v>35</v>
      </c>
      <c r="E26" s="63" t="s">
        <v>127</v>
      </c>
    </row>
    <row r="27" spans="1:7" x14ac:dyDescent="0.2">
      <c r="B27" s="33"/>
      <c r="E27"/>
    </row>
    <row r="28" spans="1:7" x14ac:dyDescent="0.2">
      <c r="A28" s="1" t="s">
        <v>8</v>
      </c>
      <c r="B28" s="33"/>
      <c r="E28"/>
    </row>
    <row r="29" spans="1:7" x14ac:dyDescent="0.2">
      <c r="A29" s="4" t="s">
        <v>37</v>
      </c>
      <c r="B29" s="84">
        <v>100</v>
      </c>
      <c r="C29" s="35" t="s">
        <v>35</v>
      </c>
      <c r="E29" s="63" t="s">
        <v>144</v>
      </c>
    </row>
    <row r="30" spans="1:7" x14ac:dyDescent="0.2">
      <c r="A30" s="4" t="s">
        <v>99</v>
      </c>
      <c r="B30" s="32">
        <v>0.15</v>
      </c>
      <c r="E30" s="63" t="s">
        <v>128</v>
      </c>
    </row>
    <row r="31" spans="1:7" x14ac:dyDescent="0.2">
      <c r="A31" s="4" t="s">
        <v>100</v>
      </c>
      <c r="B31" s="32">
        <v>0.05</v>
      </c>
      <c r="E31" s="100" t="s">
        <v>129</v>
      </c>
    </row>
    <row r="32" spans="1:7" x14ac:dyDescent="0.2">
      <c r="B32" s="29"/>
      <c r="E32"/>
    </row>
    <row r="33" spans="1:7" x14ac:dyDescent="0.2">
      <c r="A33" s="1" t="s">
        <v>32</v>
      </c>
      <c r="B33" s="29"/>
      <c r="E33"/>
    </row>
    <row r="34" spans="1:7" x14ac:dyDescent="0.2">
      <c r="A34" s="2" t="s">
        <v>44</v>
      </c>
      <c r="B34" s="39" t="s">
        <v>43</v>
      </c>
      <c r="E34" s="63" t="s">
        <v>130</v>
      </c>
    </row>
    <row r="35" spans="1:7" x14ac:dyDescent="0.2">
      <c r="A35" s="4" t="s">
        <v>38</v>
      </c>
      <c r="B35" s="40">
        <f>VLOOKUP(B34,F3:G6,2)</f>
        <v>0.04</v>
      </c>
      <c r="C35" s="35" t="s">
        <v>35</v>
      </c>
      <c r="E35" s="63" t="s">
        <v>36</v>
      </c>
    </row>
    <row r="36" spans="1:7" x14ac:dyDescent="0.2">
      <c r="B36" s="29"/>
      <c r="E36"/>
    </row>
    <row r="37" spans="1:7" x14ac:dyDescent="0.2">
      <c r="A37" s="1" t="s">
        <v>3</v>
      </c>
      <c r="B37" s="29"/>
      <c r="E37"/>
    </row>
    <row r="38" spans="1:7" x14ac:dyDescent="0.2">
      <c r="A38" s="4" t="s">
        <v>4</v>
      </c>
      <c r="B38" s="28">
        <v>2.2499999999999999E-2</v>
      </c>
      <c r="E38"/>
    </row>
    <row r="39" spans="1:7" x14ac:dyDescent="0.2">
      <c r="A39" s="4" t="s">
        <v>14</v>
      </c>
      <c r="B39" s="28">
        <v>1.4999999999999999E-2</v>
      </c>
      <c r="E39"/>
    </row>
    <row r="40" spans="1:7" x14ac:dyDescent="0.2">
      <c r="A40" s="4" t="s">
        <v>30</v>
      </c>
      <c r="B40" s="28" t="s">
        <v>48</v>
      </c>
    </row>
    <row r="41" spans="1:7" x14ac:dyDescent="0.2">
      <c r="A41" s="4" t="s">
        <v>5</v>
      </c>
      <c r="B41" s="34">
        <f>VLOOKUP(B40,F12:G17,2)</f>
        <v>0.08</v>
      </c>
      <c r="C41" s="35" t="s">
        <v>35</v>
      </c>
      <c r="F41" s="83"/>
      <c r="G41" s="83"/>
    </row>
    <row r="42" spans="1:7" ht="17" thickBot="1" x14ac:dyDescent="0.25">
      <c r="A42" s="4" t="s">
        <v>31</v>
      </c>
      <c r="B42" s="28" t="s">
        <v>48</v>
      </c>
      <c r="E42" s="83" t="s">
        <v>61</v>
      </c>
      <c r="F42" s="104"/>
      <c r="G42" s="104"/>
    </row>
    <row r="43" spans="1:7" x14ac:dyDescent="0.2">
      <c r="A43" s="4" t="s">
        <v>6</v>
      </c>
      <c r="B43" s="34">
        <f>VLOOKUP(B42,F12:G17,2)</f>
        <v>0.08</v>
      </c>
      <c r="E43" s="65" t="s">
        <v>64</v>
      </c>
      <c r="F43" s="54" t="s">
        <v>62</v>
      </c>
      <c r="G43" s="55" t="s">
        <v>63</v>
      </c>
    </row>
    <row r="44" spans="1:7" x14ac:dyDescent="0.2">
      <c r="E44" s="66" t="s">
        <v>113</v>
      </c>
      <c r="F44" s="13">
        <f>Valuation!B18</f>
        <v>486.29042303468395</v>
      </c>
      <c r="G44" s="56">
        <f>Valuation!B20</f>
        <v>41334.685957948139</v>
      </c>
    </row>
    <row r="45" spans="1:7" x14ac:dyDescent="0.2">
      <c r="E45" s="66" t="s">
        <v>102</v>
      </c>
      <c r="F45" s="13">
        <f>Valuation!B24</f>
        <v>386.29042303468395</v>
      </c>
      <c r="G45" s="56">
        <f>Valuation!B33</f>
        <v>52792.77984831611</v>
      </c>
    </row>
    <row r="46" spans="1:7" x14ac:dyDescent="0.2">
      <c r="E46" s="66" t="s">
        <v>54</v>
      </c>
      <c r="F46" s="19"/>
      <c r="G46" s="56">
        <f>Valuation!B42</f>
        <v>32845.632867698252</v>
      </c>
    </row>
    <row r="47" spans="1:7" ht="17" thickBot="1" x14ac:dyDescent="0.25">
      <c r="E47" s="67" t="s">
        <v>76</v>
      </c>
      <c r="F47" s="57"/>
      <c r="G47" s="58">
        <f>Valuation!B48</f>
        <v>61281.832938566004</v>
      </c>
    </row>
  </sheetData>
  <sheetProtection selectLockedCells="1"/>
  <mergeCells count="3">
    <mergeCell ref="F2:G2"/>
    <mergeCell ref="F11:G11"/>
    <mergeCell ref="E16:E17"/>
  </mergeCells>
  <dataValidations count="2">
    <dataValidation type="list" allowBlank="1" showInputMessage="1" showErrorMessage="1" sqref="B34">
      <formula1>$F$3:$F$6</formula1>
    </dataValidation>
    <dataValidation type="list" allowBlank="1" showInputMessage="1" showErrorMessage="1" sqref="B40 B42">
      <formula1>$F$12:$F$17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'Input choices'!$A$2:$A$3</xm:f>
          </x14:formula1>
          <xm:sqref>B24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8"/>
  <sheetViews>
    <sheetView tabSelected="1" topLeftCell="A35" workbookViewId="0">
      <selection activeCell="A51" sqref="A51"/>
    </sheetView>
  </sheetViews>
  <sheetFormatPr baseColWidth="10" defaultRowHeight="16" x14ac:dyDescent="0.2"/>
  <cols>
    <col min="1" max="1" width="33.83203125" customWidth="1"/>
    <col min="2" max="2" width="14.6640625" customWidth="1"/>
    <col min="3" max="3" width="14.1640625" customWidth="1"/>
    <col min="4" max="6" width="11.33203125" bestFit="1" customWidth="1"/>
    <col min="7" max="7" width="12.1640625" bestFit="1" customWidth="1"/>
    <col min="8" max="8" width="11.33203125" bestFit="1" customWidth="1"/>
    <col min="9" max="11" width="12.1640625" bestFit="1" customWidth="1"/>
    <col min="12" max="12" width="12.5" bestFit="1" customWidth="1"/>
  </cols>
  <sheetData>
    <row r="1" spans="1:22" x14ac:dyDescent="0.2">
      <c r="A1" s="1" t="s">
        <v>18</v>
      </c>
    </row>
    <row r="2" spans="1:22" x14ac:dyDescent="0.2">
      <c r="A2" s="4"/>
      <c r="B2" s="4" t="s">
        <v>9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f>L2+1</f>
        <v>11</v>
      </c>
      <c r="N2" s="15">
        <f t="shared" ref="N2:V2" si="0">M2+1</f>
        <v>12</v>
      </c>
      <c r="O2" s="15">
        <f t="shared" si="0"/>
        <v>13</v>
      </c>
      <c r="P2" s="15">
        <f t="shared" si="0"/>
        <v>14</v>
      </c>
      <c r="Q2" s="15">
        <f t="shared" si="0"/>
        <v>15</v>
      </c>
      <c r="R2" s="15">
        <f t="shared" si="0"/>
        <v>16</v>
      </c>
      <c r="S2" s="15">
        <f t="shared" si="0"/>
        <v>17</v>
      </c>
      <c r="T2" s="15">
        <f t="shared" si="0"/>
        <v>18</v>
      </c>
      <c r="U2" s="15">
        <f t="shared" si="0"/>
        <v>19</v>
      </c>
      <c r="V2" s="15">
        <f t="shared" si="0"/>
        <v>20</v>
      </c>
    </row>
    <row r="3" spans="1:22" x14ac:dyDescent="0.2">
      <c r="A3" s="4" t="s">
        <v>92</v>
      </c>
      <c r="B3" s="4"/>
      <c r="C3" s="87">
        <f>IF(C2&gt;Inputs!$B$20,0,1)</f>
        <v>1</v>
      </c>
      <c r="D3" s="87">
        <f>IF(D2&gt;Inputs!$B$20,0,1)</f>
        <v>1</v>
      </c>
      <c r="E3" s="87">
        <f>IF(E2&gt;Inputs!$B$20,0,1)</f>
        <v>1</v>
      </c>
      <c r="F3" s="87">
        <f>IF(F2&gt;Inputs!$B$20,0,1)</f>
        <v>1</v>
      </c>
      <c r="G3" s="87">
        <f>IF(G2&gt;Inputs!$B$20,0,1)</f>
        <v>1</v>
      </c>
      <c r="H3" s="87">
        <f>IF(H2&gt;Inputs!$B$20,0,1)</f>
        <v>1</v>
      </c>
      <c r="I3" s="87">
        <f>IF(I2&gt;Inputs!$B$20,0,1)</f>
        <v>1</v>
      </c>
      <c r="J3" s="87">
        <f>IF(J2&gt;Inputs!$B$20,0,1)</f>
        <v>1</v>
      </c>
      <c r="K3" s="87">
        <f>IF(K2&gt;Inputs!$B$20,0,1)</f>
        <v>1</v>
      </c>
      <c r="L3" s="87">
        <f>IF(L2&gt;Inputs!$B$20,0,1)</f>
        <v>1</v>
      </c>
      <c r="M3" s="87">
        <f>IF(M2&gt;Inputs!$B$20,0,1)</f>
        <v>1</v>
      </c>
      <c r="N3" s="87">
        <f>IF(N2&gt;Inputs!$B$20,0,1)</f>
        <v>1</v>
      </c>
      <c r="O3" s="87">
        <f>IF(O2&gt;Inputs!$B$20,0,1)</f>
        <v>1</v>
      </c>
      <c r="P3" s="87">
        <f>IF(P2&gt;Inputs!$B$20,0,1)</f>
        <v>1</v>
      </c>
      <c r="Q3" s="87">
        <f>IF(Q2&gt;Inputs!$B$20,0,1)</f>
        <v>1</v>
      </c>
      <c r="R3" s="87">
        <f>IF(R2&gt;Inputs!$B$20,0,1)</f>
        <v>1</v>
      </c>
      <c r="S3" s="87">
        <f>IF(S2&gt;Inputs!$B$20,0,1)</f>
        <v>1</v>
      </c>
      <c r="T3" s="87">
        <f>IF(T2&gt;Inputs!$B$20,0,1)</f>
        <v>1</v>
      </c>
      <c r="U3" s="87">
        <f>IF(U2&gt;Inputs!$B$20,0,1)</f>
        <v>1</v>
      </c>
      <c r="V3" s="87">
        <f>IF(V2&gt;Inputs!$B$20,0,1)</f>
        <v>1</v>
      </c>
    </row>
    <row r="4" spans="1:22" x14ac:dyDescent="0.2">
      <c r="A4" s="4" t="s">
        <v>85</v>
      </c>
      <c r="B4" s="110">
        <f>1</f>
        <v>1</v>
      </c>
      <c r="C4" s="111">
        <f>B4*Inputs!$B$21</f>
        <v>0.96</v>
      </c>
      <c r="D4" s="111">
        <f>C4*Inputs!$B$21</f>
        <v>0.92159999999999997</v>
      </c>
      <c r="E4" s="111">
        <f>D4*Inputs!$B$21</f>
        <v>0.88473599999999997</v>
      </c>
      <c r="F4" s="111">
        <f>E4*Inputs!$B$21</f>
        <v>0.84934655999999997</v>
      </c>
      <c r="G4" s="111">
        <f>F4*Inputs!$B$21</f>
        <v>0.81537269759999997</v>
      </c>
      <c r="H4" s="111">
        <f>G4*Inputs!$B$21</f>
        <v>0.78275778969599996</v>
      </c>
      <c r="I4" s="111">
        <f>H4*Inputs!$B$21</f>
        <v>0.75144747810815993</v>
      </c>
      <c r="J4" s="111">
        <f>I4*Inputs!$B$21</f>
        <v>0.72138957898383349</v>
      </c>
      <c r="K4" s="111">
        <f>J4*Inputs!$B$21</f>
        <v>0.69253399582448016</v>
      </c>
      <c r="L4" s="111">
        <f>K4*Inputs!$B$21</f>
        <v>0.66483263599150089</v>
      </c>
      <c r="M4" s="111">
        <f>L4*Inputs!$B$21</f>
        <v>0.63823933055184079</v>
      </c>
      <c r="N4" s="111">
        <f>M4*Inputs!$B$21</f>
        <v>0.61270975732976718</v>
      </c>
      <c r="O4" s="111">
        <f>N4*Inputs!$B$21</f>
        <v>0.58820136703657644</v>
      </c>
      <c r="P4" s="111">
        <f>O4*Inputs!$B$21</f>
        <v>0.56467331235511331</v>
      </c>
      <c r="Q4" s="111">
        <f>P4*Inputs!$B$21</f>
        <v>0.5420863798609088</v>
      </c>
      <c r="R4" s="111">
        <f>Q4*Inputs!$B$21</f>
        <v>0.52040292466647242</v>
      </c>
      <c r="S4" s="111">
        <f>R4*Inputs!$B$21</f>
        <v>0.4995868076798135</v>
      </c>
      <c r="T4" s="111">
        <f>S4*Inputs!$B$21</f>
        <v>0.47960333537262095</v>
      </c>
      <c r="U4" s="111">
        <f>T4*Inputs!$B$21</f>
        <v>0.46041920195771607</v>
      </c>
      <c r="V4" s="111">
        <f>U4*Inputs!$B$21</f>
        <v>0.44200243387940741</v>
      </c>
    </row>
    <row r="5" spans="1:22" x14ac:dyDescent="0.2">
      <c r="A5" s="4" t="s">
        <v>149</v>
      </c>
      <c r="B5" s="88"/>
      <c r="C5" s="109">
        <f>Inputs!B19</f>
        <v>0.1</v>
      </c>
      <c r="D5" s="109">
        <f>C5</f>
        <v>0.1</v>
      </c>
      <c r="E5" s="109">
        <f t="shared" ref="E5:H5" si="1">D5</f>
        <v>0.1</v>
      </c>
      <c r="F5" s="109">
        <f t="shared" si="1"/>
        <v>0.1</v>
      </c>
      <c r="G5" s="109">
        <f t="shared" si="1"/>
        <v>0.1</v>
      </c>
      <c r="H5" s="109">
        <f t="shared" si="1"/>
        <v>0.1</v>
      </c>
      <c r="I5" s="109">
        <f>H5+($L$5-$H$5)/4</f>
        <v>7.8750000000000001E-2</v>
      </c>
      <c r="J5" s="109">
        <f t="shared" ref="J5:K5" si="2">I5+($L$5-$H$5)/4</f>
        <v>5.7499999999999996E-2</v>
      </c>
      <c r="K5" s="109">
        <f t="shared" si="2"/>
        <v>3.6249999999999991E-2</v>
      </c>
      <c r="L5" s="109">
        <f>Inputs!B39</f>
        <v>1.4999999999999999E-2</v>
      </c>
      <c r="M5" s="109">
        <f>Inputs!B39</f>
        <v>1.4999999999999999E-2</v>
      </c>
      <c r="N5" s="109">
        <f>M5</f>
        <v>1.4999999999999999E-2</v>
      </c>
      <c r="O5" s="109">
        <f t="shared" ref="O5:V5" si="3">N5</f>
        <v>1.4999999999999999E-2</v>
      </c>
      <c r="P5" s="109">
        <f t="shared" si="3"/>
        <v>1.4999999999999999E-2</v>
      </c>
      <c r="Q5" s="109">
        <f t="shared" si="3"/>
        <v>1.4999999999999999E-2</v>
      </c>
      <c r="R5" s="109">
        <f t="shared" si="3"/>
        <v>1.4999999999999999E-2</v>
      </c>
      <c r="S5" s="109">
        <f t="shared" si="3"/>
        <v>1.4999999999999999E-2</v>
      </c>
      <c r="T5" s="109">
        <f t="shared" si="3"/>
        <v>1.4999999999999999E-2</v>
      </c>
      <c r="U5" s="109">
        <f t="shared" si="3"/>
        <v>1.4999999999999999E-2</v>
      </c>
      <c r="V5" s="109">
        <f t="shared" si="3"/>
        <v>1.4999999999999999E-2</v>
      </c>
    </row>
    <row r="6" spans="1:22" x14ac:dyDescent="0.2">
      <c r="A6" s="4" t="s">
        <v>79</v>
      </c>
      <c r="B6" s="12">
        <f>Inputs!B6</f>
        <v>600</v>
      </c>
      <c r="C6" s="89">
        <f>B6*(1+C5)</f>
        <v>660</v>
      </c>
      <c r="D6" s="89">
        <f t="shared" ref="D6:V6" si="4">C6*(1+D5)</f>
        <v>726.00000000000011</v>
      </c>
      <c r="E6" s="89">
        <f t="shared" si="4"/>
        <v>798.60000000000014</v>
      </c>
      <c r="F6" s="89">
        <f t="shared" si="4"/>
        <v>878.46000000000026</v>
      </c>
      <c r="G6" s="89">
        <f t="shared" si="4"/>
        <v>966.30600000000038</v>
      </c>
      <c r="H6" s="89">
        <f t="shared" si="4"/>
        <v>1062.9366000000005</v>
      </c>
      <c r="I6" s="89">
        <f t="shared" si="4"/>
        <v>1146.6428572500006</v>
      </c>
      <c r="J6" s="89">
        <f t="shared" si="4"/>
        <v>1212.5748215418757</v>
      </c>
      <c r="K6" s="89">
        <f t="shared" si="4"/>
        <v>1256.5306588227686</v>
      </c>
      <c r="L6" s="89">
        <f t="shared" si="4"/>
        <v>1275.3786187051101</v>
      </c>
      <c r="M6" s="89">
        <f t="shared" si="4"/>
        <v>1294.5092979856865</v>
      </c>
      <c r="N6" s="89">
        <f t="shared" si="4"/>
        <v>1313.9269374554717</v>
      </c>
      <c r="O6" s="89">
        <f t="shared" si="4"/>
        <v>1333.6358415173036</v>
      </c>
      <c r="P6" s="89">
        <f t="shared" si="4"/>
        <v>1353.640379140063</v>
      </c>
      <c r="Q6" s="89">
        <f t="shared" si="4"/>
        <v>1373.9449848271638</v>
      </c>
      <c r="R6" s="89">
        <f t="shared" si="4"/>
        <v>1394.5541595995712</v>
      </c>
      <c r="S6" s="89">
        <f t="shared" si="4"/>
        <v>1415.4724719935646</v>
      </c>
      <c r="T6" s="89">
        <f t="shared" si="4"/>
        <v>1436.7045590734679</v>
      </c>
      <c r="U6" s="89">
        <f t="shared" si="4"/>
        <v>1458.2551274595698</v>
      </c>
      <c r="V6" s="89">
        <f t="shared" si="4"/>
        <v>1480.1289543714634</v>
      </c>
    </row>
    <row r="7" spans="1:22" x14ac:dyDescent="0.2">
      <c r="A7" s="4" t="s">
        <v>80</v>
      </c>
      <c r="B7" s="101">
        <f>Inputs!B7</f>
        <v>0.12107733824575011</v>
      </c>
      <c r="C7" s="102">
        <f>B7+($G$7-$B$7)/5</f>
        <v>0.12286187059660009</v>
      </c>
      <c r="D7" s="102">
        <f t="shared" ref="D7:F7" si="5">C7+($G$7-$B$7)/5</f>
        <v>0.12464640294745007</v>
      </c>
      <c r="E7" s="102">
        <f t="shared" si="5"/>
        <v>0.12643093529830005</v>
      </c>
      <c r="F7" s="102">
        <f t="shared" si="5"/>
        <v>0.12821546764915004</v>
      </c>
      <c r="G7" s="99">
        <f>Inputs!B10</f>
        <v>0.13</v>
      </c>
      <c r="H7" s="99">
        <f t="shared" ref="H7:V7" si="6">G7</f>
        <v>0.13</v>
      </c>
      <c r="I7" s="99">
        <f t="shared" si="6"/>
        <v>0.13</v>
      </c>
      <c r="J7" s="99">
        <f t="shared" si="6"/>
        <v>0.13</v>
      </c>
      <c r="K7" s="99">
        <f t="shared" si="6"/>
        <v>0.13</v>
      </c>
      <c r="L7" s="99">
        <f>K7</f>
        <v>0.13</v>
      </c>
      <c r="M7" s="99">
        <f t="shared" si="6"/>
        <v>0.13</v>
      </c>
      <c r="N7" s="99">
        <f t="shared" si="6"/>
        <v>0.13</v>
      </c>
      <c r="O7" s="99">
        <f t="shared" si="6"/>
        <v>0.13</v>
      </c>
      <c r="P7" s="99">
        <f t="shared" si="6"/>
        <v>0.13</v>
      </c>
      <c r="Q7" s="99">
        <f t="shared" si="6"/>
        <v>0.13</v>
      </c>
      <c r="R7" s="99">
        <f t="shared" si="6"/>
        <v>0.13</v>
      </c>
      <c r="S7" s="99">
        <f t="shared" si="6"/>
        <v>0.13</v>
      </c>
      <c r="T7" s="99">
        <f t="shared" si="6"/>
        <v>0.13</v>
      </c>
      <c r="U7" s="99">
        <f t="shared" si="6"/>
        <v>0.13</v>
      </c>
      <c r="V7" s="99">
        <f t="shared" si="6"/>
        <v>0.13</v>
      </c>
    </row>
    <row r="8" spans="1:22" x14ac:dyDescent="0.2">
      <c r="A8" s="4" t="s">
        <v>77</v>
      </c>
      <c r="B8" s="13">
        <f>B6*B7</f>
        <v>72.646402947450071</v>
      </c>
      <c r="C8" s="95">
        <f>C6*C7</f>
        <v>81.088834593756062</v>
      </c>
      <c r="D8" s="95">
        <f t="shared" ref="D8:V8" si="7">D6*D7</f>
        <v>90.493288539848763</v>
      </c>
      <c r="E8" s="95">
        <f t="shared" si="7"/>
        <v>100.96774492922243</v>
      </c>
      <c r="F8" s="95">
        <f t="shared" si="7"/>
        <v>112.63215971107238</v>
      </c>
      <c r="G8" s="95">
        <f t="shared" si="7"/>
        <v>125.61978000000005</v>
      </c>
      <c r="H8" s="95">
        <f t="shared" si="7"/>
        <v>138.18175800000006</v>
      </c>
      <c r="I8" s="95">
        <f t="shared" si="7"/>
        <v>149.06357144250009</v>
      </c>
      <c r="J8" s="95">
        <f t="shared" si="7"/>
        <v>157.63472680044384</v>
      </c>
      <c r="K8" s="95">
        <f t="shared" si="7"/>
        <v>163.34898564695993</v>
      </c>
      <c r="L8" s="95">
        <f t="shared" si="7"/>
        <v>165.79922043166431</v>
      </c>
      <c r="M8" s="95">
        <f t="shared" si="7"/>
        <v>168.28620873813927</v>
      </c>
      <c r="N8" s="95">
        <f t="shared" si="7"/>
        <v>170.81050186921132</v>
      </c>
      <c r="O8" s="95">
        <f t="shared" si="7"/>
        <v>173.37265939724946</v>
      </c>
      <c r="P8" s="95">
        <f t="shared" si="7"/>
        <v>175.97324928820819</v>
      </c>
      <c r="Q8" s="95">
        <f t="shared" si="7"/>
        <v>178.6128480275313</v>
      </c>
      <c r="R8" s="95">
        <f t="shared" si="7"/>
        <v>181.29204074794427</v>
      </c>
      <c r="S8" s="95">
        <f t="shared" si="7"/>
        <v>184.01142135916339</v>
      </c>
      <c r="T8" s="95">
        <f t="shared" si="7"/>
        <v>186.77159267955082</v>
      </c>
      <c r="U8" s="95">
        <f t="shared" si="7"/>
        <v>189.57316656974407</v>
      </c>
      <c r="V8" s="95">
        <f t="shared" si="7"/>
        <v>192.41676406829023</v>
      </c>
    </row>
    <row r="9" spans="1:22" x14ac:dyDescent="0.2">
      <c r="A9" s="4" t="s">
        <v>75</v>
      </c>
      <c r="B9" s="13">
        <f>Inputs!B5</f>
        <v>95.77600000000001</v>
      </c>
      <c r="C9" s="89">
        <f>B9*(1+Inputs!$B$22)</f>
        <v>97.691520000000011</v>
      </c>
      <c r="D9" s="89">
        <f>C9*(1+Inputs!$B$22)</f>
        <v>99.645350400000012</v>
      </c>
      <c r="E9" s="89">
        <f>D9*(1+Inputs!$B$22)</f>
        <v>101.63825740800002</v>
      </c>
      <c r="F9" s="89">
        <f>E9*(1+Inputs!$B$22)</f>
        <v>103.67102255616001</v>
      </c>
      <c r="G9" s="89">
        <f>F9*(1+Inputs!$B$22)</f>
        <v>105.74444300728321</v>
      </c>
      <c r="H9" s="89">
        <f>G9*(1+Inputs!$B$22)</f>
        <v>107.85933186742888</v>
      </c>
      <c r="I9" s="89">
        <f>H9*(1+Inputs!$B$22)</f>
        <v>110.01651850477745</v>
      </c>
      <c r="J9" s="89">
        <f>I9*(1+Inputs!$B$22)</f>
        <v>112.21684887487301</v>
      </c>
      <c r="K9" s="89">
        <f>J9*(1+Inputs!$B$22)</f>
        <v>114.46118585237048</v>
      </c>
      <c r="L9" s="89">
        <f>K9*(1+Inputs!$B$22)</f>
        <v>116.75040956941788</v>
      </c>
      <c r="M9" s="89">
        <f>L9*(1+Inputs!$B$22)</f>
        <v>119.08541776080624</v>
      </c>
      <c r="N9" s="89">
        <f>M9*(1+Inputs!$B$22)</f>
        <v>121.46712611602237</v>
      </c>
      <c r="O9" s="89">
        <f>N9*(1+Inputs!$B$22)</f>
        <v>123.89646863834282</v>
      </c>
      <c r="P9" s="89">
        <f>O9*(1+Inputs!$B$22)</f>
        <v>126.37439801110968</v>
      </c>
      <c r="Q9" s="89">
        <f>P9*(1+Inputs!$B$22)</f>
        <v>128.90188597133186</v>
      </c>
      <c r="R9" s="89">
        <f>Q9*(1+Inputs!$B$22)</f>
        <v>131.47992369075851</v>
      </c>
      <c r="S9" s="89">
        <f>R9*(1+Inputs!$B$22)</f>
        <v>134.10952216457369</v>
      </c>
      <c r="T9" s="89">
        <f>S9*(1+Inputs!$B$22)</f>
        <v>136.79171260786518</v>
      </c>
      <c r="U9" s="89">
        <f>T9*(1+Inputs!$B$22)</f>
        <v>139.52754686002248</v>
      </c>
      <c r="V9" s="89">
        <f>U9*(1+Inputs!$B$22)</f>
        <v>142.31809779722295</v>
      </c>
    </row>
    <row r="10" spans="1:22" x14ac:dyDescent="0.2">
      <c r="A10" s="4" t="s">
        <v>78</v>
      </c>
      <c r="B10" s="13">
        <f>B8+B9</f>
        <v>168.42240294745008</v>
      </c>
      <c r="C10" s="13">
        <f t="shared" ref="C10:V10" si="8">C8+C9</f>
        <v>178.78035459375607</v>
      </c>
      <c r="D10" s="13">
        <f t="shared" si="8"/>
        <v>190.13863893984876</v>
      </c>
      <c r="E10" s="13">
        <f t="shared" si="8"/>
        <v>202.60600233722244</v>
      </c>
      <c r="F10" s="13">
        <f t="shared" si="8"/>
        <v>216.30318226723239</v>
      </c>
      <c r="G10" s="13">
        <f t="shared" si="8"/>
        <v>231.36422300728327</v>
      </c>
      <c r="H10" s="13">
        <f t="shared" si="8"/>
        <v>246.04108986742892</v>
      </c>
      <c r="I10" s="13">
        <f t="shared" si="8"/>
        <v>259.08008994727754</v>
      </c>
      <c r="J10" s="13">
        <f t="shared" si="8"/>
        <v>269.85157567531684</v>
      </c>
      <c r="K10" s="13">
        <f t="shared" si="8"/>
        <v>277.81017149933041</v>
      </c>
      <c r="L10" s="13">
        <f t="shared" si="8"/>
        <v>282.54963000108216</v>
      </c>
      <c r="M10" s="13">
        <f t="shared" si="8"/>
        <v>287.37162649894549</v>
      </c>
      <c r="N10" s="13">
        <f t="shared" si="8"/>
        <v>292.27762798523372</v>
      </c>
      <c r="O10" s="13">
        <f t="shared" si="8"/>
        <v>297.2691280355923</v>
      </c>
      <c r="P10" s="13">
        <f t="shared" si="8"/>
        <v>302.34764729931788</v>
      </c>
      <c r="Q10" s="13">
        <f t="shared" si="8"/>
        <v>307.51473399886316</v>
      </c>
      <c r="R10" s="13">
        <f t="shared" si="8"/>
        <v>312.77196443870275</v>
      </c>
      <c r="S10" s="13">
        <f t="shared" si="8"/>
        <v>318.12094352373708</v>
      </c>
      <c r="T10" s="13">
        <f t="shared" si="8"/>
        <v>323.56330528741603</v>
      </c>
      <c r="U10" s="13">
        <f t="shared" si="8"/>
        <v>329.10071342976653</v>
      </c>
      <c r="V10" s="13">
        <f t="shared" si="8"/>
        <v>334.73486186551315</v>
      </c>
    </row>
    <row r="11" spans="1:22" x14ac:dyDescent="0.2">
      <c r="A11" s="4" t="s">
        <v>81</v>
      </c>
      <c r="B11" s="13">
        <f>Inputs!B11</f>
        <v>10</v>
      </c>
      <c r="C11" s="96">
        <f>B11*(1+Inputs!$B$23)</f>
        <v>10.5</v>
      </c>
      <c r="D11" s="96">
        <f>C11*(1+Inputs!$B$23)</f>
        <v>11.025</v>
      </c>
      <c r="E11" s="96">
        <f>D11*(1+Inputs!$B$23)</f>
        <v>11.576250000000002</v>
      </c>
      <c r="F11" s="96">
        <f>E11*(1+Inputs!$B$23)</f>
        <v>12.155062500000001</v>
      </c>
      <c r="G11" s="96">
        <f>F11*(1+Inputs!$B$23)</f>
        <v>12.762815625000002</v>
      </c>
      <c r="H11" s="96">
        <f>G11*(1+Inputs!$B$39)</f>
        <v>12.954257859375</v>
      </c>
      <c r="I11" s="96">
        <f>H11*(1+Inputs!$B$39)</f>
        <v>13.148571727265624</v>
      </c>
      <c r="J11" s="96">
        <f>I11*(1+Inputs!$B$39)</f>
        <v>13.345800303174608</v>
      </c>
      <c r="K11" s="96">
        <f>J11*(1+Inputs!$B$39)</f>
        <v>13.545987307722225</v>
      </c>
      <c r="L11" s="96">
        <f>K11*(1+Inputs!$B$39)</f>
        <v>13.749177117338057</v>
      </c>
      <c r="M11" s="96">
        <f>L11*(1+Inputs!$B$39)</f>
        <v>13.955414774098127</v>
      </c>
      <c r="N11" s="96">
        <f>M11*(1+Inputs!$B$39)</f>
        <v>14.164745995709598</v>
      </c>
      <c r="O11" s="96">
        <f>N11*(1+Inputs!$B$39)</f>
        <v>14.377217185645241</v>
      </c>
      <c r="P11" s="96">
        <f>O11*(1+Inputs!$B$39)</f>
        <v>14.592875443429918</v>
      </c>
      <c r="Q11" s="96">
        <f>P11*(1+Inputs!$B$39)</f>
        <v>14.811768575081365</v>
      </c>
      <c r="R11" s="96">
        <f>Q11*(1+Inputs!$B$39)</f>
        <v>15.033945103707584</v>
      </c>
      <c r="S11" s="96">
        <f>R11*(1+Inputs!$B$39)</f>
        <v>15.259454280263196</v>
      </c>
      <c r="T11" s="96">
        <f>S11*(1+Inputs!$B$39)</f>
        <v>15.488346094467142</v>
      </c>
      <c r="U11" s="96">
        <f>T11*(1+Inputs!$B$39)</f>
        <v>15.720671285884148</v>
      </c>
      <c r="V11" s="96">
        <f>U11*(1+Inputs!$B$39)</f>
        <v>15.956481355172409</v>
      </c>
    </row>
    <row r="12" spans="1:22" x14ac:dyDescent="0.2">
      <c r="A12" s="4" t="s">
        <v>83</v>
      </c>
      <c r="B12" s="12">
        <f>Inputs!C12/Inputs!C4</f>
        <v>119.85</v>
      </c>
      <c r="C12" s="95">
        <f>B12*(1+Inputs!$B$26)</f>
        <v>123.4455</v>
      </c>
      <c r="D12" s="95">
        <f>C12*(1+Inputs!$B$26)</f>
        <v>127.148865</v>
      </c>
      <c r="E12" s="95">
        <f>D12*(1+Inputs!$B$26)</f>
        <v>130.96333095</v>
      </c>
      <c r="F12" s="95">
        <f>E12*(1+Inputs!$B$26)</f>
        <v>134.89223087850002</v>
      </c>
      <c r="G12" s="95">
        <f>F12*(1+Inputs!$B$26)</f>
        <v>138.93899780485501</v>
      </c>
      <c r="H12" s="95">
        <f>G12*(1+Inputs!$B$26)</f>
        <v>143.10716773900066</v>
      </c>
      <c r="I12" s="95">
        <f>H12*(1+Inputs!$B$39)</f>
        <v>145.25377525508566</v>
      </c>
      <c r="J12" s="95">
        <f>I12*(1+Inputs!$B$39)</f>
        <v>147.43258188391192</v>
      </c>
      <c r="K12" s="95">
        <f>J12*(1+Inputs!$B$39)</f>
        <v>149.64407061217059</v>
      </c>
      <c r="L12" s="95">
        <f>K12*(1+Inputs!$B$39)</f>
        <v>151.88873167135313</v>
      </c>
      <c r="M12" s="95">
        <f>L12*(1+Inputs!$B$39)</f>
        <v>154.1670626464234</v>
      </c>
      <c r="N12" s="95">
        <f>M12*(1+Inputs!$B$39)</f>
        <v>156.47956858611974</v>
      </c>
      <c r="O12" s="95">
        <f>N12*(1+Inputs!$B$39)</f>
        <v>158.82676211491153</v>
      </c>
      <c r="P12" s="95">
        <f>O12*(1+Inputs!$B$39)</f>
        <v>161.20916354663518</v>
      </c>
      <c r="Q12" s="95">
        <f>P12*(1+Inputs!$B$39)</f>
        <v>163.62730099983469</v>
      </c>
      <c r="R12" s="95">
        <f>Q12*(1+Inputs!$B$39)</f>
        <v>166.0817105148322</v>
      </c>
      <c r="S12" s="95">
        <f>R12*(1+Inputs!$B$39)</f>
        <v>168.57293617255465</v>
      </c>
      <c r="T12" s="95">
        <f>S12*(1+Inputs!$B$39)</f>
        <v>171.10153021514296</v>
      </c>
      <c r="U12" s="95">
        <f>T12*(1+Inputs!$B$39)</f>
        <v>173.66805316837008</v>
      </c>
      <c r="V12" s="95">
        <f>U12*(1+Inputs!$B$39)</f>
        <v>176.27307396589561</v>
      </c>
    </row>
    <row r="13" spans="1:22" x14ac:dyDescent="0.2">
      <c r="A13" s="4" t="s">
        <v>84</v>
      </c>
      <c r="B13" s="13">
        <f>B10-B11-B12</f>
        <v>38.572402947450087</v>
      </c>
      <c r="C13" s="97">
        <f>C10-C11-C12</f>
        <v>44.834854593756077</v>
      </c>
      <c r="D13" s="97">
        <f t="shared" ref="D13:V13" si="9">D10-D11-D12</f>
        <v>51.964773939848754</v>
      </c>
      <c r="E13" s="97">
        <f t="shared" si="9"/>
        <v>60.06642138722242</v>
      </c>
      <c r="F13" s="97">
        <f t="shared" si="9"/>
        <v>69.255888888732358</v>
      </c>
      <c r="G13" s="97">
        <f t="shared" si="9"/>
        <v>79.662409577428264</v>
      </c>
      <c r="H13" s="97">
        <f t="shared" si="9"/>
        <v>89.979664269053274</v>
      </c>
      <c r="I13" s="97">
        <f t="shared" si="9"/>
        <v>100.67774296492627</v>
      </c>
      <c r="J13" s="97">
        <f t="shared" si="9"/>
        <v>109.07319348823032</v>
      </c>
      <c r="K13" s="97">
        <f t="shared" si="9"/>
        <v>114.6201135794376</v>
      </c>
      <c r="L13" s="97">
        <f t="shared" si="9"/>
        <v>116.911721212391</v>
      </c>
      <c r="M13" s="97">
        <f t="shared" si="9"/>
        <v>119.24914907842395</v>
      </c>
      <c r="N13" s="97">
        <f t="shared" si="9"/>
        <v>121.63331340340437</v>
      </c>
      <c r="O13" s="97">
        <f t="shared" si="9"/>
        <v>124.06514873503554</v>
      </c>
      <c r="P13" s="97">
        <f t="shared" si="9"/>
        <v>126.54560830925277</v>
      </c>
      <c r="Q13" s="97">
        <f t="shared" si="9"/>
        <v>129.0756644239471</v>
      </c>
      <c r="R13" s="97">
        <f t="shared" si="9"/>
        <v>131.65630882016296</v>
      </c>
      <c r="S13" s="97">
        <f t="shared" si="9"/>
        <v>134.28855307091925</v>
      </c>
      <c r="T13" s="97">
        <f t="shared" si="9"/>
        <v>136.97342897780592</v>
      </c>
      <c r="U13" s="97">
        <f t="shared" si="9"/>
        <v>139.71198897551233</v>
      </c>
      <c r="V13" s="97">
        <f t="shared" si="9"/>
        <v>142.50530654444515</v>
      </c>
    </row>
    <row r="14" spans="1:22" x14ac:dyDescent="0.2">
      <c r="A14" s="4" t="s">
        <v>89</v>
      </c>
      <c r="B14" s="59">
        <f>Inputs!B13</f>
        <v>0.2</v>
      </c>
      <c r="C14" s="98">
        <f>B14+($L$14-$B$14)/10</f>
        <v>0.20500000000000002</v>
      </c>
      <c r="D14" s="98">
        <f t="shared" ref="D14:K14" si="10">C14+($L$14-$B$14)/10</f>
        <v>0.21000000000000002</v>
      </c>
      <c r="E14" s="98">
        <f t="shared" si="10"/>
        <v>0.21500000000000002</v>
      </c>
      <c r="F14" s="98">
        <f t="shared" si="10"/>
        <v>0.22000000000000003</v>
      </c>
      <c r="G14" s="98">
        <f t="shared" si="10"/>
        <v>0.22500000000000003</v>
      </c>
      <c r="H14" s="98">
        <f t="shared" si="10"/>
        <v>0.23000000000000004</v>
      </c>
      <c r="I14" s="98">
        <f t="shared" si="10"/>
        <v>0.23500000000000004</v>
      </c>
      <c r="J14" s="98">
        <f t="shared" si="10"/>
        <v>0.24000000000000005</v>
      </c>
      <c r="K14" s="98">
        <f t="shared" si="10"/>
        <v>0.24500000000000005</v>
      </c>
      <c r="L14" s="99">
        <f>Inputs!B14</f>
        <v>0.25</v>
      </c>
      <c r="M14" s="99">
        <f>L14</f>
        <v>0.25</v>
      </c>
      <c r="N14" s="99">
        <f t="shared" ref="N14:V14" si="11">M14</f>
        <v>0.25</v>
      </c>
      <c r="O14" s="99">
        <f t="shared" si="11"/>
        <v>0.25</v>
      </c>
      <c r="P14" s="99">
        <f t="shared" si="11"/>
        <v>0.25</v>
      </c>
      <c r="Q14" s="99">
        <f t="shared" si="11"/>
        <v>0.25</v>
      </c>
      <c r="R14" s="99">
        <f t="shared" si="11"/>
        <v>0.25</v>
      </c>
      <c r="S14" s="99">
        <f t="shared" si="11"/>
        <v>0.25</v>
      </c>
      <c r="T14" s="99">
        <f t="shared" si="11"/>
        <v>0.25</v>
      </c>
      <c r="U14" s="99">
        <f t="shared" si="11"/>
        <v>0.25</v>
      </c>
      <c r="V14" s="99">
        <f t="shared" si="11"/>
        <v>0.25</v>
      </c>
    </row>
    <row r="15" spans="1:22" x14ac:dyDescent="0.2">
      <c r="A15" s="4" t="s">
        <v>93</v>
      </c>
      <c r="B15" s="25">
        <f>B13*(1-B14)</f>
        <v>30.857922357960071</v>
      </c>
      <c r="C15" s="25">
        <f>C3*C4*C13*(1-C14)</f>
        <v>34.217961025954637</v>
      </c>
      <c r="D15" s="25">
        <f t="shared" ref="D15:V15" si="12">D3*D4*D13*(1-D14)</f>
        <v>37.833681173742043</v>
      </c>
      <c r="E15" s="25">
        <f t="shared" si="12"/>
        <v>41.717196433069802</v>
      </c>
      <c r="F15" s="25">
        <f t="shared" si="12"/>
        <v>45.881355770161903</v>
      </c>
      <c r="G15" s="25">
        <f t="shared" si="12"/>
        <v>50.339779190709407</v>
      </c>
      <c r="H15" s="25">
        <f t="shared" si="12"/>
        <v>54.23285800304086</v>
      </c>
      <c r="I15" s="25">
        <f t="shared" si="12"/>
        <v>57.875337580250758</v>
      </c>
      <c r="J15" s="25">
        <f t="shared" si="12"/>
        <v>59.80004149796148</v>
      </c>
      <c r="K15" s="25">
        <f t="shared" si="12"/>
        <v>59.93063557056287</v>
      </c>
      <c r="L15" s="25">
        <f t="shared" si="12"/>
        <v>58.295045843953034</v>
      </c>
      <c r="M15" s="25">
        <f t="shared" si="12"/>
        <v>57.082122807517472</v>
      </c>
      <c r="N15" s="25">
        <f t="shared" si="12"/>
        <v>55.894438453961556</v>
      </c>
      <c r="O15" s="25">
        <f t="shared" si="12"/>
        <v>54.731467565658065</v>
      </c>
      <c r="P15" s="25">
        <f t="shared" si="12"/>
        <v>53.592695855983891</v>
      </c>
      <c r="Q15" s="25">
        <f t="shared" si="12"/>
        <v>52.47761974178924</v>
      </c>
      <c r="R15" s="25">
        <f t="shared" si="12"/>
        <v>51.38574612060382</v>
      </c>
      <c r="S15" s="25">
        <f t="shared" si="12"/>
        <v>50.316592152481327</v>
      </c>
      <c r="T15" s="25">
        <f t="shared" si="12"/>
        <v>49.269685046385391</v>
      </c>
      <c r="U15" s="25">
        <f t="shared" si="12"/>
        <v>48.244561851022951</v>
      </c>
      <c r="V15" s="25">
        <f t="shared" si="12"/>
        <v>47.240769250031846</v>
      </c>
    </row>
    <row r="16" spans="1:22" x14ac:dyDescent="0.2">
      <c r="A16" s="4" t="s">
        <v>94</v>
      </c>
      <c r="B16" s="25"/>
      <c r="C16" s="91">
        <f>C15/(1+Inputs!$B$41)^Valuation!C2</f>
        <v>31.683297246254291</v>
      </c>
      <c r="D16" s="91">
        <f>D15/(1+Inputs!$B$41)^Valuation!D2</f>
        <v>32.436283585169789</v>
      </c>
      <c r="E16" s="91">
        <f>E15/(1+Inputs!$B$41)^Valuation!E2</f>
        <v>33.116455533542428</v>
      </c>
      <c r="F16" s="91">
        <f>F15/(1+Inputs!$B$41)^Valuation!F2</f>
        <v>33.724166177843806</v>
      </c>
      <c r="G16" s="91">
        <f>G15/(1+Inputs!$B$41)^Valuation!G2</f>
        <v>34.260407859586202</v>
      </c>
      <c r="H16" s="91">
        <f>H15/(1+Inputs!$B$41)^Valuation!H2</f>
        <v>34.175899892580652</v>
      </c>
      <c r="I16" s="91">
        <f>I15/(1+Inputs!$B$41)^Valuation!I2</f>
        <v>33.769703600629946</v>
      </c>
      <c r="J16" s="91">
        <f>J15/(1+Inputs!$B$41)^Valuation!J2</f>
        <v>32.308101713275512</v>
      </c>
      <c r="K16" s="91">
        <f>K15/(1+Inputs!$B$41)^Valuation!K2</f>
        <v>29.980238543705955</v>
      </c>
      <c r="L16" s="91">
        <f>L15/(1+Inputs!$B$41)^Valuation!L2</f>
        <v>27.001885622517182</v>
      </c>
      <c r="M16" s="91">
        <f>M15/(1+Inputs!$B$41)^Valuation!M2</f>
        <v>24.481544046752155</v>
      </c>
      <c r="N16" s="91">
        <f>N15/(1+Inputs!$B$41)^Valuation!N2</f>
        <v>22.196450541859704</v>
      </c>
      <c r="O16" s="91">
        <f>O15/(1+Inputs!$B$41)^Valuation!O2</f>
        <v>20.124647038157072</v>
      </c>
      <c r="P16" s="91">
        <f>P15/(1+Inputs!$B$41)^Valuation!P2</f>
        <v>18.246225040587447</v>
      </c>
      <c r="Q16" s="91">
        <f>Q15/(1+Inputs!$B$41)^Valuation!Q2</f>
        <v>16.543134319953285</v>
      </c>
      <c r="R16" s="91">
        <f>R15/(1+Inputs!$B$41)^Valuation!R2</f>
        <v>14.999009461114365</v>
      </c>
      <c r="S16" s="91">
        <f>S15/(1+Inputs!$B$41)^Valuation!S2</f>
        <v>13.599012601355909</v>
      </c>
      <c r="T16" s="91">
        <f>T15/(1+Inputs!$B$41)^Valuation!T2</f>
        <v>12.329690847713559</v>
      </c>
      <c r="U16" s="91">
        <f>U15/(1+Inputs!$B$41)^Valuation!U2</f>
        <v>11.178847003101593</v>
      </c>
      <c r="V16" s="91">
        <f>V15/(1+Inputs!$B$41)^Valuation!V2</f>
        <v>10.135422358983009</v>
      </c>
    </row>
    <row r="17" spans="1:12" x14ac:dyDescent="0.2">
      <c r="A17" s="4" t="s">
        <v>10</v>
      </c>
      <c r="B17" s="14">
        <f>Inputs!B20</f>
        <v>20</v>
      </c>
    </row>
    <row r="18" spans="1:12" x14ac:dyDescent="0.2">
      <c r="A18" s="4" t="s">
        <v>95</v>
      </c>
      <c r="B18" s="25">
        <f>SUM(C16:V16)</f>
        <v>486.29042303468395</v>
      </c>
    </row>
    <row r="19" spans="1:12" ht="17" thickBot="1" x14ac:dyDescent="0.25">
      <c r="A19" s="6" t="s">
        <v>96</v>
      </c>
      <c r="B19" s="45">
        <f>Inputs!B4</f>
        <v>85</v>
      </c>
      <c r="E19" s="3"/>
    </row>
    <row r="20" spans="1:12" ht="17" thickBot="1" x14ac:dyDescent="0.25">
      <c r="A20" s="44" t="s">
        <v>97</v>
      </c>
      <c r="B20" s="46">
        <f>B19*B18</f>
        <v>41334.685957948139</v>
      </c>
    </row>
    <row r="22" spans="1:12" x14ac:dyDescent="0.2">
      <c r="A22" s="1" t="s">
        <v>17</v>
      </c>
    </row>
    <row r="23" spans="1:12" x14ac:dyDescent="0.2">
      <c r="A23" s="4" t="s">
        <v>98</v>
      </c>
      <c r="B23" s="12">
        <f>Inputs!B29</f>
        <v>100</v>
      </c>
    </row>
    <row r="24" spans="1:12" x14ac:dyDescent="0.2">
      <c r="A24" s="4" t="s">
        <v>11</v>
      </c>
      <c r="B24" s="26">
        <f>B18-B23</f>
        <v>386.29042303468395</v>
      </c>
    </row>
    <row r="26" spans="1:12" x14ac:dyDescent="0.2">
      <c r="A26" s="4"/>
      <c r="B26" s="15" t="s">
        <v>9</v>
      </c>
      <c r="C26" s="15">
        <v>1</v>
      </c>
      <c r="D26" s="15">
        <v>2</v>
      </c>
      <c r="E26" s="15">
        <v>3</v>
      </c>
      <c r="F26" s="15">
        <v>4</v>
      </c>
      <c r="G26" s="15">
        <v>5</v>
      </c>
      <c r="H26" s="15">
        <v>6</v>
      </c>
      <c r="I26" s="15">
        <v>7</v>
      </c>
      <c r="J26" s="15">
        <v>8</v>
      </c>
      <c r="K26" s="15">
        <v>9</v>
      </c>
      <c r="L26" s="15">
        <v>10</v>
      </c>
    </row>
    <row r="27" spans="1:12" x14ac:dyDescent="0.2">
      <c r="A27" s="4" t="s">
        <v>101</v>
      </c>
      <c r="B27" s="16">
        <f>Inputs!B4</f>
        <v>85</v>
      </c>
      <c r="C27" s="16">
        <f>B27*Inputs!$B$21+C28</f>
        <v>94.34999999999998</v>
      </c>
      <c r="D27" s="16">
        <f>C27*Inputs!$B$21+D28</f>
        <v>106.64099999999996</v>
      </c>
      <c r="E27" s="16">
        <f>D27*Inputs!$B$21+E28</f>
        <v>120.78125999999995</v>
      </c>
      <c r="F27" s="16">
        <f>E27*Inputs!$B$21+F28</f>
        <v>136.8280835999999</v>
      </c>
      <c r="G27" s="16">
        <f>F27*Inputs!$B$21+G28</f>
        <v>155.01088389599988</v>
      </c>
      <c r="H27" s="16">
        <f>G27*Inputs!$B$21+H28</f>
        <v>157.74378891695989</v>
      </c>
      <c r="I27" s="16">
        <f>H27*Inputs!$B$21+I28</f>
        <v>159.76789382496949</v>
      </c>
      <c r="J27" s="16">
        <f>I27*Inputs!$B$21+J28</f>
        <v>161.7822655864536</v>
      </c>
      <c r="K27" s="16">
        <f>J27*Inputs!$B$21+K28</f>
        <v>163.8203426180423</v>
      </c>
      <c r="L27" s="16">
        <f>K27*Inputs!$B$21+L28</f>
        <v>165.88401442697506</v>
      </c>
    </row>
    <row r="28" spans="1:12" x14ac:dyDescent="0.2">
      <c r="A28" s="4" t="s">
        <v>102</v>
      </c>
      <c r="B28" s="16">
        <v>0</v>
      </c>
      <c r="C28" s="16">
        <f>B27*(1+Inputs!$B$30)-B27</f>
        <v>12.749999999999986</v>
      </c>
      <c r="D28" s="16">
        <f>(C27+C28)*(1+Inputs!$B$30)-(C27+C28)</f>
        <v>16.064999999999984</v>
      </c>
      <c r="E28" s="16">
        <f>(D27+D28)*(1+Inputs!$B$30)-(D27+D28)</f>
        <v>18.405899999999988</v>
      </c>
      <c r="F28" s="16">
        <f>(E27+E28)*(1+Inputs!$B$30)-(E27+E28)</f>
        <v>20.87807399999997</v>
      </c>
      <c r="G28" s="16">
        <f>(F27+F28)*(1+Inputs!$B$30)-(F27+F28)</f>
        <v>23.655923639999969</v>
      </c>
      <c r="H28" s="16">
        <f>(G27+G28)*(1+Inputs!$B$31)-(G27+G28)</f>
        <v>8.9333403768000039</v>
      </c>
      <c r="I28" s="16">
        <f>(H27+H28)*(1+Inputs!$B$31)-(H27+H28)</f>
        <v>8.3338564646880116</v>
      </c>
      <c r="J28" s="16">
        <f>(I27+I28)*(1+Inputs!$B$31)-(I27+I28)</f>
        <v>8.4050875144828865</v>
      </c>
      <c r="K28" s="16">
        <f>(J27+J28)*(1+Inputs!$B$31)-(J27+J28)</f>
        <v>8.5093676550468444</v>
      </c>
      <c r="L28" s="16">
        <f>(K27+K28)*(1+Inputs!$B$31)-(K27+K28)</f>
        <v>8.6164855136544531</v>
      </c>
    </row>
    <row r="29" spans="1:12" x14ac:dyDescent="0.2">
      <c r="A29" s="4" t="s">
        <v>103</v>
      </c>
      <c r="B29" s="17">
        <f>B24</f>
        <v>386.29042303468395</v>
      </c>
      <c r="C29" s="17">
        <f>B29*(1+Inputs!$B$39)</f>
        <v>392.08477938020417</v>
      </c>
      <c r="D29" s="17">
        <f>C29*(1+Inputs!$B$39)</f>
        <v>397.96605107090721</v>
      </c>
      <c r="E29" s="17">
        <f>D29*(1+Inputs!$B$39)</f>
        <v>403.9355418369708</v>
      </c>
      <c r="F29" s="17">
        <f>E29*(1+Inputs!$B$39)</f>
        <v>409.99457496452533</v>
      </c>
      <c r="G29" s="17">
        <f>F29*(1+Inputs!$B$39)</f>
        <v>416.14449358899316</v>
      </c>
      <c r="H29" s="17">
        <f>G29*(1+Inputs!$B$39)</f>
        <v>422.38666099282801</v>
      </c>
      <c r="I29" s="17">
        <f>H29*(1+Inputs!$B$39)</f>
        <v>428.7224609077204</v>
      </c>
      <c r="J29" s="17">
        <f>I29*(1+Inputs!$B$39)</f>
        <v>435.1532978213362</v>
      </c>
      <c r="K29" s="17">
        <f>J29*(1+Inputs!$B$39)</f>
        <v>441.6805972886562</v>
      </c>
      <c r="L29" s="17">
        <f>K29*(1+Inputs!$B$39)</f>
        <v>448.30580624798603</v>
      </c>
    </row>
    <row r="30" spans="1:12" x14ac:dyDescent="0.2">
      <c r="A30" s="4" t="s">
        <v>104</v>
      </c>
      <c r="B30" s="15"/>
      <c r="C30" s="18">
        <f>C28*C29</f>
        <v>4999.0809370975976</v>
      </c>
      <c r="D30" s="18">
        <f t="shared" ref="D30:L30" si="13">D28*D29</f>
        <v>6393.3246104541176</v>
      </c>
      <c r="E30" s="18">
        <f t="shared" si="13"/>
        <v>7434.797189497096</v>
      </c>
      <c r="F30" s="18">
        <f t="shared" si="13"/>
        <v>8559.8970757078951</v>
      </c>
      <c r="G30" s="18">
        <f t="shared" si="13"/>
        <v>9844.282363547678</v>
      </c>
      <c r="H30" s="18">
        <f t="shared" si="13"/>
        <v>3773.3238132689658</v>
      </c>
      <c r="I30" s="18">
        <f t="shared" si="13"/>
        <v>3572.9114523927592</v>
      </c>
      <c r="J30" s="18">
        <f t="shared" si="13"/>
        <v>3657.5015504041658</v>
      </c>
      <c r="K30" s="18">
        <f t="shared" si="13"/>
        <v>3758.4225884298621</v>
      </c>
      <c r="L30" s="18">
        <f t="shared" si="13"/>
        <v>3862.8204852229514</v>
      </c>
    </row>
    <row r="31" spans="1:12" x14ac:dyDescent="0.2">
      <c r="A31" s="4" t="s">
        <v>105</v>
      </c>
      <c r="B31" s="15"/>
      <c r="C31" s="18"/>
      <c r="D31" s="18"/>
      <c r="E31" s="18"/>
      <c r="F31" s="18"/>
      <c r="G31" s="18"/>
      <c r="H31" s="18"/>
      <c r="I31" s="18"/>
      <c r="J31" s="18"/>
      <c r="K31" s="18"/>
      <c r="L31" s="18">
        <f>(L27*Inputs!B38*Valuation!L29*(1+Inputs!B39))/(Inputs!B43-Inputs!B38)</f>
        <v>29536.539782794294</v>
      </c>
    </row>
    <row r="32" spans="1:12" ht="17" thickBot="1" x14ac:dyDescent="0.25">
      <c r="A32" s="4" t="s">
        <v>15</v>
      </c>
      <c r="B32" s="43"/>
      <c r="C32" s="20">
        <f>C30/(1+Inputs!$B$43)^Valuation!C26</f>
        <v>4628.7786454607385</v>
      </c>
      <c r="D32" s="20">
        <f>D30/(1+Inputs!$B$43)^Valuation!D26</f>
        <v>5481.2453793330906</v>
      </c>
      <c r="E32" s="20">
        <f>E30/(1+Inputs!$B$43)^Valuation!E26</f>
        <v>5901.9817144689378</v>
      </c>
      <c r="F32" s="20">
        <f>F30/(1+Inputs!$B$43)^Valuation!F26</f>
        <v>6291.7798875103645</v>
      </c>
      <c r="G32" s="20">
        <f>G30/(1+Inputs!$B$43)^Valuation!G26</f>
        <v>6699.8531634862693</v>
      </c>
      <c r="H32" s="20">
        <f>H30/(1+Inputs!$B$43)^Valuation!H26</f>
        <v>2377.8340595168374</v>
      </c>
      <c r="I32" s="20">
        <f>I30/(1+Inputs!$B$43)^Valuation!I26</f>
        <v>2084.7595155932559</v>
      </c>
      <c r="J32" s="20">
        <f>J30/(1+Inputs!$B$43)^Valuation!J26</f>
        <v>1976.0342827011054</v>
      </c>
      <c r="K32" s="20">
        <f>K30/(1+Inputs!$B$43)^Valuation!K26</f>
        <v>1880.1470179055832</v>
      </c>
      <c r="L32" s="20">
        <f>(L31+L30)/(1+Inputs!B43)^Valuation!L26</f>
        <v>15470.366182339923</v>
      </c>
    </row>
    <row r="33" spans="1:12" ht="17" thickBot="1" x14ac:dyDescent="0.25">
      <c r="A33" s="42" t="s">
        <v>52</v>
      </c>
      <c r="B33" s="47">
        <f>SUM(C32:L32)</f>
        <v>52792.77984831611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5" spans="1:12" x14ac:dyDescent="0.2">
      <c r="A35" s="1" t="s">
        <v>53</v>
      </c>
    </row>
    <row r="36" spans="1:12" x14ac:dyDescent="0.2">
      <c r="A36" s="2" t="s">
        <v>142</v>
      </c>
      <c r="B36" s="89">
        <f>Inputs!B16</f>
        <v>16085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1:12" x14ac:dyDescent="0.2">
      <c r="A37" s="2" t="s">
        <v>140</v>
      </c>
      <c r="B37" s="99">
        <f>Inputs!B17</f>
        <v>0.1</v>
      </c>
    </row>
    <row r="38" spans="1:12" x14ac:dyDescent="0.2">
      <c r="A38" t="s">
        <v>54</v>
      </c>
      <c r="B38" s="25">
        <f>B36*B37</f>
        <v>1608.5</v>
      </c>
      <c r="C38" s="26">
        <f>B38*(C27/B27)</f>
        <v>1785.4349999999997</v>
      </c>
      <c r="D38" s="26">
        <f t="shared" ref="D38:L38" si="14">C38*(D27/C27)</f>
        <v>2018.0240999999992</v>
      </c>
      <c r="E38" s="26">
        <f t="shared" si="14"/>
        <v>2285.6077259999988</v>
      </c>
      <c r="F38" s="26">
        <f t="shared" si="14"/>
        <v>2589.2702643599978</v>
      </c>
      <c r="G38" s="26">
        <f t="shared" si="14"/>
        <v>2933.3530205495972</v>
      </c>
      <c r="H38" s="26">
        <f t="shared" si="14"/>
        <v>2985.0692290932934</v>
      </c>
      <c r="I38" s="26">
        <f t="shared" si="14"/>
        <v>3023.3724378525108</v>
      </c>
      <c r="J38" s="26">
        <f t="shared" si="14"/>
        <v>3061.4914611271838</v>
      </c>
      <c r="K38" s="26">
        <f t="shared" si="14"/>
        <v>3100.059071777895</v>
      </c>
      <c r="L38" s="26">
        <f t="shared" si="14"/>
        <v>3139.111025950464</v>
      </c>
    </row>
    <row r="39" spans="1:12" x14ac:dyDescent="0.2">
      <c r="A39" t="s">
        <v>55</v>
      </c>
      <c r="B39" s="19"/>
      <c r="C39" s="12">
        <f>C38*(1-C14)</f>
        <v>1419.4208249999997</v>
      </c>
      <c r="D39" s="12">
        <f>D38*(1-D14)</f>
        <v>1594.2390389999994</v>
      </c>
      <c r="E39" s="12">
        <f>E38*(1-E14)</f>
        <v>1794.2020649099989</v>
      </c>
      <c r="F39" s="12">
        <f>F38*(1-F14)</f>
        <v>2019.6308062007984</v>
      </c>
      <c r="G39" s="12">
        <f>G38*(1-G14)</f>
        <v>2273.3485909259375</v>
      </c>
      <c r="H39" s="12">
        <f>H38*(1-H14)</f>
        <v>2298.5033064018362</v>
      </c>
      <c r="I39" s="12">
        <f>I38*(1-I14)</f>
        <v>2312.8799149571705</v>
      </c>
      <c r="J39" s="12">
        <f>J38*(1-J14)</f>
        <v>2326.7335104566596</v>
      </c>
      <c r="K39" s="12">
        <f>K38*(1-K14)</f>
        <v>2340.5445991923102</v>
      </c>
      <c r="L39" s="12">
        <f>L38*(1-L14)</f>
        <v>2354.333269462848</v>
      </c>
    </row>
    <row r="40" spans="1:12" x14ac:dyDescent="0.2">
      <c r="A40" t="s">
        <v>56</v>
      </c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>
        <f>L39*(1+Inputs!B38)/(Inputs!B41-Inputs!B38)</f>
        <v>41866.187270013252</v>
      </c>
    </row>
    <row r="41" spans="1:12" ht="17" thickBot="1" x14ac:dyDescent="0.25">
      <c r="A41" t="s">
        <v>57</v>
      </c>
      <c r="B41" s="22"/>
      <c r="C41" s="26">
        <f>C39/(1+Inputs!$B$41)^Valuation!C26</f>
        <v>1314.2785416666663</v>
      </c>
      <c r="D41" s="26">
        <f>D39/(1+Inputs!$B$41)^Valuation!D26</f>
        <v>1366.8030169753081</v>
      </c>
      <c r="E41" s="26">
        <f>E39/(1+Inputs!$B$41)^Valuation!E26</f>
        <v>1424.2954460305202</v>
      </c>
      <c r="F41" s="26">
        <f>F39/(1+Inputs!$B$41)^Valuation!F26</f>
        <v>1484.488934184955</v>
      </c>
      <c r="G41" s="26">
        <f>G39/(1+Inputs!$B$41)^Valuation!G26</f>
        <v>1547.2028519845521</v>
      </c>
      <c r="H41" s="26">
        <f>H39/(1+Inputs!$B$41)^Valuation!H26</f>
        <v>1448.4469709848272</v>
      </c>
      <c r="I41" s="26">
        <f>I39/(1+Inputs!$B$41)^Valuation!I26</f>
        <v>1349.5432157722098</v>
      </c>
      <c r="J41" s="26">
        <f>J39/(1+Inputs!$B$41)^Valuation!J26</f>
        <v>1257.0617182277856</v>
      </c>
      <c r="K41" s="26">
        <f>K39/(1+Inputs!$B$41)^Valuation!K26</f>
        <v>1170.8550182710678</v>
      </c>
      <c r="L41" s="26">
        <f>(L39+L40)/(1+Inputs!$B$41)^Valuation!L26</f>
        <v>20482.657153600358</v>
      </c>
    </row>
    <row r="42" spans="1:12" ht="17" thickBot="1" x14ac:dyDescent="0.25">
      <c r="A42" t="s">
        <v>60</v>
      </c>
      <c r="B42" s="51">
        <f>SUM(C41:L41)</f>
        <v>32845.632867698252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</row>
    <row r="44" spans="1:12" x14ac:dyDescent="0.2">
      <c r="A44" s="1" t="s">
        <v>153</v>
      </c>
    </row>
    <row r="45" spans="1:12" x14ac:dyDescent="0.2">
      <c r="A45" s="4" t="s">
        <v>107</v>
      </c>
      <c r="B45" s="26">
        <f>B27*B18</f>
        <v>41334.685957948139</v>
      </c>
    </row>
    <row r="46" spans="1:12" x14ac:dyDescent="0.2">
      <c r="A46" s="4" t="s">
        <v>108</v>
      </c>
      <c r="B46" s="26">
        <f>SUM(C32:L32)</f>
        <v>52792.77984831611</v>
      </c>
    </row>
    <row r="47" spans="1:12" ht="17" thickBot="1" x14ac:dyDescent="0.25">
      <c r="A47" s="4" t="s">
        <v>141</v>
      </c>
      <c r="B47" s="26">
        <f>SUM(C41:L41)</f>
        <v>32845.632867698252</v>
      </c>
    </row>
    <row r="48" spans="1:12" ht="17" thickBot="1" x14ac:dyDescent="0.25">
      <c r="A48" s="23" t="s">
        <v>110</v>
      </c>
      <c r="B48" s="94">
        <f>B45+B46-B47</f>
        <v>61281.832938566004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baseColWidth="10" defaultRowHeight="16" x14ac:dyDescent="0.2"/>
  <cols>
    <col min="2" max="2" width="39.6640625" customWidth="1"/>
  </cols>
  <sheetData>
    <row r="1" spans="1:2" x14ac:dyDescent="0.2">
      <c r="A1" s="1" t="s">
        <v>19</v>
      </c>
      <c r="B1" s="1" t="s">
        <v>23</v>
      </c>
    </row>
    <row r="2" spans="1:2" x14ac:dyDescent="0.2">
      <c r="A2" t="s">
        <v>20</v>
      </c>
      <c r="B2" t="s">
        <v>24</v>
      </c>
    </row>
    <row r="3" spans="1:2" x14ac:dyDescent="0.2">
      <c r="A3" t="s">
        <v>21</v>
      </c>
      <c r="B3" t="s">
        <v>25</v>
      </c>
    </row>
    <row r="4" spans="1:2" x14ac:dyDescent="0.2">
      <c r="B4" t="s">
        <v>26</v>
      </c>
    </row>
    <row r="5" spans="1:2" x14ac:dyDescent="0.2">
      <c r="B5" t="s">
        <v>27</v>
      </c>
    </row>
    <row r="6" spans="1:2" x14ac:dyDescent="0.2">
      <c r="B6" t="s">
        <v>28</v>
      </c>
    </row>
    <row r="7" spans="1:2" x14ac:dyDescent="0.2">
      <c r="B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:D5"/>
    </sheetView>
  </sheetViews>
  <sheetFormatPr baseColWidth="10" defaultRowHeight="16" x14ac:dyDescent="0.2"/>
  <cols>
    <col min="1" max="1" width="24.1640625" customWidth="1"/>
    <col min="2" max="2" width="11.33203125" style="7" bestFit="1" customWidth="1"/>
    <col min="3" max="3" width="12" bestFit="1" customWidth="1"/>
    <col min="4" max="4" width="13.83203125" bestFit="1" customWidth="1"/>
    <col min="5" max="5" width="11.5" bestFit="1" customWidth="1"/>
  </cols>
  <sheetData>
    <row r="1" spans="1:5" x14ac:dyDescent="0.2">
      <c r="B1" s="68" t="s">
        <v>66</v>
      </c>
      <c r="C1" s="52" t="s">
        <v>72</v>
      </c>
      <c r="D1" s="52" t="s">
        <v>71</v>
      </c>
      <c r="E1" s="53" t="s">
        <v>73</v>
      </c>
    </row>
    <row r="2" spans="1:5" x14ac:dyDescent="0.2">
      <c r="A2" s="21" t="s">
        <v>12</v>
      </c>
      <c r="B2" s="69">
        <f>Valuation!B45</f>
        <v>41334.685957948139</v>
      </c>
      <c r="C2" s="116"/>
      <c r="D2" s="118"/>
      <c r="E2" s="120"/>
    </row>
    <row r="3" spans="1:5" ht="17" thickBot="1" x14ac:dyDescent="0.25">
      <c r="A3" s="71" t="s">
        <v>13</v>
      </c>
      <c r="B3" s="72">
        <f>Valuation!B46</f>
        <v>52792.77984831611</v>
      </c>
      <c r="C3" s="117"/>
      <c r="D3" s="119"/>
      <c r="E3" s="121"/>
    </row>
    <row r="4" spans="1:5" ht="17" thickBot="1" x14ac:dyDescent="0.25">
      <c r="A4" s="75" t="s">
        <v>66</v>
      </c>
      <c r="B4" s="76">
        <f>B2+B3</f>
        <v>94127.465806264256</v>
      </c>
      <c r="C4" s="77">
        <f>B2+B3</f>
        <v>94127.465806264256</v>
      </c>
      <c r="D4" s="119"/>
      <c r="E4" s="121"/>
    </row>
    <row r="5" spans="1:5" ht="17" thickBot="1" x14ac:dyDescent="0.25">
      <c r="A5" s="73" t="s">
        <v>67</v>
      </c>
      <c r="B5" s="122"/>
      <c r="C5" s="78">
        <f>Valuation!B47</f>
        <v>32845.632867698252</v>
      </c>
      <c r="D5" s="119"/>
      <c r="E5" s="121"/>
    </row>
    <row r="6" spans="1:5" ht="17" thickBot="1" x14ac:dyDescent="0.25">
      <c r="A6" s="23" t="s">
        <v>68</v>
      </c>
      <c r="B6" s="122"/>
      <c r="C6" s="76">
        <f>C4+C5</f>
        <v>126973.09867396251</v>
      </c>
      <c r="D6" s="79">
        <f>C4+C5</f>
        <v>126973.09867396251</v>
      </c>
      <c r="E6" s="121"/>
    </row>
    <row r="7" spans="1:5" x14ac:dyDescent="0.2">
      <c r="A7" s="21" t="s">
        <v>16</v>
      </c>
      <c r="B7" s="122"/>
      <c r="C7" s="124"/>
      <c r="D7" s="74" t="e">
        <f>Valuation!#REF!</f>
        <v>#REF!</v>
      </c>
      <c r="E7" s="121"/>
    </row>
    <row r="8" spans="1:5" ht="17" thickBot="1" x14ac:dyDescent="0.25">
      <c r="A8" s="21" t="s">
        <v>69</v>
      </c>
      <c r="B8" s="122"/>
      <c r="C8" s="124"/>
      <c r="D8" s="80" t="e">
        <f>Valuation!#REF!</f>
        <v>#REF!</v>
      </c>
      <c r="E8" s="121"/>
    </row>
    <row r="9" spans="1:5" ht="17" thickBot="1" x14ac:dyDescent="0.25">
      <c r="A9" s="23" t="s">
        <v>70</v>
      </c>
      <c r="B9" s="122"/>
      <c r="C9" s="124"/>
      <c r="D9" s="82" t="e">
        <f>D6+D7+D8</f>
        <v>#REF!</v>
      </c>
      <c r="E9" s="77" t="e">
        <f>D6+D7+D8</f>
        <v>#REF!</v>
      </c>
    </row>
    <row r="10" spans="1:5" x14ac:dyDescent="0.2">
      <c r="A10" s="21" t="s">
        <v>65</v>
      </c>
      <c r="B10" s="122"/>
      <c r="C10" s="124"/>
      <c r="D10" s="126"/>
      <c r="E10" s="81" t="e">
        <f>Valuation!#REF!</f>
        <v>#REF!</v>
      </c>
    </row>
    <row r="11" spans="1:5" ht="17" thickBot="1" x14ac:dyDescent="0.25">
      <c r="A11" s="23" t="s">
        <v>74</v>
      </c>
      <c r="B11" s="123"/>
      <c r="C11" s="125"/>
      <c r="D11" s="127"/>
      <c r="E11" s="70" t="e">
        <f>E9-E10</f>
        <v>#REF!</v>
      </c>
    </row>
  </sheetData>
  <mergeCells count="6">
    <mergeCell ref="C2:C3"/>
    <mergeCell ref="D2:D5"/>
    <mergeCell ref="E2:E8"/>
    <mergeCell ref="B5:B11"/>
    <mergeCell ref="C7:C11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Valuation</vt:lpstr>
      <vt:lpstr>Input choices</vt:lpstr>
      <vt:lpstr>Value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Aswath Damodaran</cp:lastModifiedBy>
  <dcterms:created xsi:type="dcterms:W3CDTF">2017-06-26T12:13:33Z</dcterms:created>
  <dcterms:modified xsi:type="dcterms:W3CDTF">2017-10-17T19:27:45Z</dcterms:modified>
</cp:coreProperties>
</file>