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AZON AGROSCIENCES\"/>
    </mc:Choice>
  </mc:AlternateContent>
  <bookViews>
    <workbookView xWindow="0" yWindow="0" windowWidth="20490" windowHeight="7050" tabRatio="598" activeTab="6"/>
  </bookViews>
  <sheets>
    <sheet name="AMINO BLACK" sheetId="117" r:id="rId1"/>
    <sheet name="SPRINTER K" sheetId="223" r:id="rId2"/>
    <sheet name="BET7ER 7-7-7" sheetId="215" r:id="rId3"/>
    <sheet name="RADIX PLUS NÃO USAR" sheetId="224" r:id="rId4"/>
    <sheet name="FUEL BLACK 18,5%" sheetId="196" r:id="rId5"/>
    <sheet name="Base Preços MP" sheetId="9" r:id="rId6"/>
    <sheet name="Power 12" sheetId="227" r:id="rId7"/>
    <sheet name="BLACK POWER 16" sheetId="212" r:id="rId8"/>
    <sheet name="SOIL POWER" sheetId="226" r:id="rId9"/>
    <sheet name="FUEL BLACK 20% NÃO USAR" sheetId="94" r:id="rId10"/>
    <sheet name="VIVIANITA" sheetId="197" r:id="rId11"/>
    <sheet name="MAP LIQUIDO NÃO USAR" sheetId="203" r:id="rId12"/>
    <sheet name="LIQUID-PHOS" sheetId="202" r:id="rId13"/>
    <sheet name="4-30-0 NÃO USAR" sheetId="190" r:id="rId14"/>
    <sheet name="FOSFORICO 70%" sheetId="188" r:id="rId15"/>
    <sheet name="6-24 B NÃO USAR" sheetId="207" r:id="rId16"/>
    <sheet name="NORTHOFOS 4-30 NÃO USAR" sheetId="209" r:id="rId17"/>
    <sheet name="NORTHOFOS 6-24" sheetId="187" r:id="rId18"/>
    <sheet name="STARTER" sheetId="225" r:id="rId19"/>
    <sheet name="FERT CALCIO" sheetId="97" r:id="rId20"/>
    <sheet name="FERT MAG" sheetId="99" r:id="rId21"/>
    <sheet name="CALCIUM 14" sheetId="155" r:id="rId22"/>
    <sheet name="RADIX ORGANICO" sheetId="110" r:id="rId23"/>
    <sheet name="CITRUS 100" sheetId="111" r:id="rId24"/>
    <sheet name="PLANTA 100 CLORETOS NÃO USAR" sheetId="112" r:id="rId25"/>
    <sheet name="NITRO K ORGANICO" sheetId="113" r:id="rId26"/>
    <sheet name="TOTAL 5 NÃO USAR" sheetId="114" r:id="rId27"/>
    <sheet name="COMPLET FASE 1" sheetId="214" r:id="rId28"/>
    <sheet name="FASE 2P" sheetId="183" r:id="rId29"/>
    <sheet name="FASE 2CA" sheetId="182" r:id="rId30"/>
    <sheet name="COMPLET MICROS" sheetId="205" r:id="rId31"/>
    <sheet name="PLANTA 100 Nitratos" sheetId="116" r:id="rId32"/>
    <sheet name="ORQUIDIUM" sheetId="115" r:id="rId33"/>
    <sheet name="HIDROPONIC" sheetId="98" r:id="rId34"/>
    <sheet name="EQUILIBRIO" sheetId="92" r:id="rId35"/>
    <sheet name="RADIX 2-10" sheetId="118" r:id="rId36"/>
    <sheet name="LIQUID K" sheetId="121" r:id="rId37"/>
    <sheet name="UREIA LIQUIDA" sheetId="216" r:id="rId38"/>
    <sheet name="NITREX" sheetId="122" r:id="rId39"/>
    <sheet name="Solumag" sheetId="145" r:id="rId40"/>
    <sheet name="Aquadown" sheetId="147" r:id="rId41"/>
    <sheet name="GROWN A30T" sheetId="208" r:id="rId42"/>
    <sheet name="BIOFIX" sheetId="222" r:id="rId43"/>
    <sheet name="PHOSKAFER" sheetId="221" r:id="rId44"/>
    <sheet name="TABELA CUSTOS DE PRODUÇÃO" sheetId="124" r:id="rId45"/>
    <sheet name="TABELA BASE DISTRIBUIDOR" sheetId="125" r:id="rId46"/>
    <sheet name="TABELA 70%" sheetId="158" r:id="rId47"/>
    <sheet name="TABELA 60%" sheetId="218" r:id="rId48"/>
    <sheet name="TABELA 50%" sheetId="219" r:id="rId49"/>
    <sheet name="TABELA 40%" sheetId="220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calcPr calcId="162913"/>
</workbook>
</file>

<file path=xl/calcChain.xml><?xml version="1.0" encoding="utf-8"?>
<calcChain xmlns="http://schemas.openxmlformats.org/spreadsheetml/2006/main">
  <c r="E62" i="205" l="1"/>
  <c r="D62" i="205"/>
  <c r="E51" i="205"/>
  <c r="F54" i="205"/>
  <c r="F53" i="205"/>
  <c r="F52" i="205"/>
  <c r="F51" i="205"/>
  <c r="E53" i="182"/>
  <c r="F56" i="182"/>
  <c r="F55" i="182"/>
  <c r="F54" i="182"/>
  <c r="F53" i="182"/>
  <c r="E53" i="183"/>
  <c r="F56" i="183"/>
  <c r="F55" i="183"/>
  <c r="F54" i="183"/>
  <c r="F53" i="183"/>
  <c r="E53" i="214"/>
  <c r="F56" i="214"/>
  <c r="F55" i="214"/>
  <c r="F54" i="214"/>
  <c r="F53" i="214"/>
  <c r="H21" i="183"/>
  <c r="H18" i="183"/>
  <c r="H22" i="214" l="1"/>
  <c r="H21" i="214"/>
  <c r="H20" i="214"/>
  <c r="H19" i="214"/>
  <c r="H18" i="214"/>
  <c r="H26" i="205" l="1"/>
  <c r="H20" i="205"/>
  <c r="F33" i="205"/>
  <c r="H18" i="97" l="1"/>
  <c r="H26" i="196"/>
  <c r="H25" i="196"/>
  <c r="H23" i="196"/>
  <c r="H22" i="196"/>
  <c r="H21" i="196"/>
  <c r="H20" i="196"/>
  <c r="H22" i="202"/>
  <c r="H21" i="202"/>
  <c r="F23" i="202"/>
  <c r="E62" i="99"/>
  <c r="D62" i="99"/>
  <c r="E51" i="99"/>
  <c r="F51" i="99"/>
  <c r="H19" i="99"/>
  <c r="H18" i="99"/>
  <c r="H28" i="111"/>
  <c r="H27" i="111"/>
  <c r="H26" i="111"/>
  <c r="H23" i="111"/>
  <c r="H22" i="111"/>
  <c r="H18" i="111"/>
  <c r="H20" i="182"/>
  <c r="H19" i="182"/>
  <c r="H18" i="182"/>
  <c r="F54" i="116"/>
  <c r="F53" i="116"/>
  <c r="F52" i="116"/>
  <c r="F51" i="116"/>
  <c r="H32" i="116"/>
  <c r="H31" i="116"/>
  <c r="H30" i="116"/>
  <c r="H29" i="116"/>
  <c r="H28" i="116"/>
  <c r="H27" i="116"/>
  <c r="H26" i="116"/>
  <c r="H25" i="116"/>
  <c r="H24" i="116"/>
  <c r="H23" i="116"/>
  <c r="H22" i="116"/>
  <c r="H21" i="116"/>
  <c r="H20" i="116"/>
  <c r="H19" i="116"/>
  <c r="H18" i="116"/>
  <c r="H31" i="115"/>
  <c r="H30" i="115"/>
  <c r="H29" i="115"/>
  <c r="H27" i="115"/>
  <c r="H26" i="115"/>
  <c r="H25" i="115"/>
  <c r="H24" i="115"/>
  <c r="H23" i="115"/>
  <c r="H22" i="115"/>
  <c r="H21" i="115"/>
  <c r="H20" i="115"/>
  <c r="H19" i="115"/>
  <c r="H18" i="115"/>
  <c r="H32" i="98"/>
  <c r="H30" i="98"/>
  <c r="H29" i="98"/>
  <c r="H28" i="98"/>
  <c r="H27" i="98"/>
  <c r="H25" i="98"/>
  <c r="H24" i="98"/>
  <c r="H22" i="98"/>
  <c r="H21" i="98"/>
  <c r="H20" i="98"/>
  <c r="H18" i="98"/>
  <c r="H20" i="118"/>
  <c r="H18" i="118"/>
  <c r="E50" i="145"/>
  <c r="F51" i="145"/>
  <c r="F50" i="145"/>
  <c r="J19" i="145"/>
  <c r="B30" i="145"/>
  <c r="H26" i="222"/>
  <c r="H25" i="222"/>
  <c r="H24" i="222"/>
  <c r="H23" i="222"/>
  <c r="H22" i="222"/>
  <c r="H21" i="222"/>
  <c r="H20" i="222"/>
  <c r="H19" i="221"/>
  <c r="H20" i="221"/>
  <c r="F52" i="208" l="1"/>
  <c r="F51" i="208"/>
  <c r="H27" i="155" l="1"/>
  <c r="G92" i="9" l="1"/>
  <c r="C92" i="9" s="1"/>
  <c r="J91" i="9"/>
  <c r="G91" i="9"/>
  <c r="C91" i="9" s="1"/>
  <c r="G90" i="9"/>
  <c r="C90" i="9"/>
  <c r="G89" i="9"/>
  <c r="C89" i="9" s="1"/>
  <c r="G88" i="9"/>
  <c r="C88" i="9" s="1"/>
  <c r="G87" i="9"/>
  <c r="C87" i="9" s="1"/>
  <c r="G86" i="9"/>
  <c r="C86" i="9"/>
  <c r="G85" i="9"/>
  <c r="C85" i="9" s="1"/>
  <c r="H18" i="121" l="1"/>
  <c r="H25" i="212" l="1"/>
  <c r="H20" i="188"/>
  <c r="H20" i="187"/>
  <c r="F43" i="187"/>
  <c r="H21" i="212"/>
  <c r="F51" i="212"/>
  <c r="F52" i="212"/>
  <c r="F51" i="227"/>
  <c r="F52" i="227"/>
  <c r="H19" i="122" l="1"/>
  <c r="H18" i="122"/>
  <c r="H20" i="208"/>
  <c r="H19" i="208"/>
  <c r="E51" i="208"/>
  <c r="E51" i="116"/>
  <c r="E52" i="113"/>
  <c r="H22" i="113" l="1"/>
  <c r="H21" i="113"/>
  <c r="H19" i="113"/>
  <c r="H18" i="113"/>
  <c r="F50" i="113" l="1"/>
  <c r="H21" i="227" l="1"/>
  <c r="J21" i="227" s="1"/>
  <c r="A60" i="227"/>
  <c r="F54" i="227"/>
  <c r="E54" i="227" s="1"/>
  <c r="F53" i="227"/>
  <c r="E53" i="227" s="1"/>
  <c r="E52" i="227"/>
  <c r="E51" i="227"/>
  <c r="F50" i="227"/>
  <c r="E50" i="227" s="1"/>
  <c r="F49" i="227"/>
  <c r="E49" i="227" s="1"/>
  <c r="I46" i="227"/>
  <c r="J43" i="227"/>
  <c r="J42" i="227"/>
  <c r="J41" i="227"/>
  <c r="J40" i="227"/>
  <c r="F31" i="227"/>
  <c r="L30" i="227"/>
  <c r="J30" i="227"/>
  <c r="E30" i="227"/>
  <c r="L29" i="227"/>
  <c r="J29" i="227"/>
  <c r="E29" i="227"/>
  <c r="I27" i="227" s="1"/>
  <c r="K27" i="227" s="1"/>
  <c r="L28" i="227"/>
  <c r="J28" i="227"/>
  <c r="E28" i="227"/>
  <c r="L27" i="227"/>
  <c r="H27" i="227"/>
  <c r="J27" i="227" s="1"/>
  <c r="E27" i="227"/>
  <c r="O26" i="227"/>
  <c r="L26" i="227"/>
  <c r="I26" i="227"/>
  <c r="K26" i="227" s="1"/>
  <c r="H26" i="227"/>
  <c r="J26" i="227" s="1"/>
  <c r="E26" i="227"/>
  <c r="L25" i="227"/>
  <c r="H25" i="227"/>
  <c r="J25" i="227" s="1"/>
  <c r="E25" i="227"/>
  <c r="L24" i="227"/>
  <c r="H24" i="227"/>
  <c r="J24" i="227" s="1"/>
  <c r="E24" i="227"/>
  <c r="I24" i="227" s="1"/>
  <c r="K24" i="227" s="1"/>
  <c r="L23" i="227"/>
  <c r="H23" i="227"/>
  <c r="J23" i="227" s="1"/>
  <c r="E23" i="227"/>
  <c r="I25" i="227" s="1"/>
  <c r="K25" i="227" s="1"/>
  <c r="O22" i="227"/>
  <c r="L22" i="227"/>
  <c r="I22" i="227"/>
  <c r="K22" i="227" s="1"/>
  <c r="H22" i="227"/>
  <c r="J22" i="227" s="1"/>
  <c r="E22" i="227"/>
  <c r="I23" i="227" s="1"/>
  <c r="K23" i="227" s="1"/>
  <c r="L21" i="227"/>
  <c r="I21" i="227"/>
  <c r="K21" i="227" s="1"/>
  <c r="E21" i="227"/>
  <c r="L20" i="227"/>
  <c r="K20" i="227"/>
  <c r="I20" i="227"/>
  <c r="H20" i="227"/>
  <c r="J20" i="227" s="1"/>
  <c r="E20" i="227"/>
  <c r="L19" i="227"/>
  <c r="H19" i="227"/>
  <c r="J19" i="227" s="1"/>
  <c r="E19" i="227"/>
  <c r="O18" i="227"/>
  <c r="L18" i="227"/>
  <c r="I18" i="227"/>
  <c r="K18" i="227" s="1"/>
  <c r="H18" i="227"/>
  <c r="J18" i="227" s="1"/>
  <c r="E18" i="227"/>
  <c r="I19" i="227" s="1"/>
  <c r="K19" i="227" s="1"/>
  <c r="O17" i="227"/>
  <c r="L17" i="227"/>
  <c r="H17" i="227"/>
  <c r="J17" i="227" s="1"/>
  <c r="E17" i="227"/>
  <c r="M16" i="227"/>
  <c r="O30" i="227" s="1"/>
  <c r="E31" i="227" l="1"/>
  <c r="J35" i="227"/>
  <c r="E39" i="227" s="1"/>
  <c r="E44" i="227" s="1"/>
  <c r="D65" i="227" s="1"/>
  <c r="E65" i="227" s="1"/>
  <c r="I17" i="227"/>
  <c r="K17" i="227" s="1"/>
  <c r="O21" i="227"/>
  <c r="O25" i="227"/>
  <c r="O20" i="227"/>
  <c r="O24" i="227"/>
  <c r="O19" i="227"/>
  <c r="O23" i="227"/>
  <c r="O27" i="227"/>
  <c r="O28" i="227"/>
  <c r="O29" i="227"/>
  <c r="J39" i="227" l="1"/>
  <c r="J44" i="227" s="1"/>
  <c r="E62" i="227" s="1"/>
  <c r="G62" i="227" s="1"/>
  <c r="O31" i="227"/>
  <c r="D62" i="227"/>
  <c r="D63" i="227"/>
  <c r="D61" i="227"/>
  <c r="D64" i="227"/>
  <c r="E64" i="227" s="1"/>
  <c r="D59" i="227"/>
  <c r="D60" i="227"/>
  <c r="E60" i="227" l="1"/>
  <c r="E61" i="227"/>
  <c r="E59" i="227"/>
  <c r="E63" i="227"/>
  <c r="G63" i="227" s="1"/>
  <c r="F51" i="196" l="1"/>
  <c r="F52" i="226" l="1"/>
  <c r="E52" i="226" s="1"/>
  <c r="H24" i="226"/>
  <c r="J24" i="226" s="1"/>
  <c r="H23" i="226"/>
  <c r="J23" i="226" s="1"/>
  <c r="H18" i="226"/>
  <c r="A60" i="226"/>
  <c r="F54" i="226"/>
  <c r="E54" i="226" s="1"/>
  <c r="F53" i="226"/>
  <c r="E53" i="226" s="1"/>
  <c r="F51" i="226"/>
  <c r="E51" i="226" s="1"/>
  <c r="F50" i="226"/>
  <c r="E50" i="226" s="1"/>
  <c r="F49" i="226"/>
  <c r="E49" i="226" s="1"/>
  <c r="I46" i="226"/>
  <c r="J43" i="226"/>
  <c r="J42" i="226"/>
  <c r="J41" i="226"/>
  <c r="J40" i="226"/>
  <c r="F31" i="226"/>
  <c r="L30" i="226"/>
  <c r="J30" i="226"/>
  <c r="E30" i="226"/>
  <c r="L29" i="226"/>
  <c r="J29" i="226"/>
  <c r="E29" i="226"/>
  <c r="I27" i="226" s="1"/>
  <c r="K27" i="226" s="1"/>
  <c r="L28" i="226"/>
  <c r="J28" i="226"/>
  <c r="E28" i="226"/>
  <c r="L27" i="226"/>
  <c r="H27" i="226"/>
  <c r="J27" i="226" s="1"/>
  <c r="E27" i="226"/>
  <c r="I20" i="226" s="1"/>
  <c r="K20" i="226" s="1"/>
  <c r="O26" i="226"/>
  <c r="L26" i="226"/>
  <c r="I26" i="226"/>
  <c r="K26" i="226" s="1"/>
  <c r="H26" i="226"/>
  <c r="J26" i="226" s="1"/>
  <c r="E26" i="226"/>
  <c r="O25" i="226"/>
  <c r="L25" i="226"/>
  <c r="H25" i="226"/>
  <c r="J25" i="226" s="1"/>
  <c r="E25" i="226"/>
  <c r="L24" i="226"/>
  <c r="E24" i="226"/>
  <c r="I24" i="226" s="1"/>
  <c r="K24" i="226" s="1"/>
  <c r="L23" i="226"/>
  <c r="E23" i="226"/>
  <c r="I25" i="226" s="1"/>
  <c r="K25" i="226" s="1"/>
  <c r="O22" i="226"/>
  <c r="L22" i="226"/>
  <c r="I22" i="226"/>
  <c r="K22" i="226" s="1"/>
  <c r="H22" i="226"/>
  <c r="J22" i="226" s="1"/>
  <c r="E22" i="226"/>
  <c r="I23" i="226" s="1"/>
  <c r="K23" i="226" s="1"/>
  <c r="O21" i="226"/>
  <c r="L21" i="226"/>
  <c r="I21" i="226"/>
  <c r="K21" i="226" s="1"/>
  <c r="H21" i="226"/>
  <c r="J21" i="226" s="1"/>
  <c r="E21" i="226"/>
  <c r="L20" i="226"/>
  <c r="H20" i="226"/>
  <c r="J20" i="226" s="1"/>
  <c r="E20" i="226"/>
  <c r="I17" i="226" s="1"/>
  <c r="K17" i="226" s="1"/>
  <c r="L19" i="226"/>
  <c r="H19" i="226"/>
  <c r="J19" i="226" s="1"/>
  <c r="E19" i="226"/>
  <c r="I18" i="226" s="1"/>
  <c r="K18" i="226" s="1"/>
  <c r="O18" i="226"/>
  <c r="L18" i="226"/>
  <c r="J18" i="226"/>
  <c r="E18" i="226"/>
  <c r="O17" i="226"/>
  <c r="L17" i="226"/>
  <c r="H17" i="226"/>
  <c r="J17" i="226" s="1"/>
  <c r="E17" i="226"/>
  <c r="M16" i="226"/>
  <c r="O30" i="226" s="1"/>
  <c r="I19" i="226" l="1"/>
  <c r="K19" i="226" s="1"/>
  <c r="J35" i="226"/>
  <c r="E39" i="226" s="1"/>
  <c r="O20" i="226"/>
  <c r="O24" i="226"/>
  <c r="E31" i="226"/>
  <c r="O19" i="226"/>
  <c r="O23" i="226"/>
  <c r="O27" i="226"/>
  <c r="O28" i="226"/>
  <c r="O29" i="226"/>
  <c r="O31" i="226" l="1"/>
  <c r="E44" i="226"/>
  <c r="J39" i="226"/>
  <c r="J44" i="226" s="1"/>
  <c r="E63" i="226" l="1"/>
  <c r="G63" i="226" s="1"/>
  <c r="E61" i="226"/>
  <c r="E62" i="226"/>
  <c r="G62" i="226" s="1"/>
  <c r="E59" i="226"/>
  <c r="E60" i="226"/>
  <c r="D59" i="226"/>
  <c r="D64" i="226"/>
  <c r="E64" i="226" s="1"/>
  <c r="D60" i="226"/>
  <c r="D63" i="226"/>
  <c r="D61" i="226"/>
  <c r="D62" i="226"/>
  <c r="D65" i="226"/>
  <c r="E65" i="226" s="1"/>
  <c r="H22" i="225" l="1"/>
  <c r="F52" i="225"/>
  <c r="E52" i="225" s="1"/>
  <c r="H21" i="225"/>
  <c r="J21" i="225" s="1"/>
  <c r="H19" i="225"/>
  <c r="J19" i="225" s="1"/>
  <c r="H18" i="225"/>
  <c r="J18" i="225" s="1"/>
  <c r="A60" i="225"/>
  <c r="F54" i="225"/>
  <c r="E54" i="225" s="1"/>
  <c r="F53" i="225"/>
  <c r="E53" i="225" s="1"/>
  <c r="I46" i="225"/>
  <c r="J43" i="225"/>
  <c r="J42" i="225"/>
  <c r="J41" i="225"/>
  <c r="J40" i="225"/>
  <c r="F32" i="225"/>
  <c r="L31" i="225"/>
  <c r="H31" i="225"/>
  <c r="J31" i="225" s="1"/>
  <c r="E31" i="225"/>
  <c r="L30" i="225"/>
  <c r="H30" i="225"/>
  <c r="J30" i="225" s="1"/>
  <c r="E30" i="225"/>
  <c r="L29" i="225"/>
  <c r="H29" i="225"/>
  <c r="J29" i="225" s="1"/>
  <c r="E29" i="225"/>
  <c r="L28" i="225"/>
  <c r="H28" i="225"/>
  <c r="J28" i="225" s="1"/>
  <c r="E28" i="225"/>
  <c r="I26" i="225" s="1"/>
  <c r="K26" i="225" s="1"/>
  <c r="L27" i="225"/>
  <c r="I27" i="225"/>
  <c r="K27" i="225" s="1"/>
  <c r="H27" i="225"/>
  <c r="J27" i="225" s="1"/>
  <c r="E27" i="225"/>
  <c r="I20" i="225" s="1"/>
  <c r="K20" i="225" s="1"/>
  <c r="L26" i="225"/>
  <c r="H26" i="225"/>
  <c r="J26" i="225" s="1"/>
  <c r="E26" i="225"/>
  <c r="I21" i="225" s="1"/>
  <c r="K21" i="225" s="1"/>
  <c r="L25" i="225"/>
  <c r="H25" i="225"/>
  <c r="J25" i="225" s="1"/>
  <c r="E25" i="225"/>
  <c r="L24" i="225"/>
  <c r="I24" i="225"/>
  <c r="K24" i="225" s="1"/>
  <c r="H24" i="225"/>
  <c r="J24" i="225" s="1"/>
  <c r="E24" i="225"/>
  <c r="L23" i="225"/>
  <c r="H23" i="225"/>
  <c r="J23" i="225" s="1"/>
  <c r="E23" i="225"/>
  <c r="I25" i="225" s="1"/>
  <c r="K25" i="225" s="1"/>
  <c r="L22" i="225"/>
  <c r="J22" i="225"/>
  <c r="E22" i="225"/>
  <c r="I23" i="225" s="1"/>
  <c r="K23" i="225" s="1"/>
  <c r="L21" i="225"/>
  <c r="E21" i="225"/>
  <c r="I22" i="225" s="1"/>
  <c r="K22" i="225" s="1"/>
  <c r="L20" i="225"/>
  <c r="E20" i="225"/>
  <c r="I17" i="225" s="1"/>
  <c r="K17" i="225" s="1"/>
  <c r="O19" i="225"/>
  <c r="L19" i="225"/>
  <c r="E19" i="225"/>
  <c r="I18" i="225" s="1"/>
  <c r="K18" i="225" s="1"/>
  <c r="L18" i="225"/>
  <c r="E18" i="225"/>
  <c r="L17" i="225"/>
  <c r="H17" i="225"/>
  <c r="J17" i="225" s="1"/>
  <c r="E17" i="225"/>
  <c r="M16" i="225"/>
  <c r="O30" i="225" s="1"/>
  <c r="I19" i="225" l="1"/>
  <c r="K19" i="225" s="1"/>
  <c r="E32" i="225"/>
  <c r="O23" i="225"/>
  <c r="O18" i="225"/>
  <c r="O22" i="225"/>
  <c r="O26" i="225"/>
  <c r="O28" i="225"/>
  <c r="O27" i="225"/>
  <c r="O17" i="225"/>
  <c r="O21" i="225"/>
  <c r="O25" i="225"/>
  <c r="O29" i="225"/>
  <c r="O20" i="225"/>
  <c r="O24" i="225"/>
  <c r="H20" i="117"/>
  <c r="J20" i="117" s="1"/>
  <c r="H27" i="117"/>
  <c r="J27" i="117" s="1"/>
  <c r="I46" i="117"/>
  <c r="F52" i="117"/>
  <c r="E52" i="117" s="1"/>
  <c r="H19" i="196"/>
  <c r="J19" i="196" s="1"/>
  <c r="H33" i="92"/>
  <c r="H32" i="92"/>
  <c r="J32" i="92" s="1"/>
  <c r="R32" i="92" s="1"/>
  <c r="H31" i="92"/>
  <c r="J31" i="92" s="1"/>
  <c r="R31" i="92" s="1"/>
  <c r="H30" i="92"/>
  <c r="J30" i="92"/>
  <c r="R30" i="92" s="1"/>
  <c r="H29" i="92"/>
  <c r="H28" i="92"/>
  <c r="J28" i="92" s="1"/>
  <c r="R28" i="92" s="1"/>
  <c r="H27" i="92"/>
  <c r="J27" i="92" s="1"/>
  <c r="R27" i="92" s="1"/>
  <c r="H26" i="92"/>
  <c r="J26" i="92" s="1"/>
  <c r="R26" i="92" s="1"/>
  <c r="H25" i="92"/>
  <c r="J25" i="92" s="1"/>
  <c r="R25" i="92" s="1"/>
  <c r="H24" i="92"/>
  <c r="J24" i="92" s="1"/>
  <c r="R24" i="92" s="1"/>
  <c r="H23" i="92"/>
  <c r="J23" i="92"/>
  <c r="R23" i="92" s="1"/>
  <c r="H22" i="92"/>
  <c r="J22" i="92" s="1"/>
  <c r="R22" i="92" s="1"/>
  <c r="H21" i="92"/>
  <c r="J21" i="92" s="1"/>
  <c r="R21" i="92" s="1"/>
  <c r="H19" i="92"/>
  <c r="H19" i="118" s="1"/>
  <c r="J19" i="118" s="1"/>
  <c r="H18" i="92"/>
  <c r="J18" i="92" s="1"/>
  <c r="R18" i="92" s="1"/>
  <c r="H66" i="116"/>
  <c r="I66" i="116" s="1"/>
  <c r="G66" i="116"/>
  <c r="A60" i="116"/>
  <c r="E54" i="116"/>
  <c r="E53" i="116"/>
  <c r="E52" i="116"/>
  <c r="F50" i="116"/>
  <c r="E50" i="116" s="1"/>
  <c r="F49" i="116"/>
  <c r="E49" i="116" s="1"/>
  <c r="I47" i="116"/>
  <c r="I46" i="116"/>
  <c r="J43" i="116"/>
  <c r="J42" i="116"/>
  <c r="J41" i="116"/>
  <c r="J40" i="116"/>
  <c r="F33" i="116"/>
  <c r="L32" i="116"/>
  <c r="J32" i="116"/>
  <c r="L31" i="116"/>
  <c r="J31" i="116"/>
  <c r="L30" i="116"/>
  <c r="J30" i="116"/>
  <c r="E30" i="116"/>
  <c r="L29" i="116"/>
  <c r="J29" i="116"/>
  <c r="E29" i="116"/>
  <c r="I27" i="116" s="1"/>
  <c r="K27" i="116" s="1"/>
  <c r="L28" i="116"/>
  <c r="J28" i="116"/>
  <c r="E28" i="116"/>
  <c r="L27" i="116"/>
  <c r="J27" i="116"/>
  <c r="E27" i="116"/>
  <c r="I20" i="116" s="1"/>
  <c r="K20" i="116" s="1"/>
  <c r="L26" i="116"/>
  <c r="I26" i="116"/>
  <c r="K26" i="116" s="1"/>
  <c r="J26" i="116"/>
  <c r="E26" i="116"/>
  <c r="L25" i="116"/>
  <c r="J25" i="116"/>
  <c r="E25" i="116"/>
  <c r="L24" i="116"/>
  <c r="J24" i="116"/>
  <c r="E24" i="116"/>
  <c r="I24" i="116" s="1"/>
  <c r="K24" i="116" s="1"/>
  <c r="L23" i="116"/>
  <c r="J23" i="116"/>
  <c r="E23" i="116"/>
  <c r="I25" i="116" s="1"/>
  <c r="K25" i="116" s="1"/>
  <c r="L22" i="116"/>
  <c r="J22" i="116"/>
  <c r="E22" i="116"/>
  <c r="I23" i="116" s="1"/>
  <c r="K23" i="116" s="1"/>
  <c r="O21" i="116"/>
  <c r="L21" i="116"/>
  <c r="I21" i="116"/>
  <c r="K21" i="116" s="1"/>
  <c r="J21" i="116"/>
  <c r="E21" i="116"/>
  <c r="I22" i="116" s="1"/>
  <c r="K22" i="116" s="1"/>
  <c r="L20" i="116"/>
  <c r="J20" i="116"/>
  <c r="E20" i="116"/>
  <c r="O19" i="116"/>
  <c r="L19" i="116"/>
  <c r="J19" i="116"/>
  <c r="E19" i="116"/>
  <c r="I18" i="116" s="1"/>
  <c r="K18" i="116" s="1"/>
  <c r="L18" i="116"/>
  <c r="J18" i="116"/>
  <c r="E18" i="116"/>
  <c r="I19" i="116" s="1"/>
  <c r="K19" i="116" s="1"/>
  <c r="L17" i="116"/>
  <c r="I17" i="116"/>
  <c r="K17" i="116" s="1"/>
  <c r="H17" i="116"/>
  <c r="J17" i="116" s="1"/>
  <c r="E17" i="116"/>
  <c r="E31" i="116" s="1"/>
  <c r="M16" i="116"/>
  <c r="O25" i="116" s="1"/>
  <c r="A60" i="115"/>
  <c r="F54" i="115"/>
  <c r="E54" i="115"/>
  <c r="F53" i="115"/>
  <c r="E53" i="115"/>
  <c r="F52" i="115"/>
  <c r="E52" i="115"/>
  <c r="F51" i="115"/>
  <c r="E51" i="115"/>
  <c r="F50" i="115"/>
  <c r="E50" i="115"/>
  <c r="F49" i="115"/>
  <c r="E49" i="115"/>
  <c r="I46" i="115"/>
  <c r="J43" i="115"/>
  <c r="J42" i="115"/>
  <c r="J41" i="115"/>
  <c r="E40" i="115"/>
  <c r="J40" i="115"/>
  <c r="F32" i="115"/>
  <c r="L30" i="115"/>
  <c r="J30" i="115"/>
  <c r="E30" i="115"/>
  <c r="L29" i="115"/>
  <c r="J29" i="115"/>
  <c r="E29" i="115"/>
  <c r="L28" i="115"/>
  <c r="H28" i="115"/>
  <c r="J28" i="115"/>
  <c r="E28" i="115"/>
  <c r="L27" i="115"/>
  <c r="I27" i="115"/>
  <c r="K27" i="115"/>
  <c r="J27" i="115"/>
  <c r="E27" i="115"/>
  <c r="L26" i="115"/>
  <c r="I26" i="115"/>
  <c r="K26" i="115"/>
  <c r="J26" i="115"/>
  <c r="E26" i="115"/>
  <c r="L25" i="115"/>
  <c r="J25" i="115"/>
  <c r="E25" i="115"/>
  <c r="L24" i="115"/>
  <c r="J24" i="115"/>
  <c r="E24" i="115"/>
  <c r="I24" i="115"/>
  <c r="K24" i="115"/>
  <c r="L23" i="115"/>
  <c r="I23" i="115"/>
  <c r="K23" i="115"/>
  <c r="J23" i="115"/>
  <c r="E23" i="115"/>
  <c r="I25" i="115"/>
  <c r="K25" i="115"/>
  <c r="L22" i="115"/>
  <c r="J22" i="115"/>
  <c r="E22" i="115"/>
  <c r="L21" i="115"/>
  <c r="I21" i="115"/>
  <c r="K21" i="115"/>
  <c r="J21" i="115"/>
  <c r="E21" i="115"/>
  <c r="I22" i="115"/>
  <c r="K22" i="115"/>
  <c r="L20" i="115"/>
  <c r="K20" i="115"/>
  <c r="I20" i="115"/>
  <c r="J20" i="115"/>
  <c r="E20" i="115"/>
  <c r="I17" i="115"/>
  <c r="K17" i="115"/>
  <c r="L19" i="115"/>
  <c r="J19" i="115"/>
  <c r="E19" i="115"/>
  <c r="O18" i="115"/>
  <c r="L18" i="115"/>
  <c r="I18" i="115"/>
  <c r="K18" i="115"/>
  <c r="J18" i="115"/>
  <c r="E18" i="115"/>
  <c r="I19" i="115"/>
  <c r="K19" i="115"/>
  <c r="L17" i="115"/>
  <c r="H17" i="115"/>
  <c r="J17" i="115" s="1"/>
  <c r="E17" i="115"/>
  <c r="M16" i="115"/>
  <c r="O30" i="115"/>
  <c r="A60" i="98"/>
  <c r="F54" i="98"/>
  <c r="E54" i="98" s="1"/>
  <c r="F53" i="98"/>
  <c r="E53" i="98" s="1"/>
  <c r="F52" i="98"/>
  <c r="E52" i="98" s="1"/>
  <c r="F51" i="98"/>
  <c r="E51" i="98" s="1"/>
  <c r="F50" i="98"/>
  <c r="E50" i="98"/>
  <c r="F49" i="98"/>
  <c r="E49" i="98" s="1"/>
  <c r="I47" i="98"/>
  <c r="I46" i="98"/>
  <c r="J43" i="98"/>
  <c r="J42" i="98"/>
  <c r="J41" i="98"/>
  <c r="J40" i="98"/>
  <c r="F33" i="98"/>
  <c r="L32" i="98"/>
  <c r="J32" i="98"/>
  <c r="L31" i="98"/>
  <c r="J31" i="98"/>
  <c r="L30" i="98"/>
  <c r="J30" i="98"/>
  <c r="E30" i="98"/>
  <c r="L29" i="98"/>
  <c r="J29" i="98"/>
  <c r="E29" i="98"/>
  <c r="L28" i="98"/>
  <c r="J28" i="98"/>
  <c r="E28" i="98"/>
  <c r="I26" i="98"/>
  <c r="K26" i="98"/>
  <c r="L27" i="98"/>
  <c r="I27" i="98"/>
  <c r="K27" i="98"/>
  <c r="J27" i="98"/>
  <c r="E27" i="98"/>
  <c r="I20" i="98"/>
  <c r="K20" i="98"/>
  <c r="L26" i="98"/>
  <c r="J26" i="98"/>
  <c r="E26" i="98"/>
  <c r="L25" i="98"/>
  <c r="J25" i="98"/>
  <c r="E25" i="98"/>
  <c r="L24" i="98"/>
  <c r="I24" i="98"/>
  <c r="K24" i="98"/>
  <c r="J24" i="98"/>
  <c r="E24" i="98"/>
  <c r="L23" i="98"/>
  <c r="J23" i="98"/>
  <c r="E23" i="98"/>
  <c r="I25" i="98"/>
  <c r="K25" i="98"/>
  <c r="L22" i="98"/>
  <c r="I22" i="98"/>
  <c r="K22" i="98"/>
  <c r="J22" i="98"/>
  <c r="E22" i="98"/>
  <c r="I23" i="98"/>
  <c r="K23" i="98"/>
  <c r="L21" i="98"/>
  <c r="I21" i="98"/>
  <c r="K21" i="98"/>
  <c r="J21" i="98"/>
  <c r="E21" i="98"/>
  <c r="L20" i="98"/>
  <c r="J20" i="98"/>
  <c r="E20" i="98"/>
  <c r="L19" i="98"/>
  <c r="J19" i="98"/>
  <c r="E19" i="98"/>
  <c r="I18" i="98"/>
  <c r="K18" i="98"/>
  <c r="L18" i="98"/>
  <c r="J18" i="98"/>
  <c r="E18" i="98"/>
  <c r="I19" i="98"/>
  <c r="K19" i="98"/>
  <c r="L17" i="98"/>
  <c r="J17" i="98"/>
  <c r="I17" i="98"/>
  <c r="K17" i="98"/>
  <c r="H17" i="98"/>
  <c r="E17" i="98"/>
  <c r="M16" i="98"/>
  <c r="O29" i="98"/>
  <c r="A62" i="92"/>
  <c r="F56" i="92"/>
  <c r="E56" i="92" s="1"/>
  <c r="F55" i="92"/>
  <c r="E55" i="92" s="1"/>
  <c r="F54" i="92"/>
  <c r="E54" i="92"/>
  <c r="F53" i="92"/>
  <c r="E53" i="92" s="1"/>
  <c r="F52" i="92"/>
  <c r="E52" i="92"/>
  <c r="F51" i="92"/>
  <c r="E51" i="92" s="1"/>
  <c r="I48" i="92"/>
  <c r="J45" i="92"/>
  <c r="J44" i="92"/>
  <c r="J43" i="92"/>
  <c r="J42" i="92"/>
  <c r="R34" i="92"/>
  <c r="F34" i="92"/>
  <c r="L32" i="92"/>
  <c r="E32" i="92"/>
  <c r="L31" i="92"/>
  <c r="E31" i="92"/>
  <c r="I27" i="92"/>
  <c r="K27" i="92"/>
  <c r="L30" i="92"/>
  <c r="E30" i="92"/>
  <c r="J29" i="92"/>
  <c r="R29" i="92"/>
  <c r="E29" i="92"/>
  <c r="E28" i="92"/>
  <c r="L27" i="92"/>
  <c r="E27" i="92"/>
  <c r="L26" i="92"/>
  <c r="I26" i="92"/>
  <c r="K26" i="92"/>
  <c r="E26" i="92"/>
  <c r="L25" i="92"/>
  <c r="E25" i="92"/>
  <c r="L24" i="92"/>
  <c r="E24" i="92"/>
  <c r="I24" i="92"/>
  <c r="K24" i="92"/>
  <c r="L23" i="92"/>
  <c r="E23" i="92"/>
  <c r="I25" i="92"/>
  <c r="K25" i="92"/>
  <c r="L22" i="92"/>
  <c r="E22" i="92"/>
  <c r="I23" i="92"/>
  <c r="K23" i="92"/>
  <c r="L21" i="92"/>
  <c r="I21" i="92"/>
  <c r="K21" i="92"/>
  <c r="E21" i="92"/>
  <c r="I22" i="92"/>
  <c r="K22" i="92"/>
  <c r="L20" i="92"/>
  <c r="I20" i="92"/>
  <c r="K20" i="92"/>
  <c r="E20" i="92"/>
  <c r="L19" i="92"/>
  <c r="E19" i="92"/>
  <c r="I18" i="92"/>
  <c r="K18" i="92"/>
  <c r="L18" i="92"/>
  <c r="E18" i="92"/>
  <c r="I19" i="92"/>
  <c r="K19" i="92"/>
  <c r="L17" i="92"/>
  <c r="I17" i="92"/>
  <c r="K17" i="92"/>
  <c r="H17" i="92"/>
  <c r="J17" i="92" s="1"/>
  <c r="R17" i="92" s="1"/>
  <c r="E17" i="92"/>
  <c r="M16" i="92"/>
  <c r="O32" i="92"/>
  <c r="E31" i="98"/>
  <c r="O21" i="98"/>
  <c r="O17" i="115"/>
  <c r="O23" i="116"/>
  <c r="O17" i="98"/>
  <c r="E31" i="115"/>
  <c r="O23" i="115"/>
  <c r="E33" i="92"/>
  <c r="O19" i="115"/>
  <c r="O27" i="115"/>
  <c r="O17" i="116"/>
  <c r="O29" i="116"/>
  <c r="O20" i="116"/>
  <c r="O24" i="116"/>
  <c r="O30" i="116"/>
  <c r="O27" i="116"/>
  <c r="O31" i="116"/>
  <c r="O18" i="116"/>
  <c r="O22" i="116"/>
  <c r="O26" i="116"/>
  <c r="O22" i="115"/>
  <c r="O26" i="115"/>
  <c r="O28" i="115"/>
  <c r="O21" i="115"/>
  <c r="O25" i="115"/>
  <c r="O29" i="115"/>
  <c r="O20" i="115"/>
  <c r="O31" i="115"/>
  <c r="O24" i="115"/>
  <c r="O20" i="98"/>
  <c r="O30" i="98"/>
  <c r="O19" i="98"/>
  <c r="O23" i="98"/>
  <c r="O27" i="98"/>
  <c r="O31" i="98"/>
  <c r="O32" i="98"/>
  <c r="O24" i="98"/>
  <c r="O18" i="98"/>
  <c r="O22" i="98"/>
  <c r="O26" i="98"/>
  <c r="O28" i="98"/>
  <c r="O25" i="98"/>
  <c r="O28" i="92"/>
  <c r="O33" i="92"/>
  <c r="O29" i="92"/>
  <c r="O31" i="92"/>
  <c r="O17" i="92"/>
  <c r="O18" i="92"/>
  <c r="O19" i="92"/>
  <c r="O20" i="92"/>
  <c r="O21" i="92"/>
  <c r="O22" i="92"/>
  <c r="O23" i="92"/>
  <c r="O24" i="92"/>
  <c r="O25" i="92"/>
  <c r="O26" i="92"/>
  <c r="O27" i="92"/>
  <c r="O30" i="92"/>
  <c r="O33" i="98"/>
  <c r="O34" i="92"/>
  <c r="H21" i="224"/>
  <c r="J21" i="224" s="1"/>
  <c r="H20" i="224"/>
  <c r="J20" i="224" s="1"/>
  <c r="H19" i="224"/>
  <c r="H18" i="224"/>
  <c r="J18" i="224" s="1"/>
  <c r="A61" i="224"/>
  <c r="F55" i="224"/>
  <c r="E55" i="224"/>
  <c r="F51" i="224"/>
  <c r="E51" i="224"/>
  <c r="I47" i="224"/>
  <c r="J44" i="224"/>
  <c r="J43" i="224"/>
  <c r="J42" i="224"/>
  <c r="J41" i="224"/>
  <c r="F32" i="224"/>
  <c r="L31" i="224"/>
  <c r="H31" i="224"/>
  <c r="J31" i="224"/>
  <c r="E31" i="224"/>
  <c r="L30" i="224"/>
  <c r="H30" i="224"/>
  <c r="J30" i="224"/>
  <c r="E30" i="224"/>
  <c r="L29" i="224"/>
  <c r="H29" i="224"/>
  <c r="J29" i="224"/>
  <c r="E29" i="224"/>
  <c r="I27" i="224"/>
  <c r="K27" i="224"/>
  <c r="L28" i="224"/>
  <c r="H28" i="224"/>
  <c r="J28" i="224"/>
  <c r="E28" i="224"/>
  <c r="I26" i="224"/>
  <c r="K26" i="224"/>
  <c r="L27" i="224"/>
  <c r="H27" i="224"/>
  <c r="J27" i="224"/>
  <c r="E27" i="224"/>
  <c r="I20" i="224"/>
  <c r="K20" i="224"/>
  <c r="L26" i="224"/>
  <c r="H26" i="224"/>
  <c r="J26" i="224"/>
  <c r="E26" i="224"/>
  <c r="I21" i="224"/>
  <c r="K21" i="224"/>
  <c r="L25" i="224"/>
  <c r="H25" i="224"/>
  <c r="J25" i="224"/>
  <c r="E25" i="224"/>
  <c r="L24" i="224"/>
  <c r="I24" i="224"/>
  <c r="K24" i="224"/>
  <c r="H24" i="224"/>
  <c r="J24" i="224"/>
  <c r="E24" i="224"/>
  <c r="L23" i="224"/>
  <c r="H23" i="224"/>
  <c r="J23" i="224"/>
  <c r="E23" i="224"/>
  <c r="I25" i="224"/>
  <c r="K25" i="224"/>
  <c r="L22" i="224"/>
  <c r="H22" i="224"/>
  <c r="J22" i="224"/>
  <c r="E22" i="224"/>
  <c r="I23" i="224"/>
  <c r="K23" i="224"/>
  <c r="L21" i="224"/>
  <c r="E21" i="224"/>
  <c r="I22" i="224"/>
  <c r="K22" i="224"/>
  <c r="L20" i="224"/>
  <c r="E20" i="224"/>
  <c r="I17" i="224"/>
  <c r="K17" i="224"/>
  <c r="L19" i="224"/>
  <c r="J19" i="224"/>
  <c r="E19" i="224"/>
  <c r="I18" i="224"/>
  <c r="K18" i="224"/>
  <c r="L18" i="224"/>
  <c r="E18" i="224"/>
  <c r="I19" i="224"/>
  <c r="K19" i="224"/>
  <c r="L17" i="224"/>
  <c r="H17" i="224"/>
  <c r="J17" i="224"/>
  <c r="E17" i="224"/>
  <c r="M16" i="224"/>
  <c r="O28" i="224"/>
  <c r="O17" i="224"/>
  <c r="O21" i="224"/>
  <c r="O25" i="224"/>
  <c r="O29" i="224"/>
  <c r="E32" i="224"/>
  <c r="J36" i="224"/>
  <c r="E40" i="224" s="1"/>
  <c r="E45" i="224" s="1"/>
  <c r="O24" i="224"/>
  <c r="O19" i="224"/>
  <c r="O23" i="224"/>
  <c r="O27" i="224"/>
  <c r="O31" i="224"/>
  <c r="O20" i="224"/>
  <c r="O30" i="224"/>
  <c r="O18" i="224"/>
  <c r="O22" i="224"/>
  <c r="O26" i="224"/>
  <c r="J26" i="196"/>
  <c r="J20" i="196"/>
  <c r="H23" i="187"/>
  <c r="J23" i="187" s="1"/>
  <c r="H22" i="187"/>
  <c r="J22" i="187" s="1"/>
  <c r="F24" i="187"/>
  <c r="I46" i="223"/>
  <c r="H21" i="223"/>
  <c r="J21" i="223" s="1"/>
  <c r="H20" i="223"/>
  <c r="J20" i="223" s="1"/>
  <c r="H17" i="223"/>
  <c r="J17" i="223" s="1"/>
  <c r="H19" i="223"/>
  <c r="J19" i="223" s="1"/>
  <c r="H22" i="223"/>
  <c r="J22" i="223" s="1"/>
  <c r="H23" i="223"/>
  <c r="J23" i="223" s="1"/>
  <c r="H24" i="223"/>
  <c r="J24" i="223" s="1"/>
  <c r="H25" i="223"/>
  <c r="J25" i="223" s="1"/>
  <c r="H26" i="223"/>
  <c r="J26" i="223" s="1"/>
  <c r="H27" i="223"/>
  <c r="J27" i="223" s="1"/>
  <c r="H28" i="223"/>
  <c r="J28" i="223" s="1"/>
  <c r="H29" i="223"/>
  <c r="J29" i="223" s="1"/>
  <c r="H30" i="223"/>
  <c r="J30" i="223" s="1"/>
  <c r="H31" i="223"/>
  <c r="J31" i="223" s="1"/>
  <c r="J40" i="223"/>
  <c r="J41" i="223"/>
  <c r="J42" i="223"/>
  <c r="J43" i="223"/>
  <c r="A60" i="223"/>
  <c r="F51" i="223"/>
  <c r="E51" i="223" s="1"/>
  <c r="F50" i="223"/>
  <c r="E50" i="223"/>
  <c r="F32" i="223"/>
  <c r="M16" i="223"/>
  <c r="O20" i="223"/>
  <c r="O24" i="223"/>
  <c r="E17" i="223"/>
  <c r="E18" i="223"/>
  <c r="E19" i="223"/>
  <c r="E20" i="223"/>
  <c r="E21" i="223"/>
  <c r="I22" i="223"/>
  <c r="K22" i="223"/>
  <c r="E22" i="223"/>
  <c r="E23" i="223"/>
  <c r="E24" i="223"/>
  <c r="E25" i="223"/>
  <c r="I19" i="223"/>
  <c r="K19" i="223"/>
  <c r="E26" i="223"/>
  <c r="E27" i="223"/>
  <c r="E28" i="223"/>
  <c r="I26" i="223"/>
  <c r="K26" i="223"/>
  <c r="E29" i="223"/>
  <c r="I27" i="223"/>
  <c r="E30" i="223"/>
  <c r="L30" i="223"/>
  <c r="L29" i="223"/>
  <c r="L28" i="223"/>
  <c r="L27" i="223"/>
  <c r="K27" i="223"/>
  <c r="L26" i="223"/>
  <c r="L25" i="223"/>
  <c r="I25" i="223"/>
  <c r="K25" i="223"/>
  <c r="L24" i="223"/>
  <c r="I24" i="223"/>
  <c r="K24" i="223"/>
  <c r="L23" i="223"/>
  <c r="I23" i="223"/>
  <c r="K23" i="223"/>
  <c r="L22" i="223"/>
  <c r="L21" i="223"/>
  <c r="I21" i="223"/>
  <c r="K21" i="223"/>
  <c r="L20" i="223"/>
  <c r="I20" i="223"/>
  <c r="K20" i="223"/>
  <c r="L19" i="223"/>
  <c r="L18" i="223"/>
  <c r="I18" i="223"/>
  <c r="K18" i="223"/>
  <c r="L17" i="223"/>
  <c r="I17" i="223"/>
  <c r="K17" i="223"/>
  <c r="H29" i="222"/>
  <c r="J29" i="222" s="1"/>
  <c r="R29" i="222" s="1"/>
  <c r="H30" i="222"/>
  <c r="J30" i="222" s="1"/>
  <c r="R30" i="222" s="1"/>
  <c r="H27" i="222"/>
  <c r="J27" i="222" s="1"/>
  <c r="J26" i="222"/>
  <c r="R26" i="222" s="1"/>
  <c r="H19" i="222"/>
  <c r="J19" i="222" s="1"/>
  <c r="R19" i="222" s="1"/>
  <c r="H18" i="222"/>
  <c r="J18" i="222" s="1"/>
  <c r="R18" i="222" s="1"/>
  <c r="A60" i="222"/>
  <c r="F54" i="222"/>
  <c r="E54" i="222" s="1"/>
  <c r="F51" i="222"/>
  <c r="E51" i="222" s="1"/>
  <c r="F50" i="222"/>
  <c r="E50" i="222"/>
  <c r="I46" i="222"/>
  <c r="J43" i="222"/>
  <c r="J42" i="222"/>
  <c r="J41" i="222"/>
  <c r="J40" i="222"/>
  <c r="F31" i="222"/>
  <c r="L30" i="222"/>
  <c r="I30" i="222"/>
  <c r="E30" i="222"/>
  <c r="L29" i="222"/>
  <c r="E29" i="222"/>
  <c r="I27" i="222"/>
  <c r="K27" i="222"/>
  <c r="M16" i="222"/>
  <c r="O28" i="222"/>
  <c r="L28" i="222"/>
  <c r="H28" i="222"/>
  <c r="J28" i="222" s="1"/>
  <c r="R28" i="222" s="1"/>
  <c r="E28" i="222"/>
  <c r="I26" i="222"/>
  <c r="K26" i="222"/>
  <c r="L27" i="222"/>
  <c r="E27" i="222"/>
  <c r="I20" i="222"/>
  <c r="K20" i="222"/>
  <c r="L26" i="222"/>
  <c r="E26" i="222"/>
  <c r="L25" i="222"/>
  <c r="J25" i="222"/>
  <c r="R25" i="222" s="1"/>
  <c r="E25" i="222"/>
  <c r="L24" i="222"/>
  <c r="J24" i="222"/>
  <c r="R24" i="222" s="1"/>
  <c r="E24" i="222"/>
  <c r="I24" i="222"/>
  <c r="K24" i="222"/>
  <c r="L23" i="222"/>
  <c r="J23" i="222"/>
  <c r="R23" i="222" s="1"/>
  <c r="E23" i="222"/>
  <c r="I25" i="222"/>
  <c r="K25" i="222"/>
  <c r="L22" i="222"/>
  <c r="K22" i="222"/>
  <c r="J22" i="222"/>
  <c r="R22" i="222" s="1"/>
  <c r="E22" i="222"/>
  <c r="I23" i="222"/>
  <c r="K23" i="222"/>
  <c r="O21" i="222"/>
  <c r="L21" i="222"/>
  <c r="I21" i="222"/>
  <c r="K21" i="222"/>
  <c r="J21" i="222"/>
  <c r="R21" i="222" s="1"/>
  <c r="E21" i="222"/>
  <c r="O20" i="222"/>
  <c r="O31" i="222"/>
  <c r="L20" i="222"/>
  <c r="J20" i="222"/>
  <c r="R20" i="222" s="1"/>
  <c r="E20" i="222"/>
  <c r="O19" i="222"/>
  <c r="L19" i="222"/>
  <c r="K19" i="222"/>
  <c r="E19" i="222"/>
  <c r="O18" i="222"/>
  <c r="L18" i="222"/>
  <c r="E18" i="222"/>
  <c r="O17" i="222"/>
  <c r="L17" i="222"/>
  <c r="H17" i="222"/>
  <c r="J17" i="222" s="1"/>
  <c r="R17" i="222" s="1"/>
  <c r="E17" i="222"/>
  <c r="O29" i="222"/>
  <c r="I18" i="222"/>
  <c r="K18" i="222"/>
  <c r="O30" i="222"/>
  <c r="O22" i="222"/>
  <c r="O23" i="222"/>
  <c r="O24" i="222"/>
  <c r="O25" i="222"/>
  <c r="O26" i="222"/>
  <c r="O27" i="222"/>
  <c r="A60" i="221"/>
  <c r="F51" i="221"/>
  <c r="E51" i="221" s="1"/>
  <c r="F50" i="221"/>
  <c r="E50" i="221"/>
  <c r="I46" i="221"/>
  <c r="J43" i="221"/>
  <c r="J42" i="221"/>
  <c r="J41" i="221"/>
  <c r="E40" i="221"/>
  <c r="J40" i="221" s="1"/>
  <c r="F32" i="221"/>
  <c r="H31" i="221"/>
  <c r="J31" i="221" s="1"/>
  <c r="L30" i="221"/>
  <c r="H30" i="221"/>
  <c r="J30" i="221" s="1"/>
  <c r="E30" i="221"/>
  <c r="L29" i="221"/>
  <c r="H29" i="221"/>
  <c r="J29" i="221" s="1"/>
  <c r="E29" i="221"/>
  <c r="L28" i="221"/>
  <c r="H28" i="221"/>
  <c r="J28" i="221" s="1"/>
  <c r="E28" i="221"/>
  <c r="L27" i="221"/>
  <c r="H27" i="221"/>
  <c r="J27" i="221" s="1"/>
  <c r="E27" i="221"/>
  <c r="L26" i="221"/>
  <c r="I26" i="221"/>
  <c r="K26" i="221"/>
  <c r="H26" i="221"/>
  <c r="J26" i="221" s="1"/>
  <c r="E26" i="221"/>
  <c r="I21" i="221"/>
  <c r="K21" i="221"/>
  <c r="L25" i="221"/>
  <c r="H25" i="221"/>
  <c r="J25" i="221" s="1"/>
  <c r="E25" i="221"/>
  <c r="L24" i="221"/>
  <c r="E24" i="221"/>
  <c r="I24" i="221"/>
  <c r="K24" i="221"/>
  <c r="H24" i="221"/>
  <c r="J24" i="221" s="1"/>
  <c r="L23" i="221"/>
  <c r="H23" i="221"/>
  <c r="J23" i="221"/>
  <c r="E23" i="221"/>
  <c r="I25" i="221"/>
  <c r="K25" i="221"/>
  <c r="L22" i="221"/>
  <c r="H22" i="221"/>
  <c r="J22" i="221" s="1"/>
  <c r="E22" i="221"/>
  <c r="I23" i="221"/>
  <c r="K23" i="221"/>
  <c r="L21" i="221"/>
  <c r="H21" i="221"/>
  <c r="J21" i="221" s="1"/>
  <c r="E21" i="221"/>
  <c r="I22" i="221"/>
  <c r="K22" i="221"/>
  <c r="L20" i="221"/>
  <c r="K20" i="221"/>
  <c r="I20" i="221"/>
  <c r="J20" i="221"/>
  <c r="E20" i="221"/>
  <c r="I17" i="221"/>
  <c r="K17" i="221"/>
  <c r="L19" i="221"/>
  <c r="J19" i="221"/>
  <c r="E19" i="221"/>
  <c r="I18" i="221"/>
  <c r="K18" i="221"/>
  <c r="L18" i="221"/>
  <c r="H18" i="221"/>
  <c r="J18" i="221" s="1"/>
  <c r="E18" i="221"/>
  <c r="I19" i="221"/>
  <c r="K19" i="221"/>
  <c r="L17" i="221"/>
  <c r="H17" i="221"/>
  <c r="J17" i="221" s="1"/>
  <c r="E17" i="221"/>
  <c r="M16" i="221"/>
  <c r="O27" i="221"/>
  <c r="O30" i="221"/>
  <c r="O19" i="221"/>
  <c r="O23" i="221"/>
  <c r="O22" i="221"/>
  <c r="O28" i="221"/>
  <c r="O18" i="221"/>
  <c r="O17" i="221"/>
  <c r="O25" i="221"/>
  <c r="O29" i="221"/>
  <c r="O20" i="221"/>
  <c r="F43" i="209"/>
  <c r="E43" i="209" s="1"/>
  <c r="F42" i="209"/>
  <c r="E42" i="209" s="1"/>
  <c r="F42" i="207"/>
  <c r="E42" i="207" s="1"/>
  <c r="F45" i="188"/>
  <c r="E45" i="188" s="1"/>
  <c r="F42" i="188"/>
  <c r="E42" i="188" s="1"/>
  <c r="F46" i="202"/>
  <c r="E46" i="202" s="1"/>
  <c r="F42" i="202"/>
  <c r="E42" i="202" s="1"/>
  <c r="K4" i="125"/>
  <c r="K6" i="125"/>
  <c r="G67" i="216"/>
  <c r="H67" i="216"/>
  <c r="G66" i="216"/>
  <c r="H66" i="216"/>
  <c r="A60" i="216"/>
  <c r="I46" i="216"/>
  <c r="J43" i="216"/>
  <c r="J42" i="216"/>
  <c r="J41" i="216"/>
  <c r="J40" i="216"/>
  <c r="F32" i="216"/>
  <c r="L31" i="216"/>
  <c r="L30" i="216"/>
  <c r="H30" i="216"/>
  <c r="J30" i="216" s="1"/>
  <c r="E30" i="216"/>
  <c r="M16" i="216"/>
  <c r="L29" i="216"/>
  <c r="H29" i="216"/>
  <c r="J29" i="216"/>
  <c r="E29" i="216"/>
  <c r="I27" i="216"/>
  <c r="K27" i="216"/>
  <c r="L28" i="216"/>
  <c r="H28" i="216"/>
  <c r="J28" i="216" s="1"/>
  <c r="E28" i="216"/>
  <c r="I26" i="216"/>
  <c r="K26" i="216"/>
  <c r="L27" i="216"/>
  <c r="H27" i="216"/>
  <c r="J27" i="216" s="1"/>
  <c r="E27" i="216"/>
  <c r="I20" i="216"/>
  <c r="K20" i="216"/>
  <c r="L26" i="216"/>
  <c r="H26" i="216"/>
  <c r="J26" i="216" s="1"/>
  <c r="E26" i="216"/>
  <c r="O25" i="216"/>
  <c r="L25" i="216"/>
  <c r="H25" i="216"/>
  <c r="J25" i="216"/>
  <c r="E25" i="216"/>
  <c r="L24" i="216"/>
  <c r="E24" i="216"/>
  <c r="I24" i="216"/>
  <c r="K24" i="216"/>
  <c r="H24" i="216"/>
  <c r="J24" i="216" s="1"/>
  <c r="L23" i="216"/>
  <c r="H23" i="216"/>
  <c r="E23" i="216"/>
  <c r="I25" i="216"/>
  <c r="K25" i="216" s="1"/>
  <c r="L22" i="216"/>
  <c r="H22" i="216"/>
  <c r="J22" i="216" s="1"/>
  <c r="E22" i="216"/>
  <c r="I23" i="216" s="1"/>
  <c r="K23" i="216" s="1"/>
  <c r="L21" i="216"/>
  <c r="H21" i="216"/>
  <c r="J21" i="216" s="1"/>
  <c r="I21" i="216"/>
  <c r="K21" i="216"/>
  <c r="E21" i="216"/>
  <c r="I22" i="216"/>
  <c r="K22" i="216" s="1"/>
  <c r="L20" i="216"/>
  <c r="H20" i="216"/>
  <c r="J20" i="216" s="1"/>
  <c r="E20" i="216"/>
  <c r="I17" i="216" s="1"/>
  <c r="K17" i="216" s="1"/>
  <c r="L19" i="216"/>
  <c r="H19" i="216"/>
  <c r="J19" i="216" s="1"/>
  <c r="E19" i="216"/>
  <c r="I18" i="216"/>
  <c r="K18" i="216" s="1"/>
  <c r="L18" i="216"/>
  <c r="H18" i="216"/>
  <c r="J18" i="216" s="1"/>
  <c r="E18" i="216"/>
  <c r="I19" i="216" s="1"/>
  <c r="K19" i="216" s="1"/>
  <c r="L17" i="216"/>
  <c r="H17" i="216"/>
  <c r="J17" i="216" s="1"/>
  <c r="E17" i="216"/>
  <c r="F54" i="196"/>
  <c r="E54" i="196" s="1"/>
  <c r="O27" i="216"/>
  <c r="H19" i="147"/>
  <c r="J19" i="147" s="1"/>
  <c r="R19" i="147" s="1"/>
  <c r="H19" i="145"/>
  <c r="H20" i="122"/>
  <c r="J20" i="122" s="1"/>
  <c r="H25" i="121"/>
  <c r="J25" i="121" s="1"/>
  <c r="H31" i="205"/>
  <c r="J31" i="205" s="1"/>
  <c r="H30" i="205"/>
  <c r="J30" i="205"/>
  <c r="H29" i="205"/>
  <c r="J29" i="205" s="1"/>
  <c r="J26" i="205"/>
  <c r="H24" i="205"/>
  <c r="H23" i="205"/>
  <c r="J23" i="205" s="1"/>
  <c r="H22" i="205"/>
  <c r="J22" i="205" s="1"/>
  <c r="H21" i="205"/>
  <c r="J21" i="205" s="1"/>
  <c r="H28" i="182"/>
  <c r="J28" i="182" s="1"/>
  <c r="R28" i="182" s="1"/>
  <c r="H25" i="182"/>
  <c r="J25" i="182" s="1"/>
  <c r="R25" i="182" s="1"/>
  <c r="H25" i="183"/>
  <c r="J25" i="183" s="1"/>
  <c r="H19" i="183"/>
  <c r="J19" i="183" s="1"/>
  <c r="R19" i="183" s="1"/>
  <c r="H27" i="214"/>
  <c r="J27" i="214" s="1"/>
  <c r="R27" i="214" s="1"/>
  <c r="H25" i="214"/>
  <c r="J25" i="214" s="1"/>
  <c r="R25" i="214" s="1"/>
  <c r="J19" i="214"/>
  <c r="R19" i="214" s="1"/>
  <c r="H26" i="114"/>
  <c r="J26" i="114"/>
  <c r="H21" i="114"/>
  <c r="H30" i="113"/>
  <c r="H25" i="113"/>
  <c r="J25" i="113"/>
  <c r="H31" i="111"/>
  <c r="H30" i="111"/>
  <c r="J30" i="111" s="1"/>
  <c r="H29" i="111"/>
  <c r="J29" i="111" s="1"/>
  <c r="J28" i="111"/>
  <c r="J27" i="111"/>
  <c r="J26" i="111"/>
  <c r="H25" i="111"/>
  <c r="J25" i="111" s="1"/>
  <c r="H24" i="111"/>
  <c r="J24" i="111" s="1"/>
  <c r="J22" i="111"/>
  <c r="H21" i="111"/>
  <c r="J21" i="111" s="1"/>
  <c r="H19" i="111"/>
  <c r="H29" i="110"/>
  <c r="J29" i="110" s="1"/>
  <c r="H19" i="110"/>
  <c r="F55" i="110"/>
  <c r="E55" i="110" s="1"/>
  <c r="J27" i="155"/>
  <c r="H18" i="155"/>
  <c r="J18" i="155" s="1"/>
  <c r="J26" i="99"/>
  <c r="R26" i="99" s="1"/>
  <c r="H26" i="97"/>
  <c r="J26" i="97" s="1"/>
  <c r="H21" i="187"/>
  <c r="J20" i="187"/>
  <c r="H21" i="209"/>
  <c r="J21" i="209" s="1"/>
  <c r="H20" i="209"/>
  <c r="J20" i="209" s="1"/>
  <c r="H21" i="207"/>
  <c r="H20" i="207"/>
  <c r="J20" i="207"/>
  <c r="J20" i="188"/>
  <c r="H21" i="190"/>
  <c r="H20" i="190"/>
  <c r="J20" i="190" s="1"/>
  <c r="H20" i="202"/>
  <c r="J20" i="202" s="1"/>
  <c r="H21" i="203"/>
  <c r="J21" i="203" s="1"/>
  <c r="H21" i="197"/>
  <c r="H20" i="197"/>
  <c r="J20" i="197"/>
  <c r="J27" i="197" s="1"/>
  <c r="E31" i="197" s="1"/>
  <c r="J25" i="212"/>
  <c r="H24" i="212"/>
  <c r="J24" i="212" s="1"/>
  <c r="H24" i="196"/>
  <c r="H26" i="94"/>
  <c r="J26" i="94" s="1"/>
  <c r="H24" i="94"/>
  <c r="J24" i="94" s="1"/>
  <c r="H23" i="94"/>
  <c r="J23" i="94"/>
  <c r="H22" i="94"/>
  <c r="J22" i="94" s="1"/>
  <c r="H21" i="94"/>
  <c r="J21" i="94" s="1"/>
  <c r="H20" i="94"/>
  <c r="H19" i="94"/>
  <c r="J19" i="94" s="1"/>
  <c r="H18" i="94"/>
  <c r="H26" i="212"/>
  <c r="J26" i="212" s="1"/>
  <c r="H17" i="212"/>
  <c r="J17" i="212"/>
  <c r="H22" i="212"/>
  <c r="J22" i="212"/>
  <c r="H19" i="212"/>
  <c r="J19" i="212" s="1"/>
  <c r="H18" i="212"/>
  <c r="J18" i="212" s="1"/>
  <c r="J25" i="196"/>
  <c r="J23" i="196"/>
  <c r="J21" i="196"/>
  <c r="H18" i="196"/>
  <c r="J18" i="196" s="1"/>
  <c r="H23" i="215"/>
  <c r="J23" i="215" s="1"/>
  <c r="H22" i="215"/>
  <c r="H21" i="215"/>
  <c r="J21" i="215" s="1"/>
  <c r="H20" i="215"/>
  <c r="J20" i="215" s="1"/>
  <c r="H19" i="215"/>
  <c r="J19" i="215" s="1"/>
  <c r="H18" i="215"/>
  <c r="J18" i="215" s="1"/>
  <c r="H26" i="117"/>
  <c r="H25" i="117"/>
  <c r="J25" i="117" s="1"/>
  <c r="H24" i="117"/>
  <c r="J24" i="117" s="1"/>
  <c r="H23" i="117"/>
  <c r="H19" i="117"/>
  <c r="J19" i="117" s="1"/>
  <c r="H18" i="117"/>
  <c r="J18" i="117" s="1"/>
  <c r="H22" i="117"/>
  <c r="J22" i="117" s="1"/>
  <c r="H21" i="117"/>
  <c r="J21" i="117" s="1"/>
  <c r="F53" i="117"/>
  <c r="E53" i="117" s="1"/>
  <c r="F53" i="110"/>
  <c r="E53" i="110" s="1"/>
  <c r="F52" i="224"/>
  <c r="E52" i="224" s="1"/>
  <c r="H31" i="216"/>
  <c r="J19" i="208"/>
  <c r="F44" i="202"/>
  <c r="E44" i="202" s="1"/>
  <c r="I47" i="118"/>
  <c r="J31" i="216"/>
  <c r="A60" i="215"/>
  <c r="F51" i="215"/>
  <c r="E51" i="215" s="1"/>
  <c r="F50" i="215"/>
  <c r="E50" i="215"/>
  <c r="I46" i="215"/>
  <c r="J43" i="215"/>
  <c r="J42" i="215"/>
  <c r="J41" i="215"/>
  <c r="E40" i="215"/>
  <c r="J40" i="215" s="1"/>
  <c r="F32" i="215"/>
  <c r="H31" i="215"/>
  <c r="J31" i="215" s="1"/>
  <c r="L30" i="215"/>
  <c r="H30" i="215"/>
  <c r="J30" i="215" s="1"/>
  <c r="E30" i="215"/>
  <c r="L29" i="215"/>
  <c r="H29" i="215"/>
  <c r="J29" i="215" s="1"/>
  <c r="E29" i="215"/>
  <c r="I27" i="215"/>
  <c r="K27" i="215"/>
  <c r="L28" i="215"/>
  <c r="H28" i="215"/>
  <c r="J28" i="215" s="1"/>
  <c r="E28" i="215"/>
  <c r="I26" i="215"/>
  <c r="K26" i="215"/>
  <c r="L27" i="215"/>
  <c r="H27" i="215"/>
  <c r="J27" i="215" s="1"/>
  <c r="E27" i="215"/>
  <c r="I20" i="215"/>
  <c r="K20" i="215"/>
  <c r="L26" i="215"/>
  <c r="H26" i="215"/>
  <c r="J26" i="215" s="1"/>
  <c r="E26" i="215"/>
  <c r="I21" i="215"/>
  <c r="K21" i="215"/>
  <c r="L25" i="215"/>
  <c r="H25" i="215"/>
  <c r="J25" i="215" s="1"/>
  <c r="E25" i="215"/>
  <c r="L24" i="215"/>
  <c r="E24" i="215"/>
  <c r="I24" i="215"/>
  <c r="K24" i="215"/>
  <c r="H24" i="215"/>
  <c r="J24" i="215" s="1"/>
  <c r="L23" i="215"/>
  <c r="E23" i="215"/>
  <c r="I25" i="215"/>
  <c r="K25" i="215"/>
  <c r="L22" i="215"/>
  <c r="J22" i="215"/>
  <c r="E22" i="215"/>
  <c r="I23" i="215"/>
  <c r="K23" i="215"/>
  <c r="L21" i="215"/>
  <c r="E21" i="215"/>
  <c r="I22" i="215"/>
  <c r="K22" i="215"/>
  <c r="L20" i="215"/>
  <c r="E20" i="215"/>
  <c r="L19" i="215"/>
  <c r="E19" i="215"/>
  <c r="L18" i="215"/>
  <c r="E18" i="215"/>
  <c r="I19" i="215"/>
  <c r="K19" i="215"/>
  <c r="L17" i="215"/>
  <c r="H17" i="215"/>
  <c r="J17" i="215" s="1"/>
  <c r="E17" i="215"/>
  <c r="M16" i="215"/>
  <c r="I17" i="215"/>
  <c r="K17" i="215"/>
  <c r="A60" i="208"/>
  <c r="I46" i="208"/>
  <c r="J43" i="208"/>
  <c r="J42" i="208"/>
  <c r="J41" i="208"/>
  <c r="J40" i="208"/>
  <c r="F31" i="208"/>
  <c r="E17" i="208"/>
  <c r="E18" i="208"/>
  <c r="I19" i="208" s="1"/>
  <c r="K19" i="208" s="1"/>
  <c r="E19" i="208"/>
  <c r="I18" i="208" s="1"/>
  <c r="K18" i="208" s="1"/>
  <c r="E20" i="208"/>
  <c r="E21" i="208"/>
  <c r="E22" i="208"/>
  <c r="I23" i="208" s="1"/>
  <c r="K23" i="208" s="1"/>
  <c r="E23" i="208"/>
  <c r="I25" i="208" s="1"/>
  <c r="K25" i="208" s="1"/>
  <c r="E24" i="208"/>
  <c r="E25" i="208"/>
  <c r="M16" i="208"/>
  <c r="O27" i="208" s="1"/>
  <c r="O30" i="208"/>
  <c r="L30" i="208"/>
  <c r="H30" i="208"/>
  <c r="J30" i="208" s="1"/>
  <c r="E30" i="208"/>
  <c r="O29" i="208"/>
  <c r="L29" i="208"/>
  <c r="H29" i="208"/>
  <c r="J29" i="208" s="1"/>
  <c r="E29" i="208"/>
  <c r="O28" i="208"/>
  <c r="L28" i="208"/>
  <c r="H28" i="208"/>
  <c r="J28" i="208" s="1"/>
  <c r="E28" i="208"/>
  <c r="I26" i="208"/>
  <c r="L27" i="208"/>
  <c r="K27" i="208"/>
  <c r="I27" i="208"/>
  <c r="H27" i="208"/>
  <c r="J27" i="208" s="1"/>
  <c r="E27" i="208"/>
  <c r="O26" i="208"/>
  <c r="L26" i="208"/>
  <c r="K26" i="208"/>
  <c r="H26" i="208"/>
  <c r="J26" i="208" s="1"/>
  <c r="E26" i="208"/>
  <c r="O25" i="208"/>
  <c r="L25" i="208"/>
  <c r="H25" i="208"/>
  <c r="J25" i="208" s="1"/>
  <c r="O24" i="208"/>
  <c r="L24" i="208"/>
  <c r="I24" i="208"/>
  <c r="K24" i="208"/>
  <c r="H24" i="208"/>
  <c r="J24" i="208" s="1"/>
  <c r="O23" i="208"/>
  <c r="L23" i="208"/>
  <c r="H23" i="208"/>
  <c r="J23" i="208" s="1"/>
  <c r="O22" i="208"/>
  <c r="L22" i="208"/>
  <c r="I22" i="208"/>
  <c r="K22" i="208" s="1"/>
  <c r="H22" i="208"/>
  <c r="J22" i="208" s="1"/>
  <c r="L21" i="208"/>
  <c r="I21" i="208"/>
  <c r="K21" i="208"/>
  <c r="H21" i="208"/>
  <c r="J21" i="208" s="1"/>
  <c r="O20" i="208"/>
  <c r="O17" i="208"/>
  <c r="O18" i="208"/>
  <c r="O19" i="208"/>
  <c r="L20" i="208"/>
  <c r="K20" i="208"/>
  <c r="I20" i="208"/>
  <c r="J20" i="208"/>
  <c r="I17" i="208"/>
  <c r="K17" i="208" s="1"/>
  <c r="L19" i="208"/>
  <c r="L18" i="208"/>
  <c r="L17" i="208"/>
  <c r="H17" i="208"/>
  <c r="J17" i="208" s="1"/>
  <c r="G66" i="147"/>
  <c r="H66" i="147"/>
  <c r="A60" i="147"/>
  <c r="I46" i="147"/>
  <c r="J43" i="147"/>
  <c r="J42" i="147"/>
  <c r="J41" i="147"/>
  <c r="J40" i="147"/>
  <c r="M16" i="147"/>
  <c r="O17" i="147"/>
  <c r="O18" i="147"/>
  <c r="O19" i="147"/>
  <c r="O20" i="147"/>
  <c r="O21" i="147"/>
  <c r="O22" i="147"/>
  <c r="O23" i="147"/>
  <c r="O24" i="147"/>
  <c r="O25" i="147"/>
  <c r="O26" i="147"/>
  <c r="O27" i="147"/>
  <c r="O28" i="147"/>
  <c r="O29" i="147"/>
  <c r="O30" i="147"/>
  <c r="F31" i="147"/>
  <c r="E17" i="147"/>
  <c r="E18" i="147"/>
  <c r="E19" i="147"/>
  <c r="E20" i="147"/>
  <c r="E21" i="147"/>
  <c r="I22" i="147"/>
  <c r="K22" i="147" s="1"/>
  <c r="E22" i="147"/>
  <c r="I23" i="147" s="1"/>
  <c r="K23" i="147" s="1"/>
  <c r="E23" i="147"/>
  <c r="I25" i="147" s="1"/>
  <c r="K25" i="147" s="1"/>
  <c r="E24" i="147"/>
  <c r="E25" i="147"/>
  <c r="L30" i="147"/>
  <c r="H30" i="147"/>
  <c r="J30" i="147" s="1"/>
  <c r="R30" i="147" s="1"/>
  <c r="E30" i="147"/>
  <c r="L29" i="147"/>
  <c r="H29" i="147"/>
  <c r="J29" i="147" s="1"/>
  <c r="R29" i="147" s="1"/>
  <c r="E29" i="147"/>
  <c r="L28" i="147"/>
  <c r="H28" i="147"/>
  <c r="J28" i="147" s="1"/>
  <c r="R28" i="147" s="1"/>
  <c r="E28" i="147"/>
  <c r="L27" i="147"/>
  <c r="I27" i="147"/>
  <c r="K27" i="147"/>
  <c r="H27" i="147"/>
  <c r="J27" i="147" s="1"/>
  <c r="R27" i="147" s="1"/>
  <c r="E27" i="147"/>
  <c r="I20" i="147"/>
  <c r="K20" i="147"/>
  <c r="L26" i="147"/>
  <c r="K26" i="147"/>
  <c r="I26" i="147"/>
  <c r="H26" i="147"/>
  <c r="J26" i="147" s="1"/>
  <c r="R26" i="147" s="1"/>
  <c r="E26" i="147"/>
  <c r="L25" i="147"/>
  <c r="H25" i="147"/>
  <c r="J25" i="147" s="1"/>
  <c r="R25" i="147" s="1"/>
  <c r="L24" i="147"/>
  <c r="I24" i="147"/>
  <c r="K24" i="147"/>
  <c r="H24" i="147"/>
  <c r="J24" i="147" s="1"/>
  <c r="R24" i="147" s="1"/>
  <c r="L23" i="147"/>
  <c r="H23" i="147"/>
  <c r="J23" i="147" s="1"/>
  <c r="R23" i="147" s="1"/>
  <c r="L22" i="147"/>
  <c r="H22" i="147"/>
  <c r="J22" i="147" s="1"/>
  <c r="L21" i="147"/>
  <c r="I21" i="147"/>
  <c r="K21" i="147"/>
  <c r="H21" i="147"/>
  <c r="J21" i="147" s="1"/>
  <c r="R21" i="147" s="1"/>
  <c r="L20" i="147"/>
  <c r="H20" i="147"/>
  <c r="J20" i="147" s="1"/>
  <c r="R20" i="147" s="1"/>
  <c r="L19" i="147"/>
  <c r="I19" i="147"/>
  <c r="K19" i="147"/>
  <c r="L18" i="147"/>
  <c r="I18" i="147"/>
  <c r="K18" i="147" s="1"/>
  <c r="H18" i="147"/>
  <c r="J18" i="147" s="1"/>
  <c r="R18" i="147" s="1"/>
  <c r="L17" i="147"/>
  <c r="H17" i="147"/>
  <c r="J17" i="147" s="1"/>
  <c r="R17" i="147" s="1"/>
  <c r="G65" i="145"/>
  <c r="H65" i="145"/>
  <c r="A59" i="145"/>
  <c r="I45" i="145"/>
  <c r="J42" i="145"/>
  <c r="J41" i="145"/>
  <c r="J40" i="145"/>
  <c r="J39" i="145"/>
  <c r="O20" i="145"/>
  <c r="O24" i="145"/>
  <c r="F30" i="145"/>
  <c r="E17" i="145"/>
  <c r="E18" i="145"/>
  <c r="E19" i="145"/>
  <c r="I18" i="145" s="1"/>
  <c r="K18" i="145" s="1"/>
  <c r="E20" i="145"/>
  <c r="E21" i="145"/>
  <c r="E22" i="145"/>
  <c r="I21" i="145" s="1"/>
  <c r="K21" i="145" s="1"/>
  <c r="E23" i="145"/>
  <c r="I22" i="145"/>
  <c r="K22" i="145" s="1"/>
  <c r="E24" i="145"/>
  <c r="E25" i="145"/>
  <c r="H29" i="145"/>
  <c r="J29" i="145" s="1"/>
  <c r="E29" i="145"/>
  <c r="O28" i="145"/>
  <c r="L28" i="145"/>
  <c r="H28" i="145"/>
  <c r="J28" i="145" s="1"/>
  <c r="E28" i="145"/>
  <c r="H27" i="145"/>
  <c r="J27" i="145" s="1"/>
  <c r="E27" i="145"/>
  <c r="H26" i="145"/>
  <c r="J26" i="145" s="1"/>
  <c r="E26" i="145"/>
  <c r="L25" i="145"/>
  <c r="H25" i="145"/>
  <c r="J25" i="145" s="1"/>
  <c r="L24" i="145"/>
  <c r="H24" i="145"/>
  <c r="J24" i="145" s="1"/>
  <c r="L23" i="145"/>
  <c r="H23" i="145"/>
  <c r="J23" i="145" s="1"/>
  <c r="L22" i="145"/>
  <c r="H22" i="145"/>
  <c r="J22" i="145" s="1"/>
  <c r="L21" i="145"/>
  <c r="H21" i="145"/>
  <c r="J21" i="145" s="1"/>
  <c r="L20" i="145"/>
  <c r="H20" i="145"/>
  <c r="J20" i="145" s="1"/>
  <c r="L19" i="145"/>
  <c r="L18" i="145"/>
  <c r="H18" i="145"/>
  <c r="L17" i="145"/>
  <c r="H17" i="145"/>
  <c r="J17" i="145" s="1"/>
  <c r="M16" i="145"/>
  <c r="O17" i="145"/>
  <c r="G67" i="122"/>
  <c r="H67" i="122"/>
  <c r="G66" i="122"/>
  <c r="H66" i="122"/>
  <c r="A60" i="122"/>
  <c r="I46" i="122"/>
  <c r="J43" i="122"/>
  <c r="J42" i="122"/>
  <c r="J41" i="122"/>
  <c r="J40" i="122"/>
  <c r="M16" i="122"/>
  <c r="O17" i="122" s="1"/>
  <c r="F32" i="122"/>
  <c r="L31" i="122"/>
  <c r="H31" i="122"/>
  <c r="E17" i="122"/>
  <c r="E31" i="122" s="1"/>
  <c r="E18" i="122"/>
  <c r="I19" i="122" s="1"/>
  <c r="K19" i="122" s="1"/>
  <c r="E19" i="122"/>
  <c r="I18" i="122" s="1"/>
  <c r="K18" i="122" s="1"/>
  <c r="E20" i="122"/>
  <c r="I17" i="122" s="1"/>
  <c r="K17" i="122" s="1"/>
  <c r="E21" i="122"/>
  <c r="I22" i="122" s="1"/>
  <c r="K22" i="122" s="1"/>
  <c r="E22" i="122"/>
  <c r="I23" i="122" s="1"/>
  <c r="K23" i="122" s="1"/>
  <c r="E23" i="122"/>
  <c r="E24" i="122"/>
  <c r="I24" i="122"/>
  <c r="K24" i="122"/>
  <c r="E25" i="122"/>
  <c r="L30" i="122"/>
  <c r="H30" i="122"/>
  <c r="J30" i="122" s="1"/>
  <c r="E30" i="122"/>
  <c r="L29" i="122"/>
  <c r="H29" i="122"/>
  <c r="J29" i="122" s="1"/>
  <c r="E29" i="122"/>
  <c r="I27" i="122"/>
  <c r="K27" i="122"/>
  <c r="L28" i="122"/>
  <c r="H28" i="122"/>
  <c r="J28" i="122" s="1"/>
  <c r="E28" i="122"/>
  <c r="L27" i="122"/>
  <c r="H27" i="122"/>
  <c r="J27" i="122" s="1"/>
  <c r="E27" i="122"/>
  <c r="I20" i="122"/>
  <c r="K20" i="122"/>
  <c r="L26" i="122"/>
  <c r="I26" i="122"/>
  <c r="K26" i="122"/>
  <c r="H26" i="122"/>
  <c r="J26" i="122" s="1"/>
  <c r="E26" i="122"/>
  <c r="I21" i="122"/>
  <c r="L25" i="122"/>
  <c r="I25" i="122"/>
  <c r="K25" i="122" s="1"/>
  <c r="H25" i="122"/>
  <c r="J25" i="122" s="1"/>
  <c r="L24" i="122"/>
  <c r="H24" i="122"/>
  <c r="J24" i="122" s="1"/>
  <c r="L23" i="122"/>
  <c r="H23" i="122"/>
  <c r="J23" i="122" s="1"/>
  <c r="L22" i="122"/>
  <c r="H22" i="122"/>
  <c r="J22" i="122" s="1"/>
  <c r="L21" i="122"/>
  <c r="K21" i="122"/>
  <c r="H21" i="122"/>
  <c r="J21" i="122" s="1"/>
  <c r="L20" i="122"/>
  <c r="L19" i="122"/>
  <c r="J19" i="122"/>
  <c r="L18" i="122"/>
  <c r="J18" i="122"/>
  <c r="L17" i="122"/>
  <c r="H17" i="122"/>
  <c r="J17" i="122" s="1"/>
  <c r="G66" i="121"/>
  <c r="H66" i="121"/>
  <c r="A60" i="121"/>
  <c r="I46" i="121"/>
  <c r="J43" i="121"/>
  <c r="J42" i="121"/>
  <c r="J41" i="121"/>
  <c r="J40" i="121"/>
  <c r="M16" i="121"/>
  <c r="O17" i="121" s="1"/>
  <c r="O18" i="121"/>
  <c r="O19" i="121"/>
  <c r="O20" i="121"/>
  <c r="O21" i="121"/>
  <c r="O22" i="121"/>
  <c r="O23" i="121"/>
  <c r="O24" i="121"/>
  <c r="O25" i="121"/>
  <c r="O26" i="121"/>
  <c r="O27" i="121"/>
  <c r="O28" i="121"/>
  <c r="O29" i="121"/>
  <c r="O30" i="121"/>
  <c r="O31" i="121"/>
  <c r="F32" i="121"/>
  <c r="L31" i="121"/>
  <c r="H31" i="121"/>
  <c r="E17" i="121"/>
  <c r="E18" i="121"/>
  <c r="I19" i="121"/>
  <c r="K19" i="121" s="1"/>
  <c r="E19" i="121"/>
  <c r="I18" i="121" s="1"/>
  <c r="K18" i="121" s="1"/>
  <c r="E20" i="121"/>
  <c r="I17" i="121" s="1"/>
  <c r="K17" i="121" s="1"/>
  <c r="E21" i="121"/>
  <c r="E22" i="121"/>
  <c r="I23" i="121"/>
  <c r="K23" i="121" s="1"/>
  <c r="E23" i="121"/>
  <c r="I25" i="121" s="1"/>
  <c r="K25" i="121" s="1"/>
  <c r="E24" i="121"/>
  <c r="E25" i="121"/>
  <c r="L30" i="121"/>
  <c r="H30" i="121"/>
  <c r="J30" i="121"/>
  <c r="E30" i="121"/>
  <c r="L29" i="121"/>
  <c r="H29" i="121"/>
  <c r="J29" i="121"/>
  <c r="E29" i="121"/>
  <c r="I27" i="121"/>
  <c r="K27" i="121"/>
  <c r="L28" i="121"/>
  <c r="H28" i="121"/>
  <c r="J28" i="121" s="1"/>
  <c r="E28" i="121"/>
  <c r="I26" i="121"/>
  <c r="L27" i="121"/>
  <c r="H27" i="121"/>
  <c r="J27" i="121" s="1"/>
  <c r="E27" i="121"/>
  <c r="I20" i="121"/>
  <c r="K20" i="121"/>
  <c r="L26" i="121"/>
  <c r="K26" i="121"/>
  <c r="H26" i="121"/>
  <c r="J26" i="121" s="1"/>
  <c r="E26" i="121"/>
  <c r="I21" i="121"/>
  <c r="K21" i="121"/>
  <c r="L25" i="121"/>
  <c r="L24" i="121"/>
  <c r="I24" i="121"/>
  <c r="K24" i="121"/>
  <c r="H24" i="121"/>
  <c r="J24" i="121"/>
  <c r="L23" i="121"/>
  <c r="H23" i="121"/>
  <c r="J23" i="121"/>
  <c r="L22" i="121"/>
  <c r="I22" i="121"/>
  <c r="K22" i="121" s="1"/>
  <c r="H22" i="121"/>
  <c r="L21" i="121"/>
  <c r="H21" i="121"/>
  <c r="J21" i="121" s="1"/>
  <c r="L20" i="121"/>
  <c r="H20" i="121"/>
  <c r="J20" i="121" s="1"/>
  <c r="L19" i="121"/>
  <c r="H19" i="121"/>
  <c r="J19" i="121" s="1"/>
  <c r="L18" i="121"/>
  <c r="J18" i="121"/>
  <c r="L17" i="121"/>
  <c r="H17" i="121"/>
  <c r="J17" i="121" s="1"/>
  <c r="A61" i="118"/>
  <c r="J44" i="118"/>
  <c r="J43" i="118"/>
  <c r="J42" i="118"/>
  <c r="J41" i="118"/>
  <c r="O18" i="118"/>
  <c r="O20" i="118"/>
  <c r="O22" i="118"/>
  <c r="O24" i="118"/>
  <c r="F32" i="118"/>
  <c r="E17" i="118"/>
  <c r="E18" i="118"/>
  <c r="I19" i="118" s="1"/>
  <c r="K19" i="118" s="1"/>
  <c r="E19" i="118"/>
  <c r="I18" i="118" s="1"/>
  <c r="K18" i="118" s="1"/>
  <c r="E20" i="118"/>
  <c r="E21" i="118"/>
  <c r="E22" i="118"/>
  <c r="I23" i="118" s="1"/>
  <c r="K23" i="118" s="1"/>
  <c r="E23" i="118"/>
  <c r="I25" i="118" s="1"/>
  <c r="K25" i="118" s="1"/>
  <c r="E24" i="118"/>
  <c r="E25" i="118"/>
  <c r="O31" i="118"/>
  <c r="L31" i="118"/>
  <c r="H31" i="118"/>
  <c r="J31" i="118" s="1"/>
  <c r="E31" i="118"/>
  <c r="O30" i="118"/>
  <c r="L30" i="118"/>
  <c r="H30" i="118"/>
  <c r="J30" i="118" s="1"/>
  <c r="E30" i="118"/>
  <c r="L29" i="118"/>
  <c r="E29" i="118"/>
  <c r="I27" i="118" s="1"/>
  <c r="K27" i="118" s="1"/>
  <c r="L28" i="118"/>
  <c r="H28" i="118"/>
  <c r="J28" i="118" s="1"/>
  <c r="E28" i="118"/>
  <c r="O27" i="118"/>
  <c r="L27" i="118"/>
  <c r="H27" i="118"/>
  <c r="J27" i="118" s="1"/>
  <c r="E27" i="118"/>
  <c r="O26" i="118"/>
  <c r="L26" i="118"/>
  <c r="K26" i="118"/>
  <c r="I26" i="118"/>
  <c r="H26" i="118"/>
  <c r="J26" i="118" s="1"/>
  <c r="E26" i="118"/>
  <c r="I21" i="118" s="1"/>
  <c r="K21" i="118" s="1"/>
  <c r="L25" i="118"/>
  <c r="H25" i="118"/>
  <c r="J25" i="118" s="1"/>
  <c r="L24" i="118"/>
  <c r="I24" i="118"/>
  <c r="K24" i="118"/>
  <c r="H24" i="118"/>
  <c r="J24" i="118" s="1"/>
  <c r="L23" i="118"/>
  <c r="H23" i="118"/>
  <c r="J23" i="118" s="1"/>
  <c r="L22" i="118"/>
  <c r="I22" i="118"/>
  <c r="K22" i="118" s="1"/>
  <c r="H22" i="118"/>
  <c r="J22" i="118" s="1"/>
  <c r="L21" i="118"/>
  <c r="H21" i="118"/>
  <c r="J21" i="118" s="1"/>
  <c r="L20" i="118"/>
  <c r="I20" i="118"/>
  <c r="K20" i="118" s="1"/>
  <c r="L19" i="118"/>
  <c r="L18" i="118"/>
  <c r="J18" i="118"/>
  <c r="L17" i="118"/>
  <c r="I17" i="118"/>
  <c r="K17" i="118" s="1"/>
  <c r="H17" i="118"/>
  <c r="J17" i="118" s="1"/>
  <c r="M16" i="118"/>
  <c r="O17" i="118"/>
  <c r="G66" i="205"/>
  <c r="A60" i="205"/>
  <c r="I47" i="205"/>
  <c r="I46" i="205"/>
  <c r="J43" i="205"/>
  <c r="J42" i="205"/>
  <c r="J41" i="205"/>
  <c r="J40" i="205"/>
  <c r="M16" i="205"/>
  <c r="O18" i="205" s="1"/>
  <c r="O17" i="205"/>
  <c r="O20" i="205"/>
  <c r="O21" i="205"/>
  <c r="O24" i="205"/>
  <c r="O25" i="205"/>
  <c r="O28" i="205"/>
  <c r="O29" i="205"/>
  <c r="L32" i="205"/>
  <c r="H32" i="205"/>
  <c r="J32" i="205" s="1"/>
  <c r="L31" i="205"/>
  <c r="E17" i="205"/>
  <c r="E18" i="205"/>
  <c r="E19" i="205"/>
  <c r="E20" i="205"/>
  <c r="E21" i="205"/>
  <c r="I22" i="205" s="1"/>
  <c r="K22" i="205" s="1"/>
  <c r="E22" i="205"/>
  <c r="E23" i="205"/>
  <c r="E24" i="205"/>
  <c r="I24" i="205" s="1"/>
  <c r="K24" i="205" s="1"/>
  <c r="E25" i="205"/>
  <c r="L30" i="205"/>
  <c r="E30" i="205"/>
  <c r="L29" i="205"/>
  <c r="E29" i="205"/>
  <c r="I27" i="205"/>
  <c r="K27" i="205" s="1"/>
  <c r="L28" i="205"/>
  <c r="H28" i="205"/>
  <c r="J28" i="205" s="1"/>
  <c r="E28" i="205"/>
  <c r="I26" i="205" s="1"/>
  <c r="K26" i="205" s="1"/>
  <c r="L27" i="205"/>
  <c r="H27" i="205"/>
  <c r="J27" i="205" s="1"/>
  <c r="E27" i="205"/>
  <c r="I20" i="205"/>
  <c r="K20" i="205"/>
  <c r="L26" i="205"/>
  <c r="E26" i="205"/>
  <c r="I21" i="205" s="1"/>
  <c r="K21" i="205" s="1"/>
  <c r="L25" i="205"/>
  <c r="I25" i="205"/>
  <c r="K25" i="205" s="1"/>
  <c r="H25" i="205"/>
  <c r="J25" i="205" s="1"/>
  <c r="L24" i="205"/>
  <c r="J24" i="205"/>
  <c r="L23" i="205"/>
  <c r="I23" i="205"/>
  <c r="K23" i="205" s="1"/>
  <c r="L22" i="205"/>
  <c r="L21" i="205"/>
  <c r="L20" i="205"/>
  <c r="J20" i="205"/>
  <c r="L19" i="205"/>
  <c r="I19" i="205"/>
  <c r="K19" i="205"/>
  <c r="H19" i="205"/>
  <c r="J19" i="205"/>
  <c r="L18" i="205"/>
  <c r="H18" i="205"/>
  <c r="J18" i="205" s="1"/>
  <c r="L17" i="205"/>
  <c r="H17" i="205"/>
  <c r="J17" i="205" s="1"/>
  <c r="A62" i="182"/>
  <c r="G67" i="182"/>
  <c r="H67" i="182"/>
  <c r="I48" i="182"/>
  <c r="J45" i="182"/>
  <c r="J44" i="182"/>
  <c r="J43" i="182"/>
  <c r="J42" i="182"/>
  <c r="R34" i="182"/>
  <c r="O18" i="182"/>
  <c r="O22" i="182"/>
  <c r="F34" i="182"/>
  <c r="H33" i="182"/>
  <c r="J33" i="182" s="1"/>
  <c r="R33" i="182" s="1"/>
  <c r="E17" i="182"/>
  <c r="E18" i="182"/>
  <c r="I19" i="182"/>
  <c r="K19" i="182"/>
  <c r="E19" i="182"/>
  <c r="I18" i="182" s="1"/>
  <c r="K18" i="182" s="1"/>
  <c r="E20" i="182"/>
  <c r="E21" i="182"/>
  <c r="E22" i="182"/>
  <c r="I23" i="182"/>
  <c r="K23" i="182" s="1"/>
  <c r="E23" i="182"/>
  <c r="I25" i="182"/>
  <c r="K25" i="182"/>
  <c r="E24" i="182"/>
  <c r="I24" i="182" s="1"/>
  <c r="K24" i="182" s="1"/>
  <c r="E25" i="182"/>
  <c r="O32" i="182"/>
  <c r="L32" i="182"/>
  <c r="H32" i="182"/>
  <c r="J32" i="182" s="1"/>
  <c r="R32" i="182" s="1"/>
  <c r="E32" i="182"/>
  <c r="O31" i="182"/>
  <c r="L31" i="182"/>
  <c r="H31" i="182"/>
  <c r="J31" i="182" s="1"/>
  <c r="R31" i="182" s="1"/>
  <c r="E31" i="182"/>
  <c r="L30" i="182"/>
  <c r="H30" i="182"/>
  <c r="J30" i="182" s="1"/>
  <c r="R30" i="182" s="1"/>
  <c r="E30" i="182"/>
  <c r="H29" i="182"/>
  <c r="J29" i="182" s="1"/>
  <c r="R29" i="182" s="1"/>
  <c r="E29" i="182"/>
  <c r="E28" i="182"/>
  <c r="L27" i="182"/>
  <c r="I27" i="182"/>
  <c r="K27" i="182"/>
  <c r="H27" i="182"/>
  <c r="J27" i="182" s="1"/>
  <c r="R27" i="182" s="1"/>
  <c r="E27" i="182"/>
  <c r="L26" i="182"/>
  <c r="I26" i="182"/>
  <c r="K26" i="182"/>
  <c r="H26" i="182"/>
  <c r="J26" i="182" s="1"/>
  <c r="R26" i="182" s="1"/>
  <c r="E26" i="182"/>
  <c r="I21" i="182"/>
  <c r="K21" i="182"/>
  <c r="L25" i="182"/>
  <c r="L24" i="182"/>
  <c r="H24" i="182"/>
  <c r="J24" i="182" s="1"/>
  <c r="R24" i="182" s="1"/>
  <c r="L23" i="182"/>
  <c r="H23" i="182"/>
  <c r="J23" i="182" s="1"/>
  <c r="R23" i="182" s="1"/>
  <c r="L22" i="182"/>
  <c r="I22" i="182"/>
  <c r="K22" i="182"/>
  <c r="H22" i="182"/>
  <c r="J22" i="182" s="1"/>
  <c r="R22" i="182" s="1"/>
  <c r="L21" i="182"/>
  <c r="H21" i="182"/>
  <c r="J21" i="182" s="1"/>
  <c r="L20" i="182"/>
  <c r="I20" i="182"/>
  <c r="K20" i="182"/>
  <c r="L19" i="182"/>
  <c r="J19" i="182"/>
  <c r="R19" i="182" s="1"/>
  <c r="L18" i="182"/>
  <c r="J18" i="182"/>
  <c r="R18" i="182" s="1"/>
  <c r="L17" i="182"/>
  <c r="H17" i="182"/>
  <c r="J17" i="182"/>
  <c r="R17" i="182" s="1"/>
  <c r="M16" i="182"/>
  <c r="O19" i="182"/>
  <c r="A62" i="183"/>
  <c r="I48" i="183"/>
  <c r="J45" i="183"/>
  <c r="J44" i="183"/>
  <c r="J43" i="183"/>
  <c r="J42" i="183"/>
  <c r="R34" i="183"/>
  <c r="F34" i="183"/>
  <c r="H33" i="183"/>
  <c r="J33" i="183" s="1"/>
  <c r="R33" i="183" s="1"/>
  <c r="E17" i="183"/>
  <c r="E18" i="183"/>
  <c r="E19" i="183"/>
  <c r="I18" i="183" s="1"/>
  <c r="K18" i="183" s="1"/>
  <c r="E20" i="183"/>
  <c r="E21" i="183"/>
  <c r="E22" i="183"/>
  <c r="E23" i="183"/>
  <c r="E24" i="183"/>
  <c r="E25" i="183"/>
  <c r="L32" i="183"/>
  <c r="H32" i="183"/>
  <c r="J32" i="183" s="1"/>
  <c r="R32" i="183" s="1"/>
  <c r="E32" i="183"/>
  <c r="L31" i="183"/>
  <c r="H31" i="183"/>
  <c r="J31" i="183" s="1"/>
  <c r="R31" i="183" s="1"/>
  <c r="E31" i="183"/>
  <c r="L30" i="183"/>
  <c r="H30" i="183"/>
  <c r="J30" i="183" s="1"/>
  <c r="R30" i="183" s="1"/>
  <c r="E30" i="183"/>
  <c r="H29" i="183"/>
  <c r="J29" i="183" s="1"/>
  <c r="R29" i="183" s="1"/>
  <c r="E29" i="183"/>
  <c r="H28" i="183"/>
  <c r="J28" i="183" s="1"/>
  <c r="R28" i="183" s="1"/>
  <c r="E28" i="183"/>
  <c r="L27" i="183"/>
  <c r="I27" i="183"/>
  <c r="K27" i="183"/>
  <c r="H27" i="183"/>
  <c r="J27" i="183" s="1"/>
  <c r="R27" i="183" s="1"/>
  <c r="E27" i="183"/>
  <c r="L26" i="183"/>
  <c r="K26" i="183"/>
  <c r="I26" i="183"/>
  <c r="H26" i="183"/>
  <c r="J26" i="183" s="1"/>
  <c r="R26" i="183" s="1"/>
  <c r="E26" i="183"/>
  <c r="L25" i="183"/>
  <c r="I25" i="183"/>
  <c r="K25" i="183" s="1"/>
  <c r="R25" i="183"/>
  <c r="L24" i="183"/>
  <c r="I24" i="183"/>
  <c r="K24" i="183"/>
  <c r="H24" i="183"/>
  <c r="J24" i="183" s="1"/>
  <c r="R24" i="183" s="1"/>
  <c r="L23" i="183"/>
  <c r="I23" i="183"/>
  <c r="K23" i="183" s="1"/>
  <c r="H23" i="183"/>
  <c r="J23" i="183" s="1"/>
  <c r="R23" i="183" s="1"/>
  <c r="L22" i="183"/>
  <c r="I22" i="183"/>
  <c r="K22" i="183" s="1"/>
  <c r="H22" i="183"/>
  <c r="J22" i="183" s="1"/>
  <c r="R22" i="183" s="1"/>
  <c r="L21" i="183"/>
  <c r="I21" i="183"/>
  <c r="K21" i="183"/>
  <c r="J21" i="183"/>
  <c r="R21" i="183" s="1"/>
  <c r="L20" i="183"/>
  <c r="K20" i="183"/>
  <c r="I20" i="183"/>
  <c r="L19" i="183"/>
  <c r="I19" i="183"/>
  <c r="K19" i="183" s="1"/>
  <c r="L18" i="183"/>
  <c r="J18" i="183"/>
  <c r="L17" i="183"/>
  <c r="I17" i="183"/>
  <c r="K17" i="183" s="1"/>
  <c r="H17" i="183"/>
  <c r="J17" i="183" s="1"/>
  <c r="R17" i="183" s="1"/>
  <c r="M16" i="183"/>
  <c r="O18" i="183" s="1"/>
  <c r="G67" i="214"/>
  <c r="H67" i="214"/>
  <c r="A62" i="214"/>
  <c r="I48" i="214"/>
  <c r="J45" i="214"/>
  <c r="J44" i="214"/>
  <c r="J43" i="214"/>
  <c r="J42" i="214"/>
  <c r="R34" i="214"/>
  <c r="O17" i="214"/>
  <c r="O21" i="214"/>
  <c r="O25" i="214"/>
  <c r="F34" i="214"/>
  <c r="H33" i="214"/>
  <c r="J33" i="214" s="1"/>
  <c r="R33" i="214" s="1"/>
  <c r="E17" i="214"/>
  <c r="E18" i="214"/>
  <c r="E19" i="214"/>
  <c r="I18" i="214" s="1"/>
  <c r="K18" i="214" s="1"/>
  <c r="E20" i="214"/>
  <c r="E21" i="214"/>
  <c r="I22" i="214" s="1"/>
  <c r="K22" i="214" s="1"/>
  <c r="E22" i="214"/>
  <c r="I23" i="214"/>
  <c r="K23" i="214"/>
  <c r="E23" i="214"/>
  <c r="E24" i="214"/>
  <c r="E25" i="214"/>
  <c r="L32" i="214"/>
  <c r="H32" i="214"/>
  <c r="J32" i="214" s="1"/>
  <c r="R32" i="214" s="1"/>
  <c r="E32" i="214"/>
  <c r="L31" i="214"/>
  <c r="H31" i="214"/>
  <c r="J31" i="214" s="1"/>
  <c r="R31" i="214" s="1"/>
  <c r="E31" i="214"/>
  <c r="L30" i="214"/>
  <c r="H30" i="214"/>
  <c r="J30" i="214" s="1"/>
  <c r="R30" i="214" s="1"/>
  <c r="E30" i="214"/>
  <c r="H29" i="214"/>
  <c r="J29" i="214" s="1"/>
  <c r="R29" i="214" s="1"/>
  <c r="E29" i="214"/>
  <c r="H28" i="214"/>
  <c r="J28" i="214" s="1"/>
  <c r="R28" i="214" s="1"/>
  <c r="E28" i="214"/>
  <c r="L27" i="214"/>
  <c r="K27" i="214"/>
  <c r="I27" i="214"/>
  <c r="E27" i="214"/>
  <c r="I20" i="214" s="1"/>
  <c r="K20" i="214" s="1"/>
  <c r="L26" i="214"/>
  <c r="K26" i="214"/>
  <c r="I26" i="214"/>
  <c r="H26" i="214"/>
  <c r="J26" i="214" s="1"/>
  <c r="R26" i="214" s="1"/>
  <c r="E26" i="214"/>
  <c r="L25" i="214"/>
  <c r="I25" i="214"/>
  <c r="K25" i="214"/>
  <c r="L24" i="214"/>
  <c r="I24" i="214"/>
  <c r="K24" i="214"/>
  <c r="H24" i="214"/>
  <c r="J24" i="214" s="1"/>
  <c r="R24" i="214" s="1"/>
  <c r="L23" i="214"/>
  <c r="H23" i="214"/>
  <c r="J23" i="214" s="1"/>
  <c r="R23" i="214" s="1"/>
  <c r="L22" i="214"/>
  <c r="J22" i="214"/>
  <c r="R22" i="214" s="1"/>
  <c r="L21" i="214"/>
  <c r="I21" i="214"/>
  <c r="K21" i="214"/>
  <c r="J21" i="214"/>
  <c r="R21" i="214" s="1"/>
  <c r="L20" i="214"/>
  <c r="L19" i="214"/>
  <c r="I19" i="214"/>
  <c r="K19" i="214" s="1"/>
  <c r="L18" i="214"/>
  <c r="J18" i="214"/>
  <c r="R18" i="214" s="1"/>
  <c r="L17" i="214"/>
  <c r="H17" i="214"/>
  <c r="J17" i="214" s="1"/>
  <c r="R17" i="214" s="1"/>
  <c r="M16" i="214"/>
  <c r="O18" i="214"/>
  <c r="A60" i="114"/>
  <c r="I46" i="114"/>
  <c r="J43" i="114"/>
  <c r="J42" i="114"/>
  <c r="J41" i="114"/>
  <c r="J40" i="114"/>
  <c r="M16" i="114"/>
  <c r="O17" i="114"/>
  <c r="O31" i="114"/>
  <c r="O18" i="114"/>
  <c r="O19" i="114"/>
  <c r="O20" i="114"/>
  <c r="O21" i="114"/>
  <c r="O22" i="114"/>
  <c r="O23" i="114"/>
  <c r="O24" i="114"/>
  <c r="O25" i="114"/>
  <c r="O26" i="114"/>
  <c r="O27" i="114"/>
  <c r="O28" i="114"/>
  <c r="O29" i="114"/>
  <c r="O30" i="114"/>
  <c r="F31" i="114"/>
  <c r="E17" i="114"/>
  <c r="E18" i="114"/>
  <c r="I19" i="114"/>
  <c r="K19" i="114"/>
  <c r="E19" i="114"/>
  <c r="E20" i="114"/>
  <c r="E21" i="114"/>
  <c r="E22" i="114"/>
  <c r="I23" i="114"/>
  <c r="K23" i="114"/>
  <c r="E23" i="114"/>
  <c r="E24" i="114"/>
  <c r="E25" i="114"/>
  <c r="L30" i="114"/>
  <c r="H30" i="114"/>
  <c r="J30" i="114" s="1"/>
  <c r="E30" i="114"/>
  <c r="E31" i="114"/>
  <c r="L29" i="114"/>
  <c r="H29" i="114"/>
  <c r="J29" i="114" s="1"/>
  <c r="E29" i="114"/>
  <c r="I27" i="114"/>
  <c r="K27" i="114"/>
  <c r="L28" i="114"/>
  <c r="H28" i="114"/>
  <c r="J28" i="114" s="1"/>
  <c r="E28" i="114"/>
  <c r="I26" i="114"/>
  <c r="K26" i="114"/>
  <c r="L27" i="114"/>
  <c r="H27" i="114"/>
  <c r="J27" i="114" s="1"/>
  <c r="E27" i="114"/>
  <c r="L26" i="114"/>
  <c r="E26" i="114"/>
  <c r="I21" i="114"/>
  <c r="K21" i="114"/>
  <c r="L25" i="114"/>
  <c r="I25" i="114"/>
  <c r="K25" i="114"/>
  <c r="H25" i="114"/>
  <c r="J25" i="114" s="1"/>
  <c r="L24" i="114"/>
  <c r="I24" i="114"/>
  <c r="K24" i="114"/>
  <c r="H24" i="114"/>
  <c r="J24" i="114" s="1"/>
  <c r="L23" i="114"/>
  <c r="H23" i="114"/>
  <c r="J23" i="114" s="1"/>
  <c r="L22" i="114"/>
  <c r="I22" i="114"/>
  <c r="K22" i="114"/>
  <c r="H22" i="114"/>
  <c r="J22" i="114" s="1"/>
  <c r="L21" i="114"/>
  <c r="J21" i="114"/>
  <c r="L20" i="114"/>
  <c r="I20" i="114"/>
  <c r="K20" i="114"/>
  <c r="H20" i="114"/>
  <c r="J20" i="114" s="1"/>
  <c r="L19" i="114"/>
  <c r="H19" i="114"/>
  <c r="J19" i="114" s="1"/>
  <c r="L18" i="114"/>
  <c r="I18" i="114"/>
  <c r="K18" i="114"/>
  <c r="H18" i="114"/>
  <c r="J18" i="114" s="1"/>
  <c r="L17" i="114"/>
  <c r="I17" i="114"/>
  <c r="K17" i="114"/>
  <c r="H17" i="114"/>
  <c r="J17" i="114" s="1"/>
  <c r="A61" i="113"/>
  <c r="I47" i="113"/>
  <c r="J44" i="113"/>
  <c r="J43" i="113"/>
  <c r="J42" i="113"/>
  <c r="J41" i="113"/>
  <c r="O19" i="113"/>
  <c r="O23" i="113"/>
  <c r="F32" i="113"/>
  <c r="E17" i="113"/>
  <c r="E18" i="113"/>
  <c r="E32" i="113" s="1"/>
  <c r="E19" i="113"/>
  <c r="I18" i="113" s="1"/>
  <c r="K18" i="113" s="1"/>
  <c r="E20" i="113"/>
  <c r="E21" i="113"/>
  <c r="I22" i="113" s="1"/>
  <c r="K22" i="113" s="1"/>
  <c r="E22" i="113"/>
  <c r="I23" i="113" s="1"/>
  <c r="K23" i="113" s="1"/>
  <c r="E23" i="113"/>
  <c r="I25" i="113" s="1"/>
  <c r="K25" i="113" s="1"/>
  <c r="E24" i="113"/>
  <c r="I24" i="113"/>
  <c r="K24" i="113"/>
  <c r="E25" i="113"/>
  <c r="L31" i="113"/>
  <c r="H31" i="113"/>
  <c r="J31" i="113" s="1"/>
  <c r="E31" i="113"/>
  <c r="O30" i="113"/>
  <c r="L30" i="113"/>
  <c r="J30" i="113"/>
  <c r="E30" i="113"/>
  <c r="O29" i="113"/>
  <c r="L29" i="113"/>
  <c r="H29" i="113"/>
  <c r="J29" i="113" s="1"/>
  <c r="E29" i="113"/>
  <c r="O28" i="113"/>
  <c r="L28" i="113"/>
  <c r="H28" i="113"/>
  <c r="J28" i="113" s="1"/>
  <c r="E28" i="113"/>
  <c r="I26" i="113"/>
  <c r="K26" i="113"/>
  <c r="L27" i="113"/>
  <c r="I27" i="113"/>
  <c r="K27" i="113"/>
  <c r="H27" i="113"/>
  <c r="J27" i="113" s="1"/>
  <c r="E27" i="113"/>
  <c r="I20" i="113"/>
  <c r="K20" i="113"/>
  <c r="O26" i="113"/>
  <c r="L26" i="113"/>
  <c r="H26" i="113"/>
  <c r="J26" i="113" s="1"/>
  <c r="E26" i="113"/>
  <c r="I21" i="113" s="1"/>
  <c r="K21" i="113" s="1"/>
  <c r="L25" i="113"/>
  <c r="L24" i="113"/>
  <c r="H24" i="113"/>
  <c r="J24" i="113" s="1"/>
  <c r="L23" i="113"/>
  <c r="H23" i="113"/>
  <c r="J23" i="113" s="1"/>
  <c r="L22" i="113"/>
  <c r="J22" i="113"/>
  <c r="L21" i="113"/>
  <c r="J21" i="113"/>
  <c r="L20" i="113"/>
  <c r="L19" i="113"/>
  <c r="J19" i="113"/>
  <c r="L18" i="113"/>
  <c r="J18" i="113"/>
  <c r="L17" i="113"/>
  <c r="H17" i="113"/>
  <c r="J17" i="113" s="1"/>
  <c r="M16" i="113"/>
  <c r="O20" i="113"/>
  <c r="H66" i="112"/>
  <c r="G66" i="112"/>
  <c r="A60" i="112"/>
  <c r="I47" i="112"/>
  <c r="I46" i="112"/>
  <c r="J43" i="112"/>
  <c r="J42" i="112"/>
  <c r="J41" i="112"/>
  <c r="J40" i="112"/>
  <c r="F33" i="112"/>
  <c r="L32" i="112"/>
  <c r="H32" i="112"/>
  <c r="J32" i="112" s="1"/>
  <c r="M16" i="112"/>
  <c r="O31" i="112"/>
  <c r="L31" i="112"/>
  <c r="H31" i="112"/>
  <c r="J31" i="112" s="1"/>
  <c r="E17" i="112"/>
  <c r="E18" i="112"/>
  <c r="I19" i="112"/>
  <c r="E19" i="112"/>
  <c r="E20" i="112"/>
  <c r="E21" i="112"/>
  <c r="E22" i="112"/>
  <c r="I23" i="112"/>
  <c r="E23" i="112"/>
  <c r="E24" i="112"/>
  <c r="E25" i="112"/>
  <c r="L30" i="112"/>
  <c r="H30" i="112"/>
  <c r="J30" i="112" s="1"/>
  <c r="E30" i="112"/>
  <c r="L29" i="112"/>
  <c r="H29" i="112"/>
  <c r="J29" i="112" s="1"/>
  <c r="E29" i="112"/>
  <c r="O28" i="112"/>
  <c r="L28" i="112"/>
  <c r="H28" i="112"/>
  <c r="J28" i="112" s="1"/>
  <c r="E28" i="112"/>
  <c r="O27" i="112"/>
  <c r="L27" i="112"/>
  <c r="K27" i="112"/>
  <c r="I27" i="112"/>
  <c r="H27" i="112"/>
  <c r="J27" i="112" s="1"/>
  <c r="E27" i="112"/>
  <c r="I20" i="112"/>
  <c r="K20" i="112"/>
  <c r="O26" i="112"/>
  <c r="L26" i="112"/>
  <c r="I26" i="112"/>
  <c r="K26" i="112"/>
  <c r="H26" i="112"/>
  <c r="J26" i="112" s="1"/>
  <c r="E26" i="112"/>
  <c r="L25" i="112"/>
  <c r="I25" i="112"/>
  <c r="K25" i="112"/>
  <c r="H25" i="112"/>
  <c r="J25" i="112" s="1"/>
  <c r="L24" i="112"/>
  <c r="I24" i="112"/>
  <c r="K24" i="112"/>
  <c r="H24" i="112"/>
  <c r="J24" i="112" s="1"/>
  <c r="O23" i="112"/>
  <c r="L23" i="112"/>
  <c r="K23" i="112"/>
  <c r="H23" i="112"/>
  <c r="J23" i="112" s="1"/>
  <c r="O22" i="112"/>
  <c r="L22" i="112"/>
  <c r="I22" i="112"/>
  <c r="K22" i="112"/>
  <c r="H22" i="112"/>
  <c r="J22" i="112" s="1"/>
  <c r="L21" i="112"/>
  <c r="K21" i="112"/>
  <c r="I21" i="112"/>
  <c r="H21" i="112"/>
  <c r="J21" i="112" s="1"/>
  <c r="L20" i="112"/>
  <c r="H20" i="112"/>
  <c r="J20" i="112" s="1"/>
  <c r="O19" i="112"/>
  <c r="L19" i="112"/>
  <c r="K19" i="112"/>
  <c r="H19" i="112"/>
  <c r="J19" i="112" s="1"/>
  <c r="O18" i="112"/>
  <c r="L18" i="112"/>
  <c r="I18" i="112"/>
  <c r="K18" i="112"/>
  <c r="H18" i="112"/>
  <c r="J18" i="112" s="1"/>
  <c r="L17" i="112"/>
  <c r="I17" i="112"/>
  <c r="K17" i="112"/>
  <c r="H17" i="112"/>
  <c r="J17" i="112" s="1"/>
  <c r="O30" i="112"/>
  <c r="A60" i="111"/>
  <c r="I46" i="111"/>
  <c r="J43" i="111"/>
  <c r="J42" i="111"/>
  <c r="J41" i="111"/>
  <c r="J40" i="111"/>
  <c r="M16" i="111"/>
  <c r="O18" i="111" s="1"/>
  <c r="O17" i="111"/>
  <c r="O20" i="111"/>
  <c r="O21" i="111"/>
  <c r="O22" i="111"/>
  <c r="O23" i="111"/>
  <c r="O24" i="111"/>
  <c r="O25" i="111"/>
  <c r="O26" i="111"/>
  <c r="O27" i="111"/>
  <c r="O28" i="111"/>
  <c r="O29" i="111"/>
  <c r="O30" i="111"/>
  <c r="F32" i="111"/>
  <c r="E17" i="111"/>
  <c r="E18" i="111"/>
  <c r="E19" i="111"/>
  <c r="I18" i="111" s="1"/>
  <c r="K18" i="111" s="1"/>
  <c r="E20" i="111"/>
  <c r="E21" i="111"/>
  <c r="E22" i="111"/>
  <c r="I23" i="111" s="1"/>
  <c r="K23" i="111" s="1"/>
  <c r="E23" i="111"/>
  <c r="E24" i="111"/>
  <c r="I24" i="111" s="1"/>
  <c r="K24" i="111" s="1"/>
  <c r="E25" i="111"/>
  <c r="L31" i="111"/>
  <c r="J31" i="111"/>
  <c r="E31" i="111"/>
  <c r="L30" i="111"/>
  <c r="E30" i="111"/>
  <c r="L29" i="111"/>
  <c r="E29" i="111"/>
  <c r="I27" i="111" s="1"/>
  <c r="K27" i="111" s="1"/>
  <c r="L28" i="111"/>
  <c r="E28" i="111"/>
  <c r="I26" i="111" s="1"/>
  <c r="K26" i="111" s="1"/>
  <c r="L27" i="111"/>
  <c r="E27" i="111"/>
  <c r="I20" i="111" s="1"/>
  <c r="K20" i="111" s="1"/>
  <c r="L26" i="111"/>
  <c r="E26" i="111"/>
  <c r="L25" i="111"/>
  <c r="L24" i="111"/>
  <c r="L23" i="111"/>
  <c r="J23" i="111"/>
  <c r="L22" i="111"/>
  <c r="I22" i="111"/>
  <c r="K22" i="111" s="1"/>
  <c r="L21" i="111"/>
  <c r="L20" i="111"/>
  <c r="L19" i="111"/>
  <c r="J19" i="111"/>
  <c r="L18" i="111"/>
  <c r="J18" i="111"/>
  <c r="L17" i="111"/>
  <c r="H17" i="111"/>
  <c r="J17" i="111" s="1"/>
  <c r="A61" i="110"/>
  <c r="I47" i="110"/>
  <c r="J44" i="110"/>
  <c r="J43" i="110"/>
  <c r="J42" i="110"/>
  <c r="J41" i="110"/>
  <c r="O18" i="110"/>
  <c r="O22" i="110"/>
  <c r="O23" i="110"/>
  <c r="F32" i="110"/>
  <c r="E17" i="110"/>
  <c r="E18" i="110"/>
  <c r="E19" i="110"/>
  <c r="E20" i="110"/>
  <c r="E21" i="110"/>
  <c r="E22" i="110"/>
  <c r="E23" i="110"/>
  <c r="I25" i="110"/>
  <c r="E24" i="110"/>
  <c r="E25" i="110"/>
  <c r="O31" i="110"/>
  <c r="L31" i="110"/>
  <c r="H31" i="110"/>
  <c r="J31" i="110" s="1"/>
  <c r="E31" i="110"/>
  <c r="O30" i="110"/>
  <c r="L30" i="110"/>
  <c r="H30" i="110"/>
  <c r="J30" i="110" s="1"/>
  <c r="E30" i="110"/>
  <c r="L29" i="110"/>
  <c r="E29" i="110"/>
  <c r="I27" i="110"/>
  <c r="L28" i="110"/>
  <c r="H28" i="110"/>
  <c r="J28" i="110" s="1"/>
  <c r="E28" i="110"/>
  <c r="L27" i="110"/>
  <c r="K27" i="110"/>
  <c r="H27" i="110"/>
  <c r="J27" i="110" s="1"/>
  <c r="E27" i="110"/>
  <c r="I20" i="110"/>
  <c r="L26" i="110"/>
  <c r="I26" i="110"/>
  <c r="K26" i="110"/>
  <c r="H26" i="110"/>
  <c r="J26" i="110" s="1"/>
  <c r="E26" i="110"/>
  <c r="L25" i="110"/>
  <c r="K25" i="110"/>
  <c r="H25" i="110"/>
  <c r="J25" i="110" s="1"/>
  <c r="L24" i="110"/>
  <c r="I24" i="110"/>
  <c r="K24" i="110"/>
  <c r="H24" i="110"/>
  <c r="J24" i="110" s="1"/>
  <c r="L23" i="110"/>
  <c r="I23" i="110"/>
  <c r="K23" i="110"/>
  <c r="H23" i="110"/>
  <c r="J23" i="110" s="1"/>
  <c r="L22" i="110"/>
  <c r="I22" i="110"/>
  <c r="K22" i="110"/>
  <c r="H22" i="110"/>
  <c r="J22" i="110" s="1"/>
  <c r="L21" i="110"/>
  <c r="K21" i="110"/>
  <c r="I21" i="110"/>
  <c r="H21" i="110"/>
  <c r="J21" i="110"/>
  <c r="L20" i="110"/>
  <c r="K20" i="110"/>
  <c r="L19" i="110"/>
  <c r="I19" i="110"/>
  <c r="K19" i="110"/>
  <c r="J19" i="110"/>
  <c r="L18" i="110"/>
  <c r="I18" i="110"/>
  <c r="K18" i="110"/>
  <c r="H18" i="110"/>
  <c r="J18" i="110" s="1"/>
  <c r="L17" i="110"/>
  <c r="I17" i="110"/>
  <c r="K17" i="110"/>
  <c r="H17" i="110"/>
  <c r="J17" i="110" s="1"/>
  <c r="M16" i="110"/>
  <c r="A60" i="155"/>
  <c r="I46" i="155"/>
  <c r="J43" i="155"/>
  <c r="J42" i="155"/>
  <c r="J41" i="155"/>
  <c r="J40" i="155"/>
  <c r="M16" i="155"/>
  <c r="O20" i="155"/>
  <c r="F31" i="155"/>
  <c r="E17" i="155"/>
  <c r="E31" i="155" s="1"/>
  <c r="E18" i="155"/>
  <c r="E19" i="155"/>
  <c r="E20" i="155"/>
  <c r="I17" i="155"/>
  <c r="K17" i="155" s="1"/>
  <c r="E21" i="155"/>
  <c r="E22" i="155"/>
  <c r="I23" i="155" s="1"/>
  <c r="K23" i="155" s="1"/>
  <c r="E23" i="155"/>
  <c r="I25" i="155" s="1"/>
  <c r="K25" i="155" s="1"/>
  <c r="E24" i="155"/>
  <c r="E25" i="155"/>
  <c r="L30" i="155"/>
  <c r="H30" i="155"/>
  <c r="J30" i="155" s="1"/>
  <c r="E30" i="155"/>
  <c r="L29" i="155"/>
  <c r="H29" i="155"/>
  <c r="J29" i="155" s="1"/>
  <c r="E29" i="155"/>
  <c r="L28" i="155"/>
  <c r="H28" i="155"/>
  <c r="J28" i="155" s="1"/>
  <c r="E28" i="155"/>
  <c r="I26" i="155"/>
  <c r="K26" i="155"/>
  <c r="L27" i="155"/>
  <c r="I27" i="155"/>
  <c r="K27" i="155"/>
  <c r="E27" i="155"/>
  <c r="L26" i="155"/>
  <c r="H26" i="155"/>
  <c r="J26" i="155" s="1"/>
  <c r="E26" i="155"/>
  <c r="I21" i="155"/>
  <c r="K21" i="155"/>
  <c r="L25" i="155"/>
  <c r="H25" i="155"/>
  <c r="J25" i="155" s="1"/>
  <c r="L24" i="155"/>
  <c r="I24" i="155"/>
  <c r="K24" i="155"/>
  <c r="H24" i="155"/>
  <c r="J24" i="155" s="1"/>
  <c r="L23" i="155"/>
  <c r="H23" i="155"/>
  <c r="J23" i="155" s="1"/>
  <c r="L22" i="155"/>
  <c r="I22" i="155"/>
  <c r="K22" i="155"/>
  <c r="H22" i="155"/>
  <c r="J22" i="155" s="1"/>
  <c r="L21" i="155"/>
  <c r="H21" i="155"/>
  <c r="J21" i="155" s="1"/>
  <c r="L20" i="155"/>
  <c r="I20" i="155"/>
  <c r="K20" i="155" s="1"/>
  <c r="H20" i="155"/>
  <c r="J20" i="155" s="1"/>
  <c r="L19" i="155"/>
  <c r="I19" i="155"/>
  <c r="K19" i="155"/>
  <c r="H19" i="155"/>
  <c r="J19" i="155" s="1"/>
  <c r="L18" i="155"/>
  <c r="I18" i="155"/>
  <c r="K18" i="155" s="1"/>
  <c r="L17" i="155"/>
  <c r="H17" i="155"/>
  <c r="J17" i="155" s="1"/>
  <c r="A60" i="99"/>
  <c r="I46" i="99"/>
  <c r="J43" i="99"/>
  <c r="J42" i="99"/>
  <c r="J41" i="99"/>
  <c r="J40" i="99"/>
  <c r="M16" i="99"/>
  <c r="O20" i="99" s="1"/>
  <c r="O24" i="99"/>
  <c r="F31" i="99"/>
  <c r="E17" i="99"/>
  <c r="E18" i="99"/>
  <c r="E19" i="99"/>
  <c r="E20" i="99"/>
  <c r="I17" i="99"/>
  <c r="K17" i="99" s="1"/>
  <c r="E21" i="99"/>
  <c r="E22" i="99"/>
  <c r="E23" i="99"/>
  <c r="I25" i="99" s="1"/>
  <c r="K25" i="99" s="1"/>
  <c r="E24" i="99"/>
  <c r="I24" i="99"/>
  <c r="K24" i="99"/>
  <c r="E25" i="99"/>
  <c r="L30" i="99"/>
  <c r="J30" i="99"/>
  <c r="R30" i="99" s="1"/>
  <c r="E30" i="99"/>
  <c r="L29" i="99"/>
  <c r="J29" i="99"/>
  <c r="R29" i="99" s="1"/>
  <c r="E29" i="99"/>
  <c r="I27" i="99"/>
  <c r="K27" i="99"/>
  <c r="L28" i="99"/>
  <c r="J28" i="99"/>
  <c r="E28" i="99"/>
  <c r="L27" i="99"/>
  <c r="J27" i="99"/>
  <c r="R27" i="99" s="1"/>
  <c r="E27" i="99"/>
  <c r="I20" i="99"/>
  <c r="K20" i="99"/>
  <c r="L26" i="99"/>
  <c r="K26" i="99"/>
  <c r="I26" i="99"/>
  <c r="E26" i="99"/>
  <c r="I21" i="99" s="1"/>
  <c r="K21" i="99" s="1"/>
  <c r="L25" i="99"/>
  <c r="J25" i="99"/>
  <c r="R25" i="99" s="1"/>
  <c r="L24" i="99"/>
  <c r="J24" i="99"/>
  <c r="R24" i="99" s="1"/>
  <c r="L23" i="99"/>
  <c r="I23" i="99"/>
  <c r="K23" i="99"/>
  <c r="J23" i="99"/>
  <c r="R23" i="99" s="1"/>
  <c r="L22" i="99"/>
  <c r="I22" i="99"/>
  <c r="K22" i="99" s="1"/>
  <c r="J22" i="99"/>
  <c r="R22" i="99" s="1"/>
  <c r="L21" i="99"/>
  <c r="J21" i="99"/>
  <c r="R21" i="99" s="1"/>
  <c r="L20" i="99"/>
  <c r="J20" i="99"/>
  <c r="R20" i="99" s="1"/>
  <c r="L19" i="99"/>
  <c r="J19" i="99"/>
  <c r="R19" i="99" s="1"/>
  <c r="L18" i="99"/>
  <c r="I18" i="99"/>
  <c r="K18" i="99" s="1"/>
  <c r="L17" i="99"/>
  <c r="H17" i="99"/>
  <c r="J17" i="99" s="1"/>
  <c r="R17" i="99" s="1"/>
  <c r="A61" i="97"/>
  <c r="I47" i="97"/>
  <c r="J44" i="97"/>
  <c r="J43" i="97"/>
  <c r="J42" i="97"/>
  <c r="J41" i="97"/>
  <c r="F32" i="97"/>
  <c r="E17" i="97"/>
  <c r="E18" i="97"/>
  <c r="E19" i="97"/>
  <c r="I18" i="97" s="1"/>
  <c r="K18" i="97" s="1"/>
  <c r="E20" i="97"/>
  <c r="E21" i="97"/>
  <c r="I22" i="97" s="1"/>
  <c r="K22" i="97" s="1"/>
  <c r="E22" i="97"/>
  <c r="E23" i="97"/>
  <c r="I25" i="97" s="1"/>
  <c r="K25" i="97" s="1"/>
  <c r="E24" i="97"/>
  <c r="I24" i="97"/>
  <c r="K24" i="97"/>
  <c r="E25" i="97"/>
  <c r="I19" i="97"/>
  <c r="K19" i="97" s="1"/>
  <c r="L31" i="97"/>
  <c r="H31" i="97"/>
  <c r="J31" i="97" s="1"/>
  <c r="E31" i="97"/>
  <c r="L30" i="97"/>
  <c r="H30" i="97"/>
  <c r="J30" i="97" s="1"/>
  <c r="E30" i="97"/>
  <c r="L29" i="97"/>
  <c r="H29" i="97"/>
  <c r="J29" i="97" s="1"/>
  <c r="E29" i="97"/>
  <c r="I27" i="97"/>
  <c r="K27" i="97"/>
  <c r="L28" i="97"/>
  <c r="H28" i="97"/>
  <c r="J28" i="97" s="1"/>
  <c r="E28" i="97"/>
  <c r="L27" i="97"/>
  <c r="H27" i="97"/>
  <c r="J27" i="97" s="1"/>
  <c r="E27" i="97"/>
  <c r="I20" i="97"/>
  <c r="K20" i="97"/>
  <c r="L26" i="97"/>
  <c r="I26" i="97"/>
  <c r="K26" i="97"/>
  <c r="E26" i="97"/>
  <c r="I21" i="97" s="1"/>
  <c r="K21" i="97" s="1"/>
  <c r="L25" i="97"/>
  <c r="H25" i="97"/>
  <c r="J25" i="97" s="1"/>
  <c r="L24" i="97"/>
  <c r="H24" i="97"/>
  <c r="J24" i="97" s="1"/>
  <c r="L23" i="97"/>
  <c r="I23" i="97"/>
  <c r="K23" i="97" s="1"/>
  <c r="H23" i="97"/>
  <c r="J23" i="97"/>
  <c r="L22" i="97"/>
  <c r="H22" i="97"/>
  <c r="J22" i="97" s="1"/>
  <c r="L21" i="97"/>
  <c r="H21" i="97"/>
  <c r="J21" i="97" s="1"/>
  <c r="L20" i="97"/>
  <c r="H20" i="97"/>
  <c r="J20" i="97" s="1"/>
  <c r="L19" i="97"/>
  <c r="H19" i="97"/>
  <c r="J19" i="97" s="1"/>
  <c r="L18" i="97"/>
  <c r="J18" i="97"/>
  <c r="L17" i="97"/>
  <c r="H17" i="97"/>
  <c r="J17" i="97" s="1"/>
  <c r="M16" i="97"/>
  <c r="O20" i="97"/>
  <c r="F42" i="187"/>
  <c r="E42" i="187" s="1"/>
  <c r="I38" i="187"/>
  <c r="J35" i="187"/>
  <c r="J34" i="187"/>
  <c r="J33" i="187"/>
  <c r="J32" i="187"/>
  <c r="J21" i="187"/>
  <c r="O21" i="187"/>
  <c r="L22" i="187"/>
  <c r="G22" i="187"/>
  <c r="L21" i="187"/>
  <c r="L20" i="187"/>
  <c r="G20" i="187"/>
  <c r="L19" i="187"/>
  <c r="H19" i="187"/>
  <c r="J19" i="187" s="1"/>
  <c r="N18" i="187"/>
  <c r="M18" i="187"/>
  <c r="A6" i="187"/>
  <c r="M58" i="209"/>
  <c r="I38" i="209"/>
  <c r="J35" i="209"/>
  <c r="J34" i="209"/>
  <c r="J33" i="209"/>
  <c r="J32" i="209"/>
  <c r="L22" i="209"/>
  <c r="H22" i="209"/>
  <c r="J22" i="209" s="1"/>
  <c r="G22" i="209"/>
  <c r="L21" i="209"/>
  <c r="L20" i="209"/>
  <c r="G20" i="209"/>
  <c r="L19" i="209"/>
  <c r="H19" i="209"/>
  <c r="J19" i="209" s="1"/>
  <c r="N18" i="209"/>
  <c r="M18" i="209"/>
  <c r="O19" i="209"/>
  <c r="A6" i="209"/>
  <c r="I38" i="207"/>
  <c r="J35" i="207"/>
  <c r="J34" i="207"/>
  <c r="J33" i="207"/>
  <c r="J32" i="207"/>
  <c r="O19" i="207"/>
  <c r="O20" i="207"/>
  <c r="L22" i="207"/>
  <c r="H22" i="207"/>
  <c r="J22" i="207" s="1"/>
  <c r="G22" i="207"/>
  <c r="L21" i="207"/>
  <c r="J21" i="207"/>
  <c r="L20" i="207"/>
  <c r="G20" i="207"/>
  <c r="L19" i="207"/>
  <c r="H19" i="207"/>
  <c r="J19" i="207" s="1"/>
  <c r="N18" i="207"/>
  <c r="M18" i="207"/>
  <c r="O21" i="207"/>
  <c r="A6" i="207"/>
  <c r="I38" i="188"/>
  <c r="J35" i="188"/>
  <c r="J34" i="188"/>
  <c r="J33" i="188"/>
  <c r="J32" i="188"/>
  <c r="L22" i="188"/>
  <c r="H22" i="188"/>
  <c r="J22" i="188" s="1"/>
  <c r="G22" i="188"/>
  <c r="L21" i="188"/>
  <c r="H21" i="188"/>
  <c r="J21" i="188" s="1"/>
  <c r="L20" i="188"/>
  <c r="G20" i="188"/>
  <c r="L19" i="188"/>
  <c r="H19" i="188"/>
  <c r="J19" i="188" s="1"/>
  <c r="N18" i="188"/>
  <c r="M18" i="188"/>
  <c r="A6" i="188"/>
  <c r="F43" i="190"/>
  <c r="E43" i="190"/>
  <c r="F42" i="190"/>
  <c r="E42" i="190" s="1"/>
  <c r="I38" i="190"/>
  <c r="J35" i="190"/>
  <c r="J34" i="190"/>
  <c r="J33" i="190"/>
  <c r="J32" i="190"/>
  <c r="L22" i="190"/>
  <c r="H22" i="190"/>
  <c r="J22" i="190" s="1"/>
  <c r="G22" i="190"/>
  <c r="L21" i="190"/>
  <c r="J21" i="190"/>
  <c r="L20" i="190"/>
  <c r="G20" i="190"/>
  <c r="L19" i="190"/>
  <c r="H19" i="190"/>
  <c r="J19" i="190" s="1"/>
  <c r="N18" i="190"/>
  <c r="M18" i="190"/>
  <c r="A6" i="190"/>
  <c r="I38" i="202"/>
  <c r="J35" i="202"/>
  <c r="J34" i="202"/>
  <c r="J33" i="202"/>
  <c r="J32" i="202"/>
  <c r="L22" i="202"/>
  <c r="J22" i="202"/>
  <c r="G22" i="202"/>
  <c r="L21" i="202"/>
  <c r="L20" i="202"/>
  <c r="G20" i="202"/>
  <c r="L19" i="202"/>
  <c r="H19" i="202"/>
  <c r="J19" i="202" s="1"/>
  <c r="N18" i="202"/>
  <c r="M18" i="202"/>
  <c r="O20" i="202"/>
  <c r="A6" i="202"/>
  <c r="F43" i="203"/>
  <c r="E43" i="203" s="1"/>
  <c r="F42" i="203"/>
  <c r="E42" i="203" s="1"/>
  <c r="I38" i="203"/>
  <c r="J35" i="203"/>
  <c r="J34" i="203"/>
  <c r="J33" i="203"/>
  <c r="J32" i="203"/>
  <c r="O21" i="203"/>
  <c r="L22" i="203"/>
  <c r="H22" i="203"/>
  <c r="J22" i="203"/>
  <c r="G22" i="203"/>
  <c r="L21" i="203"/>
  <c r="L20" i="203"/>
  <c r="G20" i="203"/>
  <c r="L19" i="203"/>
  <c r="H19" i="203"/>
  <c r="J19" i="203" s="1"/>
  <c r="N18" i="203"/>
  <c r="M18" i="203"/>
  <c r="O22" i="203"/>
  <c r="A6" i="203"/>
  <c r="F43" i="197"/>
  <c r="E43" i="197" s="1"/>
  <c r="F42" i="197"/>
  <c r="E42" i="197" s="1"/>
  <c r="I38" i="197"/>
  <c r="J35" i="197"/>
  <c r="J34" i="197"/>
  <c r="J33" i="197"/>
  <c r="J32" i="197"/>
  <c r="J21" i="197"/>
  <c r="O20" i="197"/>
  <c r="O21" i="197"/>
  <c r="L22" i="197"/>
  <c r="H22" i="197"/>
  <c r="J22" i="197" s="1"/>
  <c r="G22" i="197"/>
  <c r="L21" i="197"/>
  <c r="L20" i="197"/>
  <c r="G20" i="197"/>
  <c r="L19" i="197"/>
  <c r="H19" i="197"/>
  <c r="J19" i="197" s="1"/>
  <c r="N18" i="197"/>
  <c r="M18" i="197"/>
  <c r="O22" i="197"/>
  <c r="A6" i="197"/>
  <c r="F50" i="94"/>
  <c r="E50" i="94"/>
  <c r="I46" i="94"/>
  <c r="J43" i="94"/>
  <c r="J42" i="94"/>
  <c r="J41" i="94"/>
  <c r="J40" i="94"/>
  <c r="M16" i="94"/>
  <c r="O18" i="94"/>
  <c r="O17" i="94"/>
  <c r="O20" i="94"/>
  <c r="O21" i="94"/>
  <c r="O24" i="94"/>
  <c r="O25" i="94"/>
  <c r="O28" i="94"/>
  <c r="O29" i="94"/>
  <c r="F31" i="94"/>
  <c r="E17" i="94"/>
  <c r="E18" i="94"/>
  <c r="E19" i="94"/>
  <c r="E20" i="94"/>
  <c r="E21" i="94"/>
  <c r="I22" i="94"/>
  <c r="E22" i="94"/>
  <c r="E23" i="94"/>
  <c r="E24" i="94"/>
  <c r="E25" i="94"/>
  <c r="L30" i="94"/>
  <c r="H30" i="94"/>
  <c r="J30" i="94" s="1"/>
  <c r="E30" i="94"/>
  <c r="L29" i="94"/>
  <c r="H29" i="94"/>
  <c r="J29" i="94" s="1"/>
  <c r="E29" i="94"/>
  <c r="L28" i="94"/>
  <c r="H28" i="94"/>
  <c r="J28" i="94" s="1"/>
  <c r="E28" i="94"/>
  <c r="L27" i="94"/>
  <c r="I27" i="94"/>
  <c r="K27" i="94"/>
  <c r="H27" i="94"/>
  <c r="J27" i="94" s="1"/>
  <c r="E27" i="94"/>
  <c r="L26" i="94"/>
  <c r="I26" i="94"/>
  <c r="K26" i="94"/>
  <c r="E26" i="94"/>
  <c r="L25" i="94"/>
  <c r="I25" i="94"/>
  <c r="K25" i="94"/>
  <c r="H25" i="94"/>
  <c r="J25" i="94" s="1"/>
  <c r="L24" i="94"/>
  <c r="I24" i="94"/>
  <c r="K24" i="94"/>
  <c r="L23" i="94"/>
  <c r="I23" i="94"/>
  <c r="K23" i="94"/>
  <c r="L22" i="94"/>
  <c r="K22" i="94"/>
  <c r="L21" i="94"/>
  <c r="I21" i="94"/>
  <c r="K21" i="94"/>
  <c r="L20" i="94"/>
  <c r="I20" i="94"/>
  <c r="K20" i="94"/>
  <c r="J20" i="94"/>
  <c r="L19" i="94"/>
  <c r="L18" i="94"/>
  <c r="I18" i="94"/>
  <c r="K18" i="94"/>
  <c r="J18" i="94"/>
  <c r="L17" i="94"/>
  <c r="H17" i="94"/>
  <c r="J17" i="94" s="1"/>
  <c r="A60" i="212"/>
  <c r="I46" i="212"/>
  <c r="J43" i="212"/>
  <c r="J42" i="212"/>
  <c r="J41" i="212"/>
  <c r="J40" i="212"/>
  <c r="M16" i="212"/>
  <c r="O18" i="212" s="1"/>
  <c r="O17" i="212"/>
  <c r="O20" i="212"/>
  <c r="O21" i="212"/>
  <c r="O22" i="212"/>
  <c r="O23" i="212"/>
  <c r="O24" i="212"/>
  <c r="O25" i="212"/>
  <c r="O26" i="212"/>
  <c r="O27" i="212"/>
  <c r="O28" i="212"/>
  <c r="O29" i="212"/>
  <c r="O30" i="212"/>
  <c r="F31" i="212"/>
  <c r="L30" i="212"/>
  <c r="J30" i="212"/>
  <c r="E30" i="212"/>
  <c r="L29" i="212"/>
  <c r="J29" i="212"/>
  <c r="E29" i="212"/>
  <c r="I27" i="212"/>
  <c r="K27" i="212"/>
  <c r="L28" i="212"/>
  <c r="J28" i="212"/>
  <c r="E28" i="212"/>
  <c r="L27" i="212"/>
  <c r="H27" i="212"/>
  <c r="J27" i="212" s="1"/>
  <c r="E27" i="212"/>
  <c r="I20" i="212"/>
  <c r="K20" i="212"/>
  <c r="L26" i="212"/>
  <c r="I26" i="212"/>
  <c r="K26" i="212"/>
  <c r="E26" i="212"/>
  <c r="I21" i="212"/>
  <c r="K21" i="212" s="1"/>
  <c r="L25" i="212"/>
  <c r="E23" i="212"/>
  <c r="I25" i="212" s="1"/>
  <c r="K25" i="212" s="1"/>
  <c r="E25" i="212"/>
  <c r="L24" i="212"/>
  <c r="E24" i="212"/>
  <c r="L23" i="212"/>
  <c r="E22" i="212"/>
  <c r="I23" i="212" s="1"/>
  <c r="K23" i="212" s="1"/>
  <c r="H23" i="212"/>
  <c r="J23" i="212" s="1"/>
  <c r="L22" i="212"/>
  <c r="E21" i="212"/>
  <c r="I22" i="212" s="1"/>
  <c r="K22" i="212" s="1"/>
  <c r="L21" i="212"/>
  <c r="J21" i="212"/>
  <c r="L20" i="212"/>
  <c r="H20" i="212"/>
  <c r="J20" i="212" s="1"/>
  <c r="E20" i="212"/>
  <c r="L19" i="212"/>
  <c r="E18" i="212"/>
  <c r="I19" i="212"/>
  <c r="K19" i="212" s="1"/>
  <c r="E19" i="212"/>
  <c r="I18" i="212" s="1"/>
  <c r="K18" i="212" s="1"/>
  <c r="L18" i="212"/>
  <c r="L17" i="212"/>
  <c r="E17" i="212"/>
  <c r="A60" i="196"/>
  <c r="E51" i="196"/>
  <c r="F50" i="196"/>
  <c r="E50" i="196"/>
  <c r="E48" i="196"/>
  <c r="I46" i="196"/>
  <c r="J43" i="196"/>
  <c r="J42" i="196"/>
  <c r="J40" i="196"/>
  <c r="F31" i="196"/>
  <c r="M16" i="196"/>
  <c r="O20" i="196"/>
  <c r="L30" i="196"/>
  <c r="H30" i="196"/>
  <c r="J30" i="196"/>
  <c r="E30" i="196"/>
  <c r="L29" i="196"/>
  <c r="H29" i="196"/>
  <c r="J29" i="196"/>
  <c r="E29" i="196"/>
  <c r="L28" i="196"/>
  <c r="H28" i="196"/>
  <c r="J28" i="196"/>
  <c r="E28" i="196"/>
  <c r="I26" i="196"/>
  <c r="K26" i="196"/>
  <c r="O27" i="196"/>
  <c r="L27" i="196"/>
  <c r="I27" i="196"/>
  <c r="K27" i="196"/>
  <c r="H27" i="196"/>
  <c r="J27" i="196" s="1"/>
  <c r="E27" i="196"/>
  <c r="L26" i="196"/>
  <c r="E26" i="196"/>
  <c r="L25" i="196"/>
  <c r="E25" i="196"/>
  <c r="I19" i="196" s="1"/>
  <c r="K19" i="196" s="1"/>
  <c r="L24" i="196"/>
  <c r="J24" i="196"/>
  <c r="E24" i="196"/>
  <c r="I24" i="196"/>
  <c r="K24" i="196" s="1"/>
  <c r="L23" i="196"/>
  <c r="E22" i="196"/>
  <c r="I23" i="196" s="1"/>
  <c r="K23" i="196" s="1"/>
  <c r="E23" i="196"/>
  <c r="I25" i="196"/>
  <c r="K25" i="196" s="1"/>
  <c r="L22" i="196"/>
  <c r="J22" i="196"/>
  <c r="L21" i="196"/>
  <c r="E21" i="196"/>
  <c r="I22" i="196" s="1"/>
  <c r="K22" i="196" s="1"/>
  <c r="L20" i="196"/>
  <c r="I20" i="196"/>
  <c r="K20" i="196"/>
  <c r="E20" i="196"/>
  <c r="I17" i="196" s="1"/>
  <c r="L19" i="196"/>
  <c r="E19" i="196"/>
  <c r="L18" i="196"/>
  <c r="I18" i="196"/>
  <c r="K18" i="196" s="1"/>
  <c r="E18" i="196"/>
  <c r="L17" i="196"/>
  <c r="H17" i="196"/>
  <c r="J17" i="196" s="1"/>
  <c r="E17" i="196"/>
  <c r="A60" i="117"/>
  <c r="F51" i="117"/>
  <c r="E51" i="117" s="1"/>
  <c r="F50" i="117"/>
  <c r="E50" i="117"/>
  <c r="E48" i="117"/>
  <c r="J43" i="117"/>
  <c r="J42" i="117"/>
  <c r="J40" i="117"/>
  <c r="M16" i="117"/>
  <c r="O18" i="117"/>
  <c r="O17" i="117"/>
  <c r="O20" i="117"/>
  <c r="O21" i="117"/>
  <c r="O24" i="117"/>
  <c r="O25" i="117"/>
  <c r="O28" i="117"/>
  <c r="O29" i="117"/>
  <c r="F31" i="117"/>
  <c r="E17" i="117"/>
  <c r="E18" i="117"/>
  <c r="I19" i="117"/>
  <c r="K19" i="117"/>
  <c r="E19" i="117"/>
  <c r="E20" i="117"/>
  <c r="E21" i="117"/>
  <c r="I22" i="117"/>
  <c r="K22" i="117"/>
  <c r="E22" i="117"/>
  <c r="I23" i="117"/>
  <c r="K23" i="117"/>
  <c r="E23" i="117"/>
  <c r="E24" i="117"/>
  <c r="E25" i="117"/>
  <c r="L30" i="117"/>
  <c r="H30" i="117"/>
  <c r="J30" i="117"/>
  <c r="E30" i="117"/>
  <c r="E26" i="117"/>
  <c r="E27" i="117"/>
  <c r="E31" i="117"/>
  <c r="L29" i="117"/>
  <c r="H29" i="117"/>
  <c r="J29" i="117" s="1"/>
  <c r="E29" i="117"/>
  <c r="I27" i="117"/>
  <c r="K27" i="117"/>
  <c r="L28" i="117"/>
  <c r="H28" i="117"/>
  <c r="J28" i="117" s="1"/>
  <c r="E28" i="117"/>
  <c r="I26" i="117"/>
  <c r="K26" i="117"/>
  <c r="L27" i="117"/>
  <c r="L26" i="117"/>
  <c r="J26" i="117"/>
  <c r="I17" i="117"/>
  <c r="L25" i="117"/>
  <c r="I25" i="117"/>
  <c r="K25" i="117"/>
  <c r="L24" i="117"/>
  <c r="I24" i="117"/>
  <c r="K24" i="117"/>
  <c r="L23" i="117"/>
  <c r="J23" i="117"/>
  <c r="L22" i="117"/>
  <c r="L21" i="117"/>
  <c r="I21" i="117"/>
  <c r="K21" i="117"/>
  <c r="L20" i="117"/>
  <c r="I20" i="117"/>
  <c r="K20" i="117"/>
  <c r="L19" i="117"/>
  <c r="L18" i="117"/>
  <c r="I18" i="117"/>
  <c r="K18" i="117"/>
  <c r="L17" i="117"/>
  <c r="H17" i="117"/>
  <c r="J17" i="117" s="1"/>
  <c r="I17" i="212"/>
  <c r="K17" i="212" s="1"/>
  <c r="G66" i="118"/>
  <c r="H66" i="118"/>
  <c r="G62" i="205"/>
  <c r="G61" i="205"/>
  <c r="G67" i="183"/>
  <c r="H67" i="183"/>
  <c r="O17" i="112"/>
  <c r="O21" i="112"/>
  <c r="O25" i="112"/>
  <c r="O29" i="112"/>
  <c r="O20" i="112"/>
  <c r="O24" i="112"/>
  <c r="G63" i="110"/>
  <c r="H63" i="110"/>
  <c r="K22" i="125"/>
  <c r="K20" i="125"/>
  <c r="K19" i="125"/>
  <c r="K18" i="125"/>
  <c r="K17" i="125"/>
  <c r="K23" i="125"/>
  <c r="K24" i="125"/>
  <c r="I21" i="125"/>
  <c r="I35" i="125"/>
  <c r="K25" i="125"/>
  <c r="K21" i="125"/>
  <c r="J21" i="202"/>
  <c r="H20" i="203"/>
  <c r="J20" i="203" s="1"/>
  <c r="I19" i="94"/>
  <c r="K19" i="94"/>
  <c r="I17" i="94"/>
  <c r="K17" i="94"/>
  <c r="E31" i="94"/>
  <c r="O22" i="187"/>
  <c r="O19" i="187"/>
  <c r="O20" i="187"/>
  <c r="O29" i="97"/>
  <c r="O21" i="202"/>
  <c r="O22" i="202"/>
  <c r="O19" i="202"/>
  <c r="O17" i="155"/>
  <c r="O21" i="155"/>
  <c r="O25" i="155"/>
  <c r="O29" i="155"/>
  <c r="O18" i="155"/>
  <c r="O22" i="155"/>
  <c r="O26" i="155"/>
  <c r="O30" i="155"/>
  <c r="O19" i="155"/>
  <c r="O23" i="155"/>
  <c r="O27" i="155"/>
  <c r="O30" i="196"/>
  <c r="O23" i="196"/>
  <c r="O29" i="196"/>
  <c r="O22" i="196"/>
  <c r="O21" i="196"/>
  <c r="O19" i="196"/>
  <c r="O18" i="196"/>
  <c r="O17" i="196"/>
  <c r="O28" i="196"/>
  <c r="O26" i="196"/>
  <c r="O25" i="196"/>
  <c r="O24" i="196"/>
  <c r="I24" i="212"/>
  <c r="K24" i="212" s="1"/>
  <c r="O20" i="188"/>
  <c r="O21" i="188"/>
  <c r="O22" i="188"/>
  <c r="O19" i="188"/>
  <c r="O20" i="209"/>
  <c r="O23" i="209"/>
  <c r="O21" i="209"/>
  <c r="O22" i="209"/>
  <c r="O17" i="97"/>
  <c r="O21" i="97"/>
  <c r="O25" i="97"/>
  <c r="O28" i="97"/>
  <c r="O26" i="97"/>
  <c r="O32" i="97" s="1"/>
  <c r="O18" i="97"/>
  <c r="O22" i="97"/>
  <c r="O31" i="97"/>
  <c r="O27" i="97"/>
  <c r="O19" i="97"/>
  <c r="O23" i="97"/>
  <c r="O30" i="97"/>
  <c r="O17" i="99"/>
  <c r="O21" i="99"/>
  <c r="O25" i="99"/>
  <c r="O29" i="99"/>
  <c r="O18" i="99"/>
  <c r="O22" i="99"/>
  <c r="O26" i="99"/>
  <c r="O30" i="99"/>
  <c r="O19" i="99"/>
  <c r="O23" i="99"/>
  <c r="O27" i="99"/>
  <c r="O28" i="155"/>
  <c r="E32" i="110"/>
  <c r="O32" i="112"/>
  <c r="I21" i="196"/>
  <c r="K21" i="196" s="1"/>
  <c r="O22" i="190"/>
  <c r="O19" i="190"/>
  <c r="O20" i="190"/>
  <c r="O21" i="190"/>
  <c r="O24" i="97"/>
  <c r="I19" i="99"/>
  <c r="K19" i="99" s="1"/>
  <c r="O28" i="99"/>
  <c r="O24" i="155"/>
  <c r="O20" i="203"/>
  <c r="E31" i="112"/>
  <c r="I17" i="182"/>
  <c r="K17" i="182" s="1"/>
  <c r="O27" i="117"/>
  <c r="O23" i="117"/>
  <c r="O19" i="117"/>
  <c r="O22" i="117"/>
  <c r="O26" i="117"/>
  <c r="O31" i="117"/>
  <c r="O27" i="94"/>
  <c r="O23" i="94"/>
  <c r="O19" i="94"/>
  <c r="O31" i="94"/>
  <c r="O19" i="197"/>
  <c r="O23" i="197"/>
  <c r="O19" i="203"/>
  <c r="O23" i="203"/>
  <c r="O22" i="207"/>
  <c r="O23" i="207"/>
  <c r="O29" i="215"/>
  <c r="O27" i="215"/>
  <c r="O18" i="215"/>
  <c r="O25" i="215"/>
  <c r="O20" i="215"/>
  <c r="O22" i="215"/>
  <c r="O19" i="215"/>
  <c r="O24" i="215"/>
  <c r="O26" i="215"/>
  <c r="O17" i="215"/>
  <c r="O23" i="215"/>
  <c r="O30" i="215"/>
  <c r="O21" i="215"/>
  <c r="O28" i="215"/>
  <c r="O30" i="117"/>
  <c r="O30" i="94"/>
  <c r="O26" i="94"/>
  <c r="O22" i="94"/>
  <c r="O20" i="110"/>
  <c r="O24" i="110"/>
  <c r="O29" i="110"/>
  <c r="O28" i="110"/>
  <c r="O26" i="110"/>
  <c r="O17" i="110"/>
  <c r="O21" i="110"/>
  <c r="O25" i="110"/>
  <c r="O27" i="110"/>
  <c r="O19" i="110"/>
  <c r="O31" i="113"/>
  <c r="O22" i="113"/>
  <c r="O18" i="113"/>
  <c r="O28" i="214"/>
  <c r="O29" i="214"/>
  <c r="O33" i="214"/>
  <c r="O24" i="214"/>
  <c r="O20" i="214"/>
  <c r="O26" i="182"/>
  <c r="O25" i="182"/>
  <c r="O21" i="182"/>
  <c r="O17" i="182"/>
  <c r="I18" i="215"/>
  <c r="K18" i="215"/>
  <c r="E31" i="215"/>
  <c r="F53" i="224"/>
  <c r="E53" i="224" s="1"/>
  <c r="F52" i="221"/>
  <c r="E52" i="221" s="1"/>
  <c r="F52" i="196"/>
  <c r="E52" i="196" s="1"/>
  <c r="F44" i="187"/>
  <c r="E44" i="187" s="1"/>
  <c r="F44" i="190"/>
  <c r="E44" i="190" s="1"/>
  <c r="F44" i="188"/>
  <c r="E44" i="188" s="1"/>
  <c r="F44" i="209"/>
  <c r="E44" i="209" s="1"/>
  <c r="F52" i="155"/>
  <c r="E52" i="155" s="1"/>
  <c r="F52" i="215"/>
  <c r="E52" i="215" s="1"/>
  <c r="F52" i="223"/>
  <c r="E52" i="223" s="1"/>
  <c r="F52" i="222"/>
  <c r="E52" i="222" s="1"/>
  <c r="F52" i="111"/>
  <c r="E52" i="111" s="1"/>
  <c r="F44" i="197"/>
  <c r="E44" i="197" s="1"/>
  <c r="F44" i="207"/>
  <c r="E44" i="207" s="1"/>
  <c r="F52" i="94"/>
  <c r="E52" i="94" s="1"/>
  <c r="F44" i="203"/>
  <c r="E44" i="203" s="1"/>
  <c r="F52" i="114"/>
  <c r="E52" i="114" s="1"/>
  <c r="F52" i="99"/>
  <c r="E52" i="99" s="1"/>
  <c r="O25" i="113"/>
  <c r="O21" i="113"/>
  <c r="O17" i="113"/>
  <c r="O27" i="214"/>
  <c r="O30" i="214"/>
  <c r="O31" i="214"/>
  <c r="O23" i="214"/>
  <c r="O19" i="214"/>
  <c r="O31" i="183"/>
  <c r="O20" i="183"/>
  <c r="O29" i="182"/>
  <c r="O33" i="182"/>
  <c r="O24" i="182"/>
  <c r="O20" i="182"/>
  <c r="O34" i="182" s="1"/>
  <c r="O27" i="113"/>
  <c r="O24" i="113"/>
  <c r="O26" i="214"/>
  <c r="O32" i="214"/>
  <c r="O22" i="214"/>
  <c r="O27" i="182"/>
  <c r="O28" i="182"/>
  <c r="O30" i="182"/>
  <c r="O23" i="182"/>
  <c r="I19" i="145"/>
  <c r="K19" i="145" s="1"/>
  <c r="O28" i="118"/>
  <c r="O29" i="118"/>
  <c r="O23" i="118"/>
  <c r="O19" i="118"/>
  <c r="O23" i="145"/>
  <c r="O19" i="145"/>
  <c r="F54" i="221"/>
  <c r="E54" i="221" s="1"/>
  <c r="F46" i="207"/>
  <c r="E46" i="207" s="1"/>
  <c r="F54" i="111"/>
  <c r="E54" i="111" s="1"/>
  <c r="F54" i="110"/>
  <c r="E54" i="110" s="1"/>
  <c r="F54" i="155"/>
  <c r="E54" i="155" s="1"/>
  <c r="F46" i="187"/>
  <c r="E46" i="187" s="1"/>
  <c r="F46" i="203"/>
  <c r="E46" i="203" s="1"/>
  <c r="F54" i="94"/>
  <c r="E54" i="94" s="1"/>
  <c r="F54" i="215"/>
  <c r="E54" i="215" s="1"/>
  <c r="F46" i="188"/>
  <c r="E46" i="188" s="1"/>
  <c r="F46" i="190"/>
  <c r="E46" i="190" s="1"/>
  <c r="F46" i="197"/>
  <c r="E46" i="197" s="1"/>
  <c r="F54" i="223"/>
  <c r="E54" i="223"/>
  <c r="F54" i="117"/>
  <c r="E54" i="117" s="1"/>
  <c r="F54" i="99"/>
  <c r="E54" i="99" s="1"/>
  <c r="F54" i="114"/>
  <c r="E54" i="114" s="1"/>
  <c r="F46" i="209"/>
  <c r="E46" i="209" s="1"/>
  <c r="E65" i="222"/>
  <c r="O22" i="145"/>
  <c r="O18" i="145"/>
  <c r="J23" i="216"/>
  <c r="O29" i="216"/>
  <c r="O31" i="216"/>
  <c r="O18" i="216"/>
  <c r="O17" i="216"/>
  <c r="O20" i="216"/>
  <c r="O19" i="216"/>
  <c r="O22" i="216"/>
  <c r="O21" i="216"/>
  <c r="O28" i="216"/>
  <c r="O24" i="216"/>
  <c r="O23" i="216"/>
  <c r="O26" i="216"/>
  <c r="I27" i="221"/>
  <c r="K27" i="221"/>
  <c r="E31" i="221"/>
  <c r="E31" i="223"/>
  <c r="O17" i="223"/>
  <c r="O21" i="223"/>
  <c r="O25" i="223"/>
  <c r="O29" i="223"/>
  <c r="O18" i="223"/>
  <c r="O22" i="223"/>
  <c r="O26" i="223"/>
  <c r="O30" i="223"/>
  <c r="O19" i="223"/>
  <c r="O23" i="223"/>
  <c r="O27" i="223"/>
  <c r="O25" i="118"/>
  <c r="O21" i="118"/>
  <c r="O25" i="145"/>
  <c r="O21" i="145"/>
  <c r="F43" i="207"/>
  <c r="E43" i="207" s="1"/>
  <c r="F50" i="110"/>
  <c r="E50" i="110" s="1"/>
  <c r="F43" i="188"/>
  <c r="E43" i="188" s="1"/>
  <c r="F54" i="224"/>
  <c r="E54" i="224" s="1"/>
  <c r="F53" i="223"/>
  <c r="E53" i="223" s="1"/>
  <c r="F53" i="222"/>
  <c r="E53" i="222" s="1"/>
  <c r="F53" i="196"/>
  <c r="E53" i="196" s="1"/>
  <c r="F53" i="99"/>
  <c r="E53" i="99" s="1"/>
  <c r="F45" i="209"/>
  <c r="E45" i="209" s="1"/>
  <c r="F45" i="202"/>
  <c r="E45" i="202" s="1"/>
  <c r="F53" i="114"/>
  <c r="E53" i="114" s="1"/>
  <c r="F45" i="187"/>
  <c r="E45" i="187" s="1"/>
  <c r="F45" i="203"/>
  <c r="E45" i="203" s="1"/>
  <c r="F53" i="94"/>
  <c r="E53" i="94" s="1"/>
  <c r="F53" i="215"/>
  <c r="E53" i="215" s="1"/>
  <c r="F53" i="221"/>
  <c r="E53" i="221" s="1"/>
  <c r="F45" i="207"/>
  <c r="E45" i="207" s="1"/>
  <c r="F53" i="111"/>
  <c r="E53" i="111" s="1"/>
  <c r="F53" i="155"/>
  <c r="E53" i="155" s="1"/>
  <c r="F45" i="190"/>
  <c r="E45" i="190" s="1"/>
  <c r="F45" i="197"/>
  <c r="E45" i="197" s="1"/>
  <c r="O30" i="216"/>
  <c r="F43" i="202"/>
  <c r="E43" i="202" s="1"/>
  <c r="I17" i="222"/>
  <c r="K17" i="222"/>
  <c r="E31" i="222"/>
  <c r="O28" i="223"/>
  <c r="O24" i="221"/>
  <c r="O21" i="221"/>
  <c r="O31" i="221"/>
  <c r="O26" i="221"/>
  <c r="O32" i="224"/>
  <c r="J40" i="224"/>
  <c r="J45" i="224" s="1"/>
  <c r="E66" i="224" s="1"/>
  <c r="O32" i="110"/>
  <c r="O31" i="215"/>
  <c r="O31" i="223"/>
  <c r="O23" i="190"/>
  <c r="O23" i="188"/>
  <c r="O23" i="202"/>
  <c r="O23" i="187"/>
  <c r="E33" i="183" l="1"/>
  <c r="O24" i="183"/>
  <c r="O30" i="183"/>
  <c r="O27" i="183"/>
  <c r="O28" i="183"/>
  <c r="O22" i="183"/>
  <c r="O23" i="183"/>
  <c r="O33" i="183"/>
  <c r="O29" i="183"/>
  <c r="O21" i="183"/>
  <c r="O25" i="183"/>
  <c r="O17" i="183"/>
  <c r="O32" i="183"/>
  <c r="O19" i="183"/>
  <c r="O26" i="183"/>
  <c r="E33" i="214"/>
  <c r="O34" i="214"/>
  <c r="I17" i="214"/>
  <c r="K17" i="214" s="1"/>
  <c r="O31" i="205"/>
  <c r="O27" i="205"/>
  <c r="O23" i="205"/>
  <c r="O19" i="205"/>
  <c r="O30" i="205"/>
  <c r="O26" i="205"/>
  <c r="O22" i="205"/>
  <c r="I17" i="205"/>
  <c r="K17" i="205" s="1"/>
  <c r="E31" i="205"/>
  <c r="O32" i="205"/>
  <c r="I18" i="205"/>
  <c r="K18" i="205" s="1"/>
  <c r="I17" i="97"/>
  <c r="K17" i="97" s="1"/>
  <c r="E32" i="97"/>
  <c r="O31" i="196"/>
  <c r="E31" i="99"/>
  <c r="O31" i="99"/>
  <c r="O19" i="111"/>
  <c r="I19" i="111"/>
  <c r="K19" i="111" s="1"/>
  <c r="I17" i="111"/>
  <c r="K17" i="111" s="1"/>
  <c r="E33" i="182"/>
  <c r="O32" i="118"/>
  <c r="E32" i="118"/>
  <c r="O32" i="216"/>
  <c r="E31" i="216"/>
  <c r="O31" i="147"/>
  <c r="E31" i="147"/>
  <c r="I17" i="147"/>
  <c r="K17" i="147" s="1"/>
  <c r="I17" i="145"/>
  <c r="K17" i="145" s="1"/>
  <c r="O30" i="145"/>
  <c r="E30" i="145"/>
  <c r="I20" i="145"/>
  <c r="K20" i="145" s="1"/>
  <c r="D62" i="224"/>
  <c r="J19" i="92"/>
  <c r="R19" i="92" s="1"/>
  <c r="E31" i="121"/>
  <c r="O32" i="121"/>
  <c r="J27" i="188"/>
  <c r="E31" i="188" s="1"/>
  <c r="E36" i="188" s="1"/>
  <c r="D51" i="188" s="1"/>
  <c r="E36" i="197"/>
  <c r="D51" i="197" s="1"/>
  <c r="E51" i="197" s="1"/>
  <c r="J31" i="197"/>
  <c r="J36" i="197" s="1"/>
  <c r="J27" i="203"/>
  <c r="E31" i="203" s="1"/>
  <c r="J31" i="203" s="1"/>
  <c r="J36" i="203" s="1"/>
  <c r="D55" i="197"/>
  <c r="E55" i="197" s="1"/>
  <c r="D54" i="188"/>
  <c r="J27" i="187"/>
  <c r="E31" i="187" s="1"/>
  <c r="E36" i="187" s="1"/>
  <c r="D54" i="187" s="1"/>
  <c r="E54" i="187" s="1"/>
  <c r="J54" i="187" s="1"/>
  <c r="K54" i="187" s="1"/>
  <c r="E62" i="224"/>
  <c r="E63" i="224"/>
  <c r="G63" i="224" s="1"/>
  <c r="H63" i="224" s="1"/>
  <c r="D63" i="224"/>
  <c r="E43" i="187"/>
  <c r="O31" i="155"/>
  <c r="E65" i="224"/>
  <c r="G65" i="224" s="1"/>
  <c r="H65" i="224" s="1"/>
  <c r="O28" i="122"/>
  <c r="O24" i="122"/>
  <c r="O20" i="122"/>
  <c r="O31" i="122"/>
  <c r="O27" i="122"/>
  <c r="O23" i="122"/>
  <c r="O19" i="122"/>
  <c r="O30" i="122"/>
  <c r="O26" i="122"/>
  <c r="O22" i="122"/>
  <c r="O18" i="122"/>
  <c r="O29" i="122"/>
  <c r="O25" i="122"/>
  <c r="O21" i="122"/>
  <c r="O21" i="208"/>
  <c r="O31" i="208"/>
  <c r="E31" i="208"/>
  <c r="J35" i="116"/>
  <c r="E39" i="116" s="1"/>
  <c r="J39" i="116" s="1"/>
  <c r="J44" i="116" s="1"/>
  <c r="O28" i="116"/>
  <c r="O32" i="116" s="1"/>
  <c r="L64" i="113"/>
  <c r="J35" i="98"/>
  <c r="E39" i="98" s="1"/>
  <c r="J35" i="115"/>
  <c r="E39" i="115" s="1"/>
  <c r="O32" i="113"/>
  <c r="I19" i="113"/>
  <c r="K19" i="113" s="1"/>
  <c r="I17" i="113"/>
  <c r="K17" i="113" s="1"/>
  <c r="D64" i="224"/>
  <c r="E60" i="224"/>
  <c r="J27" i="202"/>
  <c r="E31" i="202" s="1"/>
  <c r="J27" i="209"/>
  <c r="E31" i="209" s="1"/>
  <c r="H29" i="118"/>
  <c r="J29" i="118" s="1"/>
  <c r="J33" i="92"/>
  <c r="R33" i="92" s="1"/>
  <c r="D66" i="224"/>
  <c r="J27" i="190"/>
  <c r="E31" i="190" s="1"/>
  <c r="J27" i="207"/>
  <c r="E31" i="207" s="1"/>
  <c r="D65" i="224"/>
  <c r="D60" i="224"/>
  <c r="E64" i="224"/>
  <c r="G64" i="224" s="1"/>
  <c r="H64" i="224" s="1"/>
  <c r="D53" i="188"/>
  <c r="J22" i="121"/>
  <c r="J35" i="121" s="1"/>
  <c r="E39" i="121" s="1"/>
  <c r="H32" i="121"/>
  <c r="J35" i="112"/>
  <c r="E39" i="112" s="1"/>
  <c r="J35" i="155"/>
  <c r="E39" i="155" s="1"/>
  <c r="J39" i="155" s="1"/>
  <c r="J44" i="155" s="1"/>
  <c r="J34" i="145"/>
  <c r="E38" i="145" s="1"/>
  <c r="E43" i="145" s="1"/>
  <c r="O19" i="212"/>
  <c r="E31" i="212"/>
  <c r="O31" i="212"/>
  <c r="J35" i="215"/>
  <c r="E39" i="215" s="1"/>
  <c r="J39" i="215" s="1"/>
  <c r="J44" i="215" s="1"/>
  <c r="J35" i="221"/>
  <c r="E39" i="221" s="1"/>
  <c r="E44" i="221" s="1"/>
  <c r="O32" i="111"/>
  <c r="I21" i="111"/>
  <c r="K21" i="111" s="1"/>
  <c r="E32" i="111"/>
  <c r="I25" i="111"/>
  <c r="K25" i="111" s="1"/>
  <c r="E31" i="196"/>
  <c r="F49" i="225"/>
  <c r="E49" i="225" s="1"/>
  <c r="F51" i="94"/>
  <c r="E51" i="94" s="1"/>
  <c r="F49" i="221"/>
  <c r="E49" i="221" s="1"/>
  <c r="F49" i="114"/>
  <c r="E49" i="114" s="1"/>
  <c r="F49" i="155"/>
  <c r="E49" i="155" s="1"/>
  <c r="F49" i="196"/>
  <c r="E49" i="196" s="1"/>
  <c r="F50" i="97"/>
  <c r="E50" i="97" s="1"/>
  <c r="F41" i="207"/>
  <c r="E41" i="207" s="1"/>
  <c r="F50" i="224"/>
  <c r="F49" i="111"/>
  <c r="E49" i="111" s="1"/>
  <c r="F49" i="117"/>
  <c r="E49" i="117" s="1"/>
  <c r="F41" i="188"/>
  <c r="F41" i="187"/>
  <c r="F41" i="209"/>
  <c r="E41" i="209" s="1"/>
  <c r="F41" i="203"/>
  <c r="E41" i="203" s="1"/>
  <c r="F49" i="215"/>
  <c r="E49" i="215" s="1"/>
  <c r="F49" i="223"/>
  <c r="E49" i="223" s="1"/>
  <c r="F49" i="222"/>
  <c r="E49" i="222" s="1"/>
  <c r="F49" i="99"/>
  <c r="E49" i="99" s="1"/>
  <c r="F41" i="202"/>
  <c r="E41" i="202" s="1"/>
  <c r="F41" i="190"/>
  <c r="F41" i="197"/>
  <c r="E41" i="197" s="1"/>
  <c r="D52" i="197" s="1"/>
  <c r="E52" i="197" s="1"/>
  <c r="F49" i="94"/>
  <c r="E49" i="94" s="1"/>
  <c r="R22" i="147"/>
  <c r="J35" i="147"/>
  <c r="E39" i="147" s="1"/>
  <c r="R21" i="182"/>
  <c r="J35" i="212"/>
  <c r="E39" i="212" s="1"/>
  <c r="J39" i="212" s="1"/>
  <c r="J44" i="212" s="1"/>
  <c r="R27" i="222"/>
  <c r="J35" i="222"/>
  <c r="E39" i="222" s="1"/>
  <c r="J35" i="122"/>
  <c r="E39" i="122" s="1"/>
  <c r="E44" i="122" s="1"/>
  <c r="D59" i="122" s="1"/>
  <c r="J35" i="216"/>
  <c r="E39" i="216" s="1"/>
  <c r="J39" i="216" s="1"/>
  <c r="J44" i="216" s="1"/>
  <c r="R28" i="99"/>
  <c r="H32" i="122"/>
  <c r="J35" i="196"/>
  <c r="E39" i="196" s="1"/>
  <c r="J39" i="196" s="1"/>
  <c r="J44" i="196" s="1"/>
  <c r="H32" i="216"/>
  <c r="J35" i="94"/>
  <c r="E39" i="94" s="1"/>
  <c r="E44" i="94" s="1"/>
  <c r="J35" i="117"/>
  <c r="E39" i="117" s="1"/>
  <c r="J39" i="117" s="1"/>
  <c r="J44" i="117" s="1"/>
  <c r="J36" i="97"/>
  <c r="E40" i="97" s="1"/>
  <c r="J40" i="97" s="1"/>
  <c r="J45" i="97" s="1"/>
  <c r="J35" i="205"/>
  <c r="E39" i="205" s="1"/>
  <c r="J39" i="205" s="1"/>
  <c r="J44" i="205" s="1"/>
  <c r="J35" i="114"/>
  <c r="E39" i="114" s="1"/>
  <c r="J39" i="114" s="1"/>
  <c r="J44" i="114" s="1"/>
  <c r="R18" i="183"/>
  <c r="O32" i="225"/>
  <c r="O34" i="183" l="1"/>
  <c r="D57" i="197"/>
  <c r="E57" i="197" s="1"/>
  <c r="H17" i="125" s="1"/>
  <c r="M17" i="125" s="1"/>
  <c r="E63" i="116"/>
  <c r="G63" i="116" s="1"/>
  <c r="E61" i="116"/>
  <c r="G61" i="116" s="1"/>
  <c r="E44" i="116"/>
  <c r="D59" i="116" s="1"/>
  <c r="E36" i="203"/>
  <c r="D52" i="203" s="1"/>
  <c r="E52" i="203" s="1"/>
  <c r="D56" i="188"/>
  <c r="H17" i="124"/>
  <c r="J31" i="188"/>
  <c r="J36" i="188" s="1"/>
  <c r="E56" i="188" s="1"/>
  <c r="D55" i="188"/>
  <c r="J39" i="121"/>
  <c r="J44" i="121" s="1"/>
  <c r="E44" i="121"/>
  <c r="D65" i="121" s="1"/>
  <c r="E65" i="121" s="1"/>
  <c r="D56" i="197"/>
  <c r="E56" i="197" s="1"/>
  <c r="E53" i="188"/>
  <c r="J31" i="187"/>
  <c r="J36" i="187" s="1"/>
  <c r="E52" i="187" s="1"/>
  <c r="E44" i="216"/>
  <c r="D60" i="216" s="1"/>
  <c r="E60" i="216" s="1"/>
  <c r="E44" i="117"/>
  <c r="D60" i="117" s="1"/>
  <c r="E60" i="117" s="1"/>
  <c r="E55" i="188"/>
  <c r="E54" i="188"/>
  <c r="E51" i="188"/>
  <c r="E57" i="188"/>
  <c r="D57" i="188" s="1"/>
  <c r="E44" i="155"/>
  <c r="D64" i="155" s="1"/>
  <c r="E64" i="155" s="1"/>
  <c r="E44" i="215"/>
  <c r="D62" i="215" s="1"/>
  <c r="E62" i="215" s="1"/>
  <c r="H62" i="215" s="1"/>
  <c r="I62" i="215" s="1"/>
  <c r="O32" i="122"/>
  <c r="J39" i="122"/>
  <c r="J44" i="122" s="1"/>
  <c r="E60" i="116"/>
  <c r="G60" i="116" s="1"/>
  <c r="E44" i="115"/>
  <c r="J39" i="115"/>
  <c r="J44" i="115" s="1"/>
  <c r="E44" i="98"/>
  <c r="J39" i="98"/>
  <c r="J44" i="98" s="1"/>
  <c r="E59" i="116"/>
  <c r="E36" i="202"/>
  <c r="D52" i="202" s="1"/>
  <c r="E52" i="202" s="1"/>
  <c r="J31" i="202"/>
  <c r="J36" i="202" s="1"/>
  <c r="J39" i="94"/>
  <c r="J44" i="94" s="1"/>
  <c r="E59" i="94" s="1"/>
  <c r="J38" i="145"/>
  <c r="J43" i="145" s="1"/>
  <c r="I60" i="224"/>
  <c r="J60" i="224" s="1"/>
  <c r="D51" i="187"/>
  <c r="E51" i="187" s="1"/>
  <c r="D55" i="187"/>
  <c r="E55" i="187" s="1"/>
  <c r="G55" i="187" s="1"/>
  <c r="H55" i="187" s="1"/>
  <c r="D56" i="187"/>
  <c r="E56" i="187" s="1"/>
  <c r="J56" i="187" s="1"/>
  <c r="K56" i="187" s="1"/>
  <c r="D57" i="187"/>
  <c r="E57" i="187" s="1"/>
  <c r="E60" i="215"/>
  <c r="E27" i="125" s="1"/>
  <c r="J27" i="125" s="1"/>
  <c r="E36" i="207"/>
  <c r="J31" i="207"/>
  <c r="J36" i="207" s="1"/>
  <c r="D56" i="203"/>
  <c r="E56" i="203" s="1"/>
  <c r="D57" i="203"/>
  <c r="E57" i="203" s="1"/>
  <c r="D55" i="203"/>
  <c r="E55" i="203" s="1"/>
  <c r="J31" i="190"/>
  <c r="J36" i="190" s="1"/>
  <c r="E36" i="190"/>
  <c r="E36" i="209"/>
  <c r="J31" i="209"/>
  <c r="J36" i="209" s="1"/>
  <c r="E44" i="205"/>
  <c r="D63" i="205" s="1"/>
  <c r="E63" i="205" s="1"/>
  <c r="E44" i="112"/>
  <c r="J39" i="112"/>
  <c r="J44" i="112" s="1"/>
  <c r="J39" i="221"/>
  <c r="J44" i="221" s="1"/>
  <c r="E60" i="221" s="1"/>
  <c r="E29" i="124" s="1"/>
  <c r="E28" i="125" s="1"/>
  <c r="J28" i="125" s="1"/>
  <c r="H64" i="116"/>
  <c r="I64" i="116" s="1"/>
  <c r="F35" i="124"/>
  <c r="F34" i="125"/>
  <c r="K34" i="125" s="1"/>
  <c r="E52" i="188"/>
  <c r="E41" i="188"/>
  <c r="D52" i="188" s="1"/>
  <c r="E41" i="190"/>
  <c r="D52" i="190" s="1"/>
  <c r="E52" i="190"/>
  <c r="E41" i="187"/>
  <c r="D52" i="187" s="1"/>
  <c r="E61" i="224"/>
  <c r="E50" i="224"/>
  <c r="D61" i="224" s="1"/>
  <c r="E44" i="212"/>
  <c r="D65" i="212" s="1"/>
  <c r="E65" i="212" s="1"/>
  <c r="H65" i="212" s="1"/>
  <c r="I65" i="212" s="1"/>
  <c r="D63" i="221"/>
  <c r="D59" i="221"/>
  <c r="E63" i="221"/>
  <c r="D60" i="221"/>
  <c r="D64" i="221"/>
  <c r="E64" i="221" s="1"/>
  <c r="E59" i="221"/>
  <c r="D29" i="124" s="1"/>
  <c r="D28" i="125" s="1"/>
  <c r="D65" i="221"/>
  <c r="E65" i="221" s="1"/>
  <c r="D64" i="145"/>
  <c r="E64" i="145" s="1"/>
  <c r="D63" i="145"/>
  <c r="E63" i="145" s="1"/>
  <c r="D59" i="145"/>
  <c r="E59" i="145" s="1"/>
  <c r="D58" i="145"/>
  <c r="E58" i="145" s="1"/>
  <c r="D62" i="145"/>
  <c r="E62" i="145" s="1"/>
  <c r="J39" i="147"/>
  <c r="J44" i="147" s="1"/>
  <c r="E44" i="147"/>
  <c r="J39" i="222"/>
  <c r="J44" i="222" s="1"/>
  <c r="E44" i="222"/>
  <c r="E44" i="196"/>
  <c r="E45" i="97"/>
  <c r="D64" i="97" s="1"/>
  <c r="E64" i="97" s="1"/>
  <c r="G64" i="97" s="1"/>
  <c r="H64" i="97" s="1"/>
  <c r="E44" i="114"/>
  <c r="D59" i="114" s="1"/>
  <c r="E59" i="114" s="1"/>
  <c r="D65" i="122"/>
  <c r="E65" i="122" s="1"/>
  <c r="G65" i="122" s="1"/>
  <c r="H65" i="122" s="1"/>
  <c r="D60" i="122"/>
  <c r="E60" i="122" s="1"/>
  <c r="D64" i="122"/>
  <c r="E64" i="122" s="1"/>
  <c r="D63" i="122"/>
  <c r="E63" i="122" s="1"/>
  <c r="D64" i="94"/>
  <c r="E64" i="94" s="1"/>
  <c r="D59" i="94"/>
  <c r="D65" i="94"/>
  <c r="E65" i="94" s="1"/>
  <c r="D60" i="94"/>
  <c r="E60" i="94" s="1"/>
  <c r="D63" i="94"/>
  <c r="E63" i="94" s="1"/>
  <c r="D65" i="215" l="1"/>
  <c r="E65" i="215" s="1"/>
  <c r="H65" i="215" s="1"/>
  <c r="I65" i="215" s="1"/>
  <c r="D64" i="117"/>
  <c r="E64" i="117" s="1"/>
  <c r="D60" i="97"/>
  <c r="E60" i="97" s="1"/>
  <c r="D66" i="97"/>
  <c r="E66" i="97" s="1"/>
  <c r="H24" i="124" s="1"/>
  <c r="D60" i="116"/>
  <c r="D61" i="116"/>
  <c r="D62" i="116"/>
  <c r="E62" i="116" s="1"/>
  <c r="G62" i="116" s="1"/>
  <c r="E34" i="125"/>
  <c r="D63" i="116"/>
  <c r="D65" i="116"/>
  <c r="E65" i="116" s="1"/>
  <c r="G65" i="116" s="1"/>
  <c r="E35" i="124"/>
  <c r="D64" i="116"/>
  <c r="E64" i="116" s="1"/>
  <c r="G35" i="124" s="1"/>
  <c r="D65" i="205"/>
  <c r="E65" i="205" s="1"/>
  <c r="H32" i="125" s="1"/>
  <c r="D59" i="205"/>
  <c r="E59" i="205" s="1"/>
  <c r="D33" i="124" s="1"/>
  <c r="D63" i="117"/>
  <c r="E63" i="117" s="1"/>
  <c r="F10" i="125" s="1"/>
  <c r="K10" i="125" s="1"/>
  <c r="D59" i="117"/>
  <c r="E59" i="117" s="1"/>
  <c r="D10" i="124" s="1"/>
  <c r="D64" i="205"/>
  <c r="E64" i="205" s="1"/>
  <c r="G33" i="124" s="1"/>
  <c r="D59" i="155"/>
  <c r="E59" i="155" s="1"/>
  <c r="D60" i="121"/>
  <c r="E60" i="121" s="1"/>
  <c r="E22" i="125" s="1"/>
  <c r="J22" i="125" s="1"/>
  <c r="E18" i="124"/>
  <c r="E18" i="125"/>
  <c r="J18" i="125" s="1"/>
  <c r="D59" i="121"/>
  <c r="E59" i="121" s="1"/>
  <c r="D22" i="125" s="1"/>
  <c r="I22" i="125" s="1"/>
  <c r="D65" i="97"/>
  <c r="E65" i="97" s="1"/>
  <c r="G23" i="125" s="1"/>
  <c r="L23" i="125" s="1"/>
  <c r="D63" i="121"/>
  <c r="E63" i="121" s="1"/>
  <c r="G63" i="121" s="1"/>
  <c r="H63" i="121" s="1"/>
  <c r="D60" i="215"/>
  <c r="D60" i="205"/>
  <c r="E60" i="205" s="1"/>
  <c r="E32" i="125" s="1"/>
  <c r="J32" i="125" s="1"/>
  <c r="D63" i="216"/>
  <c r="E63" i="216" s="1"/>
  <c r="G63" i="216" s="1"/>
  <c r="H63" i="216" s="1"/>
  <c r="D64" i="121"/>
  <c r="E64" i="121" s="1"/>
  <c r="D63" i="215"/>
  <c r="D51" i="203"/>
  <c r="H18" i="223" s="1"/>
  <c r="J18" i="223" s="1"/>
  <c r="J35" i="223" s="1"/>
  <c r="E39" i="223" s="1"/>
  <c r="D61" i="97"/>
  <c r="E61" i="97" s="1"/>
  <c r="E23" i="125" s="1"/>
  <c r="J23" i="125" s="1"/>
  <c r="E59" i="215"/>
  <c r="D59" i="215"/>
  <c r="D65" i="216"/>
  <c r="E65" i="216" s="1"/>
  <c r="H15" i="125" s="1"/>
  <c r="E63" i="215"/>
  <c r="H63" i="215" s="1"/>
  <c r="I63" i="215" s="1"/>
  <c r="D64" i="215"/>
  <c r="E64" i="215" s="1"/>
  <c r="H64" i="215" s="1"/>
  <c r="I64" i="215" s="1"/>
  <c r="D59" i="216"/>
  <c r="E59" i="216" s="1"/>
  <c r="D15" i="125" s="1"/>
  <c r="I15" i="125" s="1"/>
  <c r="D64" i="216"/>
  <c r="E64" i="216" s="1"/>
  <c r="G15" i="124" s="1"/>
  <c r="G17" i="125"/>
  <c r="L17" i="125" s="1"/>
  <c r="G17" i="124"/>
  <c r="D65" i="117"/>
  <c r="E65" i="117" s="1"/>
  <c r="H10" i="125" s="1"/>
  <c r="M10" i="125" s="1"/>
  <c r="D60" i="155"/>
  <c r="E60" i="155" s="1"/>
  <c r="E25" i="125" s="1"/>
  <c r="J25" i="125" s="1"/>
  <c r="D65" i="155"/>
  <c r="E65" i="155" s="1"/>
  <c r="H26" i="124" s="1"/>
  <c r="D63" i="155"/>
  <c r="E63" i="155" s="1"/>
  <c r="F26" i="124" s="1"/>
  <c r="D65" i="114"/>
  <c r="E65" i="114" s="1"/>
  <c r="H33" i="125" s="1"/>
  <c r="E59" i="122"/>
  <c r="D14" i="124" s="1"/>
  <c r="E63" i="98"/>
  <c r="E59" i="98"/>
  <c r="E62" i="98"/>
  <c r="E60" i="98"/>
  <c r="E61" i="98"/>
  <c r="D64" i="98"/>
  <c r="E64" i="98" s="1"/>
  <c r="D63" i="98"/>
  <c r="D59" i="98"/>
  <c r="D61" i="98"/>
  <c r="D62" i="98"/>
  <c r="D60" i="98"/>
  <c r="D65" i="98"/>
  <c r="E65" i="98" s="1"/>
  <c r="G59" i="116"/>
  <c r="D34" i="125"/>
  <c r="I34" i="125" s="1"/>
  <c r="E60" i="115"/>
  <c r="E61" i="115"/>
  <c r="E63" i="115"/>
  <c r="E59" i="115"/>
  <c r="E62" i="115"/>
  <c r="D60" i="115"/>
  <c r="D65" i="115"/>
  <c r="E65" i="115" s="1"/>
  <c r="D61" i="115"/>
  <c r="D59" i="115"/>
  <c r="D64" i="115"/>
  <c r="E64" i="115" s="1"/>
  <c r="D63" i="115"/>
  <c r="D62" i="115"/>
  <c r="E28" i="124"/>
  <c r="D60" i="114"/>
  <c r="E60" i="114" s="1"/>
  <c r="E33" i="125" s="1"/>
  <c r="J33" i="125" s="1"/>
  <c r="D57" i="209"/>
  <c r="E57" i="209" s="1"/>
  <c r="D51" i="209"/>
  <c r="E51" i="209" s="1"/>
  <c r="D56" i="209"/>
  <c r="E56" i="209" s="1"/>
  <c r="D55" i="209"/>
  <c r="E55" i="209" s="1"/>
  <c r="G55" i="209" s="1"/>
  <c r="H55" i="209" s="1"/>
  <c r="D55" i="207"/>
  <c r="E55" i="207" s="1"/>
  <c r="D57" i="207"/>
  <c r="E57" i="207" s="1"/>
  <c r="D51" i="207"/>
  <c r="E51" i="207" s="1"/>
  <c r="G51" i="207" s="1"/>
  <c r="D56" i="207"/>
  <c r="E56" i="207" s="1"/>
  <c r="H20" i="124"/>
  <c r="H20" i="125"/>
  <c r="M20" i="125" s="1"/>
  <c r="G57" i="187"/>
  <c r="H57" i="187" s="1"/>
  <c r="J57" i="187" s="1"/>
  <c r="K57" i="187" s="1"/>
  <c r="D57" i="190"/>
  <c r="E57" i="190" s="1"/>
  <c r="D56" i="190"/>
  <c r="E56" i="190" s="1"/>
  <c r="D51" i="190"/>
  <c r="E51" i="190" s="1"/>
  <c r="G51" i="190" s="1"/>
  <c r="D55" i="190"/>
  <c r="E55" i="190" s="1"/>
  <c r="H18" i="124"/>
  <c r="H18" i="125"/>
  <c r="M18" i="125" s="1"/>
  <c r="G20" i="124"/>
  <c r="G56" i="187"/>
  <c r="H56" i="187" s="1"/>
  <c r="G20" i="125"/>
  <c r="L20" i="125" s="1"/>
  <c r="D55" i="202"/>
  <c r="E55" i="202" s="1"/>
  <c r="D57" i="202"/>
  <c r="E57" i="202" s="1"/>
  <c r="J57" i="202" s="1"/>
  <c r="D56" i="202"/>
  <c r="E56" i="202" s="1"/>
  <c r="D51" i="202"/>
  <c r="E51" i="202" s="1"/>
  <c r="G51" i="202" s="1"/>
  <c r="E51" i="203"/>
  <c r="G51" i="203" s="1"/>
  <c r="D63" i="114"/>
  <c r="E63" i="114" s="1"/>
  <c r="F34" i="124" s="1"/>
  <c r="D64" i="114"/>
  <c r="E64" i="114" s="1"/>
  <c r="G33" i="125" s="1"/>
  <c r="L33" i="125" s="1"/>
  <c r="G18" i="124"/>
  <c r="G18" i="125"/>
  <c r="L18" i="125" s="1"/>
  <c r="D52" i="209"/>
  <c r="E52" i="209" s="1"/>
  <c r="D52" i="207"/>
  <c r="E52" i="207" s="1"/>
  <c r="D60" i="196"/>
  <c r="E60" i="196" s="1"/>
  <c r="J59" i="196" s="1"/>
  <c r="D62" i="196"/>
  <c r="E62" i="196" s="1"/>
  <c r="E61" i="112"/>
  <c r="E62" i="112"/>
  <c r="E60" i="112"/>
  <c r="E59" i="112"/>
  <c r="E63" i="112"/>
  <c r="D59" i="112"/>
  <c r="D61" i="112"/>
  <c r="D63" i="112"/>
  <c r="D65" i="112"/>
  <c r="E65" i="112" s="1"/>
  <c r="G65" i="112" s="1"/>
  <c r="H65" i="112" s="1"/>
  <c r="D64" i="112"/>
  <c r="E64" i="112" s="1"/>
  <c r="G64" i="112" s="1"/>
  <c r="H64" i="112" s="1"/>
  <c r="D60" i="112"/>
  <c r="D62" i="112"/>
  <c r="D60" i="212"/>
  <c r="E60" i="212" s="1"/>
  <c r="E12" i="125" s="1"/>
  <c r="J12" i="125" s="1"/>
  <c r="D62" i="212"/>
  <c r="E62" i="212" s="1"/>
  <c r="D63" i="212"/>
  <c r="E63" i="212" s="1"/>
  <c r="F12" i="125" s="1"/>
  <c r="K12" i="125" s="1"/>
  <c r="D64" i="212"/>
  <c r="E64" i="212" s="1"/>
  <c r="D59" i="212"/>
  <c r="E59" i="212" s="1"/>
  <c r="D12" i="124" s="1"/>
  <c r="D59" i="196"/>
  <c r="E59" i="196"/>
  <c r="D11" i="125" s="1"/>
  <c r="I11" i="125" s="1"/>
  <c r="D64" i="196"/>
  <c r="D63" i="196"/>
  <c r="E63" i="196" s="1"/>
  <c r="H63" i="196" s="1"/>
  <c r="D65" i="196"/>
  <c r="E65" i="196" s="1"/>
  <c r="H11" i="125" s="1"/>
  <c r="M11" i="125" s="1"/>
  <c r="E64" i="196"/>
  <c r="E26" i="125"/>
  <c r="J26" i="125" s="1"/>
  <c r="E27" i="124"/>
  <c r="G65" i="215"/>
  <c r="H27" i="125"/>
  <c r="M27" i="125" s="1"/>
  <c r="H28" i="124"/>
  <c r="G63" i="145"/>
  <c r="H63" i="145" s="1"/>
  <c r="G27" i="124"/>
  <c r="G26" i="125"/>
  <c r="G64" i="221"/>
  <c r="H64" i="221" s="1"/>
  <c r="G29" i="124"/>
  <c r="G28" i="125" s="1"/>
  <c r="L28" i="125" s="1"/>
  <c r="D64" i="147"/>
  <c r="E64" i="147" s="1"/>
  <c r="D65" i="147"/>
  <c r="E65" i="147" s="1"/>
  <c r="D63" i="147"/>
  <c r="E63" i="147" s="1"/>
  <c r="G63" i="147" s="1"/>
  <c r="H63" i="147" s="1"/>
  <c r="D59" i="147"/>
  <c r="E59" i="147" s="1"/>
  <c r="D60" i="147"/>
  <c r="E60" i="147" s="1"/>
  <c r="G62" i="145"/>
  <c r="H62" i="145" s="1"/>
  <c r="F27" i="124"/>
  <c r="F26" i="125"/>
  <c r="K26" i="125" s="1"/>
  <c r="H27" i="124"/>
  <c r="H26" i="125"/>
  <c r="M26" i="125" s="1"/>
  <c r="G64" i="145"/>
  <c r="H64" i="145" s="1"/>
  <c r="D26" i="125"/>
  <c r="I26" i="125" s="1"/>
  <c r="D27" i="124"/>
  <c r="H29" i="124"/>
  <c r="H28" i="125" s="1"/>
  <c r="M28" i="125" s="1"/>
  <c r="G65" i="221"/>
  <c r="H65" i="221" s="1"/>
  <c r="F29" i="124"/>
  <c r="F28" i="125" s="1"/>
  <c r="K28" i="125" s="1"/>
  <c r="G63" i="221"/>
  <c r="H63" i="221" s="1"/>
  <c r="G26" i="124"/>
  <c r="G25" i="125"/>
  <c r="L25" i="125" s="1"/>
  <c r="G64" i="155"/>
  <c r="H64" i="155" s="1"/>
  <c r="D25" i="125"/>
  <c r="I25" i="125" s="1"/>
  <c r="D26" i="124"/>
  <c r="D59" i="222"/>
  <c r="D63" i="222"/>
  <c r="D60" i="222"/>
  <c r="D65" i="222"/>
  <c r="D62" i="222"/>
  <c r="D61" i="222"/>
  <c r="D64" i="222"/>
  <c r="E64" i="222" s="1"/>
  <c r="E63" i="222"/>
  <c r="E62" i="222"/>
  <c r="E59" i="222"/>
  <c r="E60" i="222"/>
  <c r="E61" i="222"/>
  <c r="E15" i="124"/>
  <c r="E15" i="125"/>
  <c r="J15" i="125" s="1"/>
  <c r="G10" i="125"/>
  <c r="L10" i="125" s="1"/>
  <c r="G10" i="124"/>
  <c r="H64" i="117"/>
  <c r="I64" i="117" s="1"/>
  <c r="H23" i="125"/>
  <c r="M23" i="125" s="1"/>
  <c r="F14" i="124"/>
  <c r="G63" i="122"/>
  <c r="H63" i="122" s="1"/>
  <c r="F14" i="125"/>
  <c r="D15" i="124"/>
  <c r="I60" i="97"/>
  <c r="J60" i="97" s="1"/>
  <c r="D24" i="124"/>
  <c r="D23" i="125"/>
  <c r="I23" i="125" s="1"/>
  <c r="G65" i="97"/>
  <c r="H65" i="97" s="1"/>
  <c r="E10" i="124"/>
  <c r="E10" i="125"/>
  <c r="J10" i="125" s="1"/>
  <c r="E24" i="124"/>
  <c r="H22" i="125"/>
  <c r="G65" i="121"/>
  <c r="H65" i="121" s="1"/>
  <c r="H23" i="124"/>
  <c r="G14" i="124"/>
  <c r="G64" i="122"/>
  <c r="H64" i="122" s="1"/>
  <c r="G14" i="125"/>
  <c r="H59" i="117"/>
  <c r="F10" i="124"/>
  <c r="G22" i="125"/>
  <c r="L22" i="125" s="1"/>
  <c r="G23" i="124"/>
  <c r="G64" i="121"/>
  <c r="H64" i="121" s="1"/>
  <c r="E14" i="125"/>
  <c r="J14" i="125" s="1"/>
  <c r="E14" i="124"/>
  <c r="G60" i="205"/>
  <c r="F32" i="125"/>
  <c r="K32" i="125" s="1"/>
  <c r="G63" i="205"/>
  <c r="F33" i="124"/>
  <c r="G59" i="205"/>
  <c r="D32" i="125"/>
  <c r="I32" i="125" s="1"/>
  <c r="D34" i="124"/>
  <c r="D33" i="125"/>
  <c r="I33" i="125" s="1"/>
  <c r="G64" i="205"/>
  <c r="H12" i="125"/>
  <c r="M12" i="125" s="1"/>
  <c r="H12" i="124"/>
  <c r="I59" i="94"/>
  <c r="I61" i="94"/>
  <c r="I60" i="94"/>
  <c r="J60" i="94"/>
  <c r="J61" i="94"/>
  <c r="J59" i="94"/>
  <c r="G65" i="114" l="1"/>
  <c r="H65" i="114" s="1"/>
  <c r="G32" i="125"/>
  <c r="L32" i="125" s="1"/>
  <c r="H33" i="124"/>
  <c r="H10" i="124"/>
  <c r="G66" i="97"/>
  <c r="H66" i="97" s="1"/>
  <c r="D10" i="125"/>
  <c r="I10" i="125" s="1"/>
  <c r="G65" i="205"/>
  <c r="G34" i="125"/>
  <c r="L34" i="125" s="1"/>
  <c r="K62" i="116"/>
  <c r="M62" i="116" s="1"/>
  <c r="H65" i="116"/>
  <c r="I65" i="116" s="1"/>
  <c r="K64" i="116"/>
  <c r="M64" i="116" s="1"/>
  <c r="G64" i="116"/>
  <c r="G63" i="117"/>
  <c r="H60" i="117"/>
  <c r="H61" i="117"/>
  <c r="K65" i="116"/>
  <c r="M65" i="116" s="1"/>
  <c r="H34" i="125"/>
  <c r="M34" i="125" s="1"/>
  <c r="H35" i="124"/>
  <c r="E33" i="124"/>
  <c r="H63" i="117"/>
  <c r="I63" i="117" s="1"/>
  <c r="G15" i="125"/>
  <c r="L15" i="125" s="1"/>
  <c r="F33" i="125"/>
  <c r="K33" i="125" s="1"/>
  <c r="G64" i="215"/>
  <c r="E12" i="124"/>
  <c r="G27" i="125"/>
  <c r="L26" i="125" s="1"/>
  <c r="E23" i="124"/>
  <c r="D23" i="124"/>
  <c r="F15" i="125"/>
  <c r="K15" i="125" s="1"/>
  <c r="E26" i="124"/>
  <c r="H25" i="125"/>
  <c r="M25" i="125" s="1"/>
  <c r="G24" i="124"/>
  <c r="H15" i="124"/>
  <c r="G65" i="155"/>
  <c r="H65" i="155" s="1"/>
  <c r="F27" i="125"/>
  <c r="K27" i="125" s="1"/>
  <c r="F15" i="124"/>
  <c r="F28" i="124"/>
  <c r="G63" i="215"/>
  <c r="H34" i="124"/>
  <c r="G64" i="114"/>
  <c r="H64" i="114" s="1"/>
  <c r="G63" i="114"/>
  <c r="H63" i="114" s="1"/>
  <c r="G64" i="216"/>
  <c r="H64" i="216" s="1"/>
  <c r="G65" i="216"/>
  <c r="H65" i="216" s="1"/>
  <c r="E34" i="124"/>
  <c r="G28" i="124"/>
  <c r="G63" i="155"/>
  <c r="H63" i="155" s="1"/>
  <c r="G12" i="124"/>
  <c r="H64" i="212"/>
  <c r="I64" i="212" s="1"/>
  <c r="D14" i="125"/>
  <c r="I14" i="125" s="1"/>
  <c r="G62" i="212"/>
  <c r="H62" i="212"/>
  <c r="I62" i="212" s="1"/>
  <c r="G34" i="124"/>
  <c r="H18" i="208"/>
  <c r="J18" i="208" s="1"/>
  <c r="J35" i="208" s="1"/>
  <c r="E39" i="208" s="1"/>
  <c r="H20" i="113"/>
  <c r="J20" i="113" s="1"/>
  <c r="J36" i="113" s="1"/>
  <c r="E40" i="113" s="1"/>
  <c r="H20" i="225"/>
  <c r="J20" i="225" s="1"/>
  <c r="J35" i="225" s="1"/>
  <c r="E39" i="225" s="1"/>
  <c r="H20" i="92"/>
  <c r="H20" i="183"/>
  <c r="J20" i="183" s="1"/>
  <c r="J20" i="214"/>
  <c r="H20" i="111"/>
  <c r="J20" i="111" s="1"/>
  <c r="J35" i="111" s="1"/>
  <c r="E39" i="111" s="1"/>
  <c r="H20" i="110"/>
  <c r="J20" i="110" s="1"/>
  <c r="J36" i="110" s="1"/>
  <c r="E40" i="110" s="1"/>
  <c r="J20" i="182"/>
  <c r="J18" i="99"/>
  <c r="G11" i="125"/>
  <c r="L11" i="125" s="1"/>
  <c r="L64" i="196"/>
  <c r="H62" i="196"/>
  <c r="L61" i="196"/>
  <c r="H11" i="124"/>
  <c r="L65" i="196"/>
  <c r="F37" i="124"/>
  <c r="G63" i="115"/>
  <c r="H63" i="115" s="1"/>
  <c r="F36" i="125"/>
  <c r="G64" i="115"/>
  <c r="H64" i="115" s="1"/>
  <c r="G36" i="125"/>
  <c r="G37" i="124"/>
  <c r="H38" i="124"/>
  <c r="H37" i="125"/>
  <c r="M37" i="125" s="1"/>
  <c r="G65" i="98"/>
  <c r="H65" i="98" s="1"/>
  <c r="E38" i="124"/>
  <c r="E37" i="125"/>
  <c r="J37" i="125" s="1"/>
  <c r="E36" i="125"/>
  <c r="J36" i="125" s="1"/>
  <c r="E37" i="124"/>
  <c r="D37" i="124"/>
  <c r="D36" i="125"/>
  <c r="I36" i="125" s="1"/>
  <c r="G38" i="124"/>
  <c r="G64" i="98"/>
  <c r="H64" i="98" s="1"/>
  <c r="G37" i="125"/>
  <c r="L37" i="125" s="1"/>
  <c r="D38" i="124"/>
  <c r="D37" i="125"/>
  <c r="I37" i="125" s="1"/>
  <c r="H36" i="125"/>
  <c r="M36" i="125" s="1"/>
  <c r="G65" i="115"/>
  <c r="H65" i="115" s="1"/>
  <c r="H37" i="124"/>
  <c r="G63" i="98"/>
  <c r="H63" i="98" s="1"/>
  <c r="F37" i="125"/>
  <c r="K37" i="125" s="1"/>
  <c r="F38" i="124"/>
  <c r="F12" i="124"/>
  <c r="J39" i="223"/>
  <c r="J44" i="223" s="1"/>
  <c r="E60" i="223" s="1"/>
  <c r="E44" i="223"/>
  <c r="D62" i="223" s="1"/>
  <c r="E62" i="223" s="1"/>
  <c r="H62" i="223" s="1"/>
  <c r="I62" i="223" s="1"/>
  <c r="G19" i="124"/>
  <c r="G56" i="209"/>
  <c r="H56" i="209" s="1"/>
  <c r="G19" i="125"/>
  <c r="L19" i="125" s="1"/>
  <c r="J55" i="202"/>
  <c r="G55" i="202"/>
  <c r="H55" i="202" s="1"/>
  <c r="H19" i="124"/>
  <c r="G57" i="209"/>
  <c r="H57" i="209" s="1"/>
  <c r="H19" i="125"/>
  <c r="M19" i="125" s="1"/>
  <c r="E19" i="125"/>
  <c r="J19" i="125" s="1"/>
  <c r="E19" i="124"/>
  <c r="J56" i="202"/>
  <c r="G56" i="202"/>
  <c r="H56" i="202" s="1"/>
  <c r="D12" i="125"/>
  <c r="I12" i="125" s="1"/>
  <c r="G63" i="212"/>
  <c r="E11" i="124"/>
  <c r="E11" i="125"/>
  <c r="J11" i="125" s="1"/>
  <c r="G12" i="125"/>
  <c r="L12" i="125" s="1"/>
  <c r="D11" i="124"/>
  <c r="G11" i="124"/>
  <c r="F11" i="124"/>
  <c r="F11" i="125"/>
  <c r="K11" i="125" s="1"/>
  <c r="G21" i="124"/>
  <c r="G64" i="147"/>
  <c r="H64" i="147" s="1"/>
  <c r="H21" i="124"/>
  <c r="G65" i="147"/>
  <c r="H65" i="147" s="1"/>
  <c r="L14" i="125"/>
  <c r="K14" i="125"/>
  <c r="M33" i="125"/>
  <c r="M32" i="125"/>
  <c r="L27" i="125" l="1"/>
  <c r="J40" i="110"/>
  <c r="J45" i="110" s="1"/>
  <c r="E61" i="110" s="1"/>
  <c r="E45" i="110"/>
  <c r="J20" i="118"/>
  <c r="J36" i="118" s="1"/>
  <c r="E40" i="118" s="1"/>
  <c r="J20" i="92"/>
  <c r="E44" i="111"/>
  <c r="J39" i="111"/>
  <c r="J44" i="111" s="1"/>
  <c r="E44" i="225"/>
  <c r="J39" i="225"/>
  <c r="J44" i="225" s="1"/>
  <c r="R18" i="99"/>
  <c r="J35" i="99"/>
  <c r="E39" i="99" s="1"/>
  <c r="R20" i="214"/>
  <c r="J37" i="214"/>
  <c r="E41" i="214" s="1"/>
  <c r="E45" i="113"/>
  <c r="D66" i="113" s="1"/>
  <c r="J40" i="113"/>
  <c r="J45" i="113" s="1"/>
  <c r="R20" i="182"/>
  <c r="J37" i="182"/>
  <c r="E41" i="182" s="1"/>
  <c r="R20" i="183"/>
  <c r="J37" i="183"/>
  <c r="E41" i="183" s="1"/>
  <c r="E44" i="208"/>
  <c r="D64" i="208" s="1"/>
  <c r="J39" i="208"/>
  <c r="J44" i="208" s="1"/>
  <c r="L36" i="125"/>
  <c r="K36" i="125"/>
  <c r="D63" i="223"/>
  <c r="D65" i="223"/>
  <c r="E65" i="223" s="1"/>
  <c r="D60" i="223"/>
  <c r="D64" i="223"/>
  <c r="E64" i="223" s="1"/>
  <c r="E59" i="223"/>
  <c r="D59" i="223"/>
  <c r="E63" i="223"/>
  <c r="G63" i="223" s="1"/>
  <c r="G65" i="223" l="1"/>
  <c r="H65" i="223"/>
  <c r="I65" i="223" s="1"/>
  <c r="G64" i="223"/>
  <c r="H64" i="223"/>
  <c r="I64" i="223" s="1"/>
  <c r="E46" i="182"/>
  <c r="D64" i="182" s="1"/>
  <c r="E64" i="182" s="1"/>
  <c r="J41" i="182"/>
  <c r="J46" i="182" s="1"/>
  <c r="E46" i="214"/>
  <c r="D64" i="214" s="1"/>
  <c r="E64" i="214" s="1"/>
  <c r="J41" i="214"/>
  <c r="J46" i="214" s="1"/>
  <c r="R20" i="92"/>
  <c r="J37" i="92"/>
  <c r="E41" i="92" s="1"/>
  <c r="D63" i="208"/>
  <c r="E63" i="208" s="1"/>
  <c r="D62" i="208"/>
  <c r="E62" i="208" s="1"/>
  <c r="J62" i="208" s="1"/>
  <c r="K62" i="208" s="1"/>
  <c r="D60" i="208"/>
  <c r="E60" i="208" s="1"/>
  <c r="D65" i="208"/>
  <c r="E65" i="208" s="1"/>
  <c r="E64" i="208"/>
  <c r="J64" i="208" s="1"/>
  <c r="K64" i="208" s="1"/>
  <c r="D59" i="208"/>
  <c r="E59" i="208" s="1"/>
  <c r="D65" i="225"/>
  <c r="E65" i="225" s="1"/>
  <c r="D64" i="225"/>
  <c r="E64" i="225" s="1"/>
  <c r="D59" i="225"/>
  <c r="E59" i="225" s="1"/>
  <c r="D60" i="225"/>
  <c r="E60" i="225" s="1"/>
  <c r="D63" i="225"/>
  <c r="E63" i="225" s="1"/>
  <c r="G63" i="225" s="1"/>
  <c r="J40" i="118"/>
  <c r="J45" i="118" s="1"/>
  <c r="E45" i="118"/>
  <c r="J41" i="183"/>
  <c r="J46" i="183" s="1"/>
  <c r="E61" i="183" s="1"/>
  <c r="E46" i="183"/>
  <c r="D64" i="183" s="1"/>
  <c r="E64" i="183" s="1"/>
  <c r="J39" i="99"/>
  <c r="J44" i="99" s="1"/>
  <c r="E60" i="99" s="1"/>
  <c r="E44" i="99"/>
  <c r="D66" i="110"/>
  <c r="E66" i="110" s="1"/>
  <c r="D61" i="110"/>
  <c r="D60" i="110"/>
  <c r="E60" i="110" s="1"/>
  <c r="I60" i="110" s="1"/>
  <c r="J60" i="110" s="1"/>
  <c r="D64" i="110"/>
  <c r="E64" i="110" s="1"/>
  <c r="G64" i="110" s="1"/>
  <c r="H64" i="110" s="1"/>
  <c r="D65" i="110"/>
  <c r="E65" i="110" s="1"/>
  <c r="G65" i="110" s="1"/>
  <c r="H65" i="110" s="1"/>
  <c r="D63" i="113"/>
  <c r="E63" i="113" s="1"/>
  <c r="J63" i="113" s="1"/>
  <c r="L63" i="113" s="1"/>
  <c r="D65" i="113"/>
  <c r="E65" i="113" s="1"/>
  <c r="D64" i="113"/>
  <c r="E64" i="113" s="1"/>
  <c r="D61" i="113"/>
  <c r="E61" i="113" s="1"/>
  <c r="E66" i="113"/>
  <c r="D60" i="113"/>
  <c r="E60" i="113" s="1"/>
  <c r="D59" i="111"/>
  <c r="E59" i="111" s="1"/>
  <c r="D65" i="111"/>
  <c r="E65" i="111" s="1"/>
  <c r="D60" i="111"/>
  <c r="E60" i="111" s="1"/>
  <c r="D63" i="111"/>
  <c r="E63" i="111" s="1"/>
  <c r="D64" i="111"/>
  <c r="E64" i="111" s="1"/>
  <c r="E39" i="124" l="1"/>
  <c r="E38" i="125"/>
  <c r="J38" i="125" s="1"/>
  <c r="D66" i="183"/>
  <c r="E66" i="183" s="1"/>
  <c r="D61" i="183"/>
  <c r="D65" i="183"/>
  <c r="E65" i="183" s="1"/>
  <c r="D62" i="183"/>
  <c r="E62" i="183" s="1"/>
  <c r="G61" i="113"/>
  <c r="E13" i="125"/>
  <c r="J13" i="125" s="1"/>
  <c r="E13" i="124"/>
  <c r="D30" i="125"/>
  <c r="I30" i="125" s="1"/>
  <c r="D31" i="124"/>
  <c r="D16" i="125"/>
  <c r="I16" i="125" s="1"/>
  <c r="D16" i="124"/>
  <c r="G38" i="125"/>
  <c r="L38" i="125" s="1"/>
  <c r="G39" i="124"/>
  <c r="F13" i="124"/>
  <c r="F13" i="125"/>
  <c r="K13" i="125" s="1"/>
  <c r="G64" i="113"/>
  <c r="H64" i="113" s="1"/>
  <c r="D63" i="99"/>
  <c r="E63" i="99" s="1"/>
  <c r="G63" i="99" s="1"/>
  <c r="H63" i="99" s="1"/>
  <c r="D65" i="99"/>
  <c r="E65" i="99" s="1"/>
  <c r="D64" i="99"/>
  <c r="E64" i="99" s="1"/>
  <c r="D60" i="99"/>
  <c r="D59" i="99"/>
  <c r="E59" i="99" s="1"/>
  <c r="G64" i="208"/>
  <c r="H64" i="208" s="1"/>
  <c r="G16" i="124"/>
  <c r="G16" i="125"/>
  <c r="L16" i="125" s="1"/>
  <c r="G63" i="208"/>
  <c r="H63" i="208" s="1"/>
  <c r="F16" i="125"/>
  <c r="K16" i="125" s="1"/>
  <c r="F16" i="124"/>
  <c r="D62" i="214"/>
  <c r="E62" i="214" s="1"/>
  <c r="D65" i="214"/>
  <c r="E65" i="214" s="1"/>
  <c r="D66" i="214"/>
  <c r="E66" i="214" s="1"/>
  <c r="D61" i="214"/>
  <c r="E61" i="214" s="1"/>
  <c r="D38" i="125"/>
  <c r="I38" i="125" s="1"/>
  <c r="D39" i="124"/>
  <c r="D61" i="118"/>
  <c r="E61" i="118" s="1"/>
  <c r="D60" i="118"/>
  <c r="E60" i="118" s="1"/>
  <c r="D22" i="124" s="1"/>
  <c r="D65" i="118"/>
  <c r="E65" i="118" s="1"/>
  <c r="D64" i="118"/>
  <c r="E64" i="118" s="1"/>
  <c r="G64" i="118" s="1"/>
  <c r="H64" i="118" s="1"/>
  <c r="F38" i="125"/>
  <c r="K38" i="125" s="1"/>
  <c r="F39" i="124"/>
  <c r="G60" i="113"/>
  <c r="D13" i="124"/>
  <c r="D13" i="125"/>
  <c r="I13" i="125" s="1"/>
  <c r="J65" i="113"/>
  <c r="L65" i="113" s="1"/>
  <c r="G65" i="113"/>
  <c r="H65" i="113" s="1"/>
  <c r="G13" i="125"/>
  <c r="L13" i="125" s="1"/>
  <c r="G13" i="124"/>
  <c r="E24" i="125"/>
  <c r="J24" i="125" s="1"/>
  <c r="E25" i="124"/>
  <c r="H16" i="124"/>
  <c r="H16" i="125"/>
  <c r="M16" i="125" s="1"/>
  <c r="G65" i="208"/>
  <c r="H65" i="208" s="1"/>
  <c r="J65" i="208" s="1"/>
  <c r="K65" i="208" s="1"/>
  <c r="E46" i="92"/>
  <c r="J41" i="92"/>
  <c r="J46" i="92" s="1"/>
  <c r="G66" i="113"/>
  <c r="H66" i="113" s="1"/>
  <c r="J66" i="113"/>
  <c r="L66" i="113" s="1"/>
  <c r="E16" i="124"/>
  <c r="E16" i="125"/>
  <c r="J16" i="125" s="1"/>
  <c r="D61" i="182"/>
  <c r="E61" i="182" s="1"/>
  <c r="D62" i="182"/>
  <c r="E62" i="182" s="1"/>
  <c r="D66" i="182"/>
  <c r="E66" i="182" s="1"/>
  <c r="D65" i="182"/>
  <c r="E65" i="182" s="1"/>
  <c r="E31" i="125" l="1"/>
  <c r="J31" i="125" s="1"/>
  <c r="E32" i="124"/>
  <c r="D29" i="125"/>
  <c r="I29" i="125" s="1"/>
  <c r="D30" i="124"/>
  <c r="G61" i="214"/>
  <c r="D31" i="125"/>
  <c r="I31" i="125" s="1"/>
  <c r="G61" i="182"/>
  <c r="D32" i="124"/>
  <c r="E21" i="125"/>
  <c r="J21" i="125" s="1"/>
  <c r="E22" i="124"/>
  <c r="G29" i="125"/>
  <c r="L29" i="125" s="1"/>
  <c r="G30" i="124"/>
  <c r="G66" i="214"/>
  <c r="H66" i="214" s="1"/>
  <c r="G65" i="99"/>
  <c r="H65" i="99" s="1"/>
  <c r="H25" i="124"/>
  <c r="H24" i="125"/>
  <c r="M24" i="125" s="1"/>
  <c r="E62" i="92"/>
  <c r="E64" i="92"/>
  <c r="E65" i="92"/>
  <c r="E61" i="92"/>
  <c r="D36" i="124" s="1"/>
  <c r="E63" i="92"/>
  <c r="F29" i="125"/>
  <c r="K29" i="125" s="1"/>
  <c r="G65" i="214"/>
  <c r="H65" i="214" s="1"/>
  <c r="F30" i="124"/>
  <c r="D25" i="124"/>
  <c r="D24" i="125"/>
  <c r="I24" i="125" s="1"/>
  <c r="G31" i="124"/>
  <c r="G30" i="125"/>
  <c r="L30" i="125" s="1"/>
  <c r="G66" i="183"/>
  <c r="H66" i="183" s="1"/>
  <c r="F31" i="125"/>
  <c r="K31" i="125" s="1"/>
  <c r="G65" i="182"/>
  <c r="H65" i="182" s="1"/>
  <c r="F32" i="124"/>
  <c r="G31" i="125"/>
  <c r="L31" i="125" s="1"/>
  <c r="G32" i="124"/>
  <c r="G66" i="182"/>
  <c r="H66" i="182" s="1"/>
  <c r="D66" i="92"/>
  <c r="E66" i="92" s="1"/>
  <c r="D65" i="92"/>
  <c r="D63" i="92"/>
  <c r="D64" i="92"/>
  <c r="D61" i="92"/>
  <c r="D67" i="92"/>
  <c r="E67" i="92" s="1"/>
  <c r="G67" i="92" s="1"/>
  <c r="H67" i="92" s="1"/>
  <c r="D62" i="92"/>
  <c r="G22" i="124"/>
  <c r="G65" i="118"/>
  <c r="H65" i="118" s="1"/>
  <c r="G21" i="125"/>
  <c r="L21" i="125" s="1"/>
  <c r="E29" i="125"/>
  <c r="J29" i="125" s="1"/>
  <c r="E30" i="124"/>
  <c r="E30" i="125"/>
  <c r="J30" i="125" s="1"/>
  <c r="E31" i="124"/>
  <c r="G64" i="99"/>
  <c r="H64" i="99" s="1"/>
  <c r="G24" i="125"/>
  <c r="L24" i="125" s="1"/>
  <c r="G25" i="124"/>
  <c r="F30" i="125"/>
  <c r="K30" i="125" s="1"/>
  <c r="F31" i="124"/>
  <c r="G65" i="183"/>
  <c r="H65" i="183" s="1"/>
  <c r="E35" i="125" l="1"/>
  <c r="E36" i="124"/>
  <c r="G36" i="124"/>
  <c r="G66" i="92"/>
  <c r="H66" i="92" s="1"/>
  <c r="G35" i="125"/>
  <c r="L35" i="125" s="1"/>
  <c r="F35" i="125"/>
  <c r="K35" i="125" s="1"/>
  <c r="G65" i="92"/>
  <c r="H65" i="92" s="1"/>
  <c r="F36" i="124"/>
  <c r="J35" i="125" l="1"/>
  <c r="J34" i="125"/>
</calcChain>
</file>

<file path=xl/sharedStrings.xml><?xml version="1.0" encoding="utf-8"?>
<sst xmlns="http://schemas.openxmlformats.org/spreadsheetml/2006/main" count="5519" uniqueCount="613">
  <si>
    <t>CLIENTE</t>
  </si>
  <si>
    <t>TOTAL</t>
  </si>
  <si>
    <t>DENSIDAD</t>
  </si>
  <si>
    <t>PRODUTO</t>
  </si>
  <si>
    <t>Materia Prima Produto</t>
  </si>
  <si>
    <t>Quantidad</t>
  </si>
  <si>
    <t>PREÇO</t>
  </si>
  <si>
    <t>Dados do Patrôes</t>
  </si>
  <si>
    <t>DADOS DO COSTEIO</t>
  </si>
  <si>
    <t>DADOS DA VENDA</t>
  </si>
  <si>
    <t>Custo/kilo/Produto</t>
  </si>
  <si>
    <t>Custo/Kilo/Maquila</t>
  </si>
  <si>
    <t>Total Custos /kilo</t>
  </si>
  <si>
    <t>Granel</t>
  </si>
  <si>
    <t>Custo/kilo/Transporte</t>
  </si>
  <si>
    <t>KILOS</t>
  </si>
  <si>
    <t>Custo/Litro/Produto</t>
  </si>
  <si>
    <t>Custo/Litro/Maquila</t>
  </si>
  <si>
    <t>Custo/Litro/Transporte</t>
  </si>
  <si>
    <t>Total Custos /Litros</t>
  </si>
  <si>
    <t>Margem</t>
  </si>
  <si>
    <t>%</t>
  </si>
  <si>
    <t>EMBALAGEM</t>
  </si>
  <si>
    <t xml:space="preserve">Granel </t>
  </si>
  <si>
    <t>Kilo</t>
  </si>
  <si>
    <t>PREÇOS DE VENDA</t>
  </si>
  <si>
    <t>1.000 Litros</t>
  </si>
  <si>
    <t>Acido Citrico</t>
  </si>
  <si>
    <t>Molbdato de Sodio</t>
  </si>
  <si>
    <t>COSTEIO</t>
  </si>
  <si>
    <t>Acido Borico</t>
  </si>
  <si>
    <t>Acido Nitrico</t>
  </si>
  <si>
    <t>Caracteristica basicas</t>
  </si>
  <si>
    <t xml:space="preserve">                COMENTARO</t>
  </si>
  <si>
    <t>OK</t>
  </si>
  <si>
    <t>Polvo</t>
  </si>
  <si>
    <t>Molibdato de Amonio o Sodio</t>
  </si>
  <si>
    <t>Nitrato de Calcio Liquido</t>
  </si>
  <si>
    <t>Nitrato de Magnesio Liquido</t>
  </si>
  <si>
    <t>BRENNTAG</t>
  </si>
  <si>
    <t>Nitrato de Potasio</t>
  </si>
  <si>
    <t xml:space="preserve">Potasa Caustica </t>
  </si>
  <si>
    <t>Outros  Custos</t>
  </si>
  <si>
    <t>Total</t>
  </si>
  <si>
    <t>Nitrato de Mn</t>
  </si>
  <si>
    <t>12% Mn p/p</t>
  </si>
  <si>
    <t>DATA</t>
  </si>
  <si>
    <t>Cultura</t>
  </si>
  <si>
    <t>Kilogramas</t>
  </si>
  <si>
    <t>Agua</t>
  </si>
  <si>
    <t>25 Ltr</t>
  </si>
  <si>
    <t>River</t>
  </si>
  <si>
    <t xml:space="preserve">Cloreto Ferrico Sol </t>
  </si>
  <si>
    <t>Cloreto de Mg sol</t>
  </si>
  <si>
    <t>Cloreto de Mn sol</t>
  </si>
  <si>
    <t>Cloreto de Cu sol</t>
  </si>
  <si>
    <t>Cloreto de Zinco Sol</t>
  </si>
  <si>
    <t>Cloreto de Calcio  Solido</t>
  </si>
  <si>
    <t>Resimapi</t>
  </si>
  <si>
    <t>5 Ltr</t>
  </si>
  <si>
    <t>1000 Ltr</t>
  </si>
  <si>
    <t>1 ltr</t>
  </si>
  <si>
    <t>Valor 1000  /Litro  Emabalagem</t>
  </si>
  <si>
    <t>Valor 200 /Litro  Emabalagem</t>
  </si>
  <si>
    <t>EMBALGEM</t>
  </si>
  <si>
    <t>$ R/KILO</t>
  </si>
  <si>
    <t>$ R/ LITRO</t>
  </si>
  <si>
    <t>Litros</t>
  </si>
  <si>
    <t>DTPA Pentasodico 40%</t>
  </si>
  <si>
    <t>P2O5</t>
  </si>
  <si>
    <t xml:space="preserve">Cloreto Ferrico Sol al 40% </t>
  </si>
  <si>
    <t xml:space="preserve">Nitrato de Amonio Liquido </t>
  </si>
  <si>
    <t>Reais $</t>
  </si>
  <si>
    <t>MAP</t>
  </si>
  <si>
    <t xml:space="preserve">Merma </t>
  </si>
  <si>
    <t>Valor Granel</t>
  </si>
  <si>
    <t>Valor embalage/ 50 litros</t>
  </si>
  <si>
    <t>Reais / Kilo</t>
  </si>
  <si>
    <t>Reais /Litro</t>
  </si>
  <si>
    <t>Custo Merma / Kilo</t>
  </si>
  <si>
    <t>Custo Litro/Mermas</t>
  </si>
  <si>
    <t>Custo Litro/ outros</t>
  </si>
  <si>
    <t>50 Ltr</t>
  </si>
  <si>
    <t>Acido Fosforico tecnico 60%</t>
  </si>
  <si>
    <t>Reais $ Kilos</t>
  </si>
  <si>
    <t>Reais $ litro</t>
  </si>
  <si>
    <t>reciclada preta</t>
  </si>
  <si>
    <t>Tipo</t>
  </si>
  <si>
    <t>Embalagem</t>
  </si>
  <si>
    <t>Branco Leit</t>
  </si>
  <si>
    <t>Preta Recic</t>
  </si>
  <si>
    <t>Mudas</t>
  </si>
  <si>
    <t>25 Litros  reciclada Preta BT</t>
  </si>
  <si>
    <t>Contentor</t>
  </si>
  <si>
    <t>Branca Leit</t>
  </si>
  <si>
    <t>Branc Leit.</t>
  </si>
  <si>
    <t>BV</t>
  </si>
  <si>
    <t>Valor 5 Litro  Emabalagem LM</t>
  </si>
  <si>
    <t>Valor 1 Litro  Emabalagem MM</t>
  </si>
  <si>
    <t>LM</t>
  </si>
  <si>
    <t>MM</t>
  </si>
  <si>
    <t>MÊS</t>
  </si>
  <si>
    <t>13-0-46</t>
  </si>
  <si>
    <t>p/v</t>
  </si>
  <si>
    <t>Total 1000 litros</t>
  </si>
  <si>
    <t>B</t>
  </si>
  <si>
    <t>Ca</t>
  </si>
  <si>
    <t>Mg</t>
  </si>
  <si>
    <t>Mn</t>
  </si>
  <si>
    <t>Zn</t>
  </si>
  <si>
    <t>K2O</t>
  </si>
  <si>
    <t>Cu</t>
  </si>
  <si>
    <t>Fe</t>
  </si>
  <si>
    <t>UREIA</t>
  </si>
  <si>
    <t>Registro MAPA</t>
  </si>
  <si>
    <t>Test Brenfeed</t>
  </si>
  <si>
    <t>Produção</t>
  </si>
  <si>
    <t>Kilos</t>
  </si>
  <si>
    <t>Liquido</t>
  </si>
  <si>
    <t>Peso/Peso</t>
  </si>
  <si>
    <t>SP-80319-10067-5</t>
  </si>
  <si>
    <t>Gr/L</t>
  </si>
  <si>
    <t>Mó</t>
  </si>
  <si>
    <t>1.000 Kilos</t>
  </si>
  <si>
    <t>Elementos</t>
  </si>
  <si>
    <t>N-Total</t>
  </si>
  <si>
    <t>Potasa Caustica en Escamas 86 %</t>
  </si>
  <si>
    <t>Nitrato de Calcio liquido  (11 % Ca)</t>
  </si>
  <si>
    <t>Nitrato de Magnesio liquido (7% Mg) liquido</t>
  </si>
  <si>
    <t>Nitrato de Potasio 13-0-46 po</t>
  </si>
  <si>
    <t>Cloreto de Cu 14% liquido</t>
  </si>
  <si>
    <t>Acido Fosforico Tecnico 60% liquido</t>
  </si>
  <si>
    <t>Cloreto de Managanes (14 %) Liquido</t>
  </si>
  <si>
    <t xml:space="preserve">Cloreto de Zinco  Zn (21 %) Liquido </t>
  </si>
  <si>
    <t>Plantas 100</t>
  </si>
  <si>
    <t>Original</t>
  </si>
  <si>
    <t>Codigo Interno</t>
  </si>
  <si>
    <t>FOB São Carlos</t>
  </si>
  <si>
    <t>Cloreto de Calcio em Po 27 % Ca</t>
  </si>
  <si>
    <t>Cloreto de Potasio 60 &amp;</t>
  </si>
  <si>
    <t>Matérias primas para a produçao de liquidos e especialidades Nutriflora</t>
  </si>
  <si>
    <t>17 % B</t>
  </si>
  <si>
    <t xml:space="preserve">Nitrato de Zinc </t>
  </si>
  <si>
    <t>Nitrato de Manganes liquido 12 % Bren</t>
  </si>
  <si>
    <t>Nitrato de Zinco Liquido 15 % Bren</t>
  </si>
  <si>
    <t>Cloreto de Potassio liquido 15 % Bunge</t>
  </si>
  <si>
    <t>Cloreto de Calcio liquido River 14 %</t>
  </si>
  <si>
    <t>Cloreto de Potasio 60 % Solido</t>
  </si>
  <si>
    <t>Custo São Carlos</t>
  </si>
  <si>
    <t>Contentor Incluido</t>
  </si>
  <si>
    <t>Nitrato de Mn  12 % Liquido</t>
  </si>
  <si>
    <t>Nitrato de Zn 15 % Liquido</t>
  </si>
  <si>
    <t>Alvo</t>
  </si>
  <si>
    <t>ALVO</t>
  </si>
  <si>
    <t>Elemento</t>
  </si>
  <si>
    <t>Cloreto de Calcio SOLUCION</t>
  </si>
  <si>
    <t>Agraria</t>
  </si>
  <si>
    <t>Base Q</t>
  </si>
  <si>
    <t>Preços</t>
  </si>
  <si>
    <t>Foliar</t>
  </si>
  <si>
    <t>MEA (monoetalonamina)</t>
  </si>
  <si>
    <t>Liquida</t>
  </si>
  <si>
    <t>SP-80319-10163-3</t>
  </si>
  <si>
    <t xml:space="preserve">MELAÇO EM PO PECUARIO </t>
  </si>
  <si>
    <t>INDUMEL</t>
  </si>
  <si>
    <t>Cloreto de Potassio  Kcl em Po</t>
  </si>
  <si>
    <t>Cloreto de potassio Liquido</t>
  </si>
  <si>
    <t>Potasa Caustica en Escamas 90 %</t>
  </si>
  <si>
    <t>Cloreto de Potasio Liquido 15 %</t>
  </si>
  <si>
    <t>6.02</t>
  </si>
  <si>
    <t>Cloreto de Potasio 15%</t>
  </si>
  <si>
    <t>BASE DADOS SISTEMA AMAZON AGROSCIENCES</t>
  </si>
  <si>
    <t>Ureia</t>
  </si>
  <si>
    <t>Antiespumante</t>
  </si>
  <si>
    <t>acido Nitrico</t>
  </si>
  <si>
    <t>Biomix</t>
  </si>
  <si>
    <t>antiespumante</t>
  </si>
  <si>
    <t>00-00-45</t>
  </si>
  <si>
    <t>OURO PRETO 18%</t>
  </si>
  <si>
    <t>PLANTA 100 NOVA</t>
  </si>
  <si>
    <t>ano</t>
  </si>
  <si>
    <t>18% C O</t>
  </si>
  <si>
    <t>AMAZON</t>
  </si>
  <si>
    <t>Acido Nitrico 11.8 N%</t>
  </si>
  <si>
    <t>Melaço em po</t>
  </si>
  <si>
    <t>FUEL BLACK 20 %</t>
  </si>
  <si>
    <t>CITRUS 100</t>
  </si>
  <si>
    <t>BORO LIQUIDO 10%</t>
  </si>
  <si>
    <t>10% B</t>
  </si>
  <si>
    <t>BT* embalagem + rotulo</t>
  </si>
  <si>
    <t>EMBALAGE</t>
  </si>
  <si>
    <t>Acido Fosforoso 85%</t>
  </si>
  <si>
    <t>85% P205</t>
  </si>
  <si>
    <t>1.30</t>
  </si>
  <si>
    <t>contentor para exportação</t>
  </si>
  <si>
    <t>Acido Nitrico N 11%</t>
  </si>
  <si>
    <t>VARIAS</t>
  </si>
  <si>
    <t>Acidos Fulvicos</t>
  </si>
  <si>
    <t>Liquidos</t>
  </si>
  <si>
    <t>Bola</t>
  </si>
  <si>
    <t>Acido Fosforoso</t>
  </si>
  <si>
    <t>varias</t>
  </si>
  <si>
    <t>VARIOS</t>
  </si>
  <si>
    <t>MAP P2O5 60% N 11%</t>
  </si>
  <si>
    <t>30% N</t>
  </si>
  <si>
    <t>EDTA  Versene 100</t>
  </si>
  <si>
    <t>Carbonato de Potassio</t>
  </si>
  <si>
    <t>Carbonato de Calcio</t>
  </si>
  <si>
    <t>Mg9,5%  11,8% S</t>
  </si>
  <si>
    <t>Zn 35%  S 17%</t>
  </si>
  <si>
    <t>Sulfato de Cu pentahidratado</t>
  </si>
  <si>
    <t>maquila</t>
  </si>
  <si>
    <t>G.R</t>
  </si>
  <si>
    <t>LIQUID K</t>
  </si>
  <si>
    <t>NITREX</t>
  </si>
  <si>
    <t xml:space="preserve">Soamente Prencher en cor </t>
  </si>
  <si>
    <t>Numero</t>
  </si>
  <si>
    <t>São Carlos</t>
  </si>
  <si>
    <t>MARCAS PROPRIAS</t>
  </si>
  <si>
    <t>inserir % venda</t>
  </si>
  <si>
    <t>Distribuidor</t>
  </si>
  <si>
    <t>Nome Marca</t>
  </si>
  <si>
    <t>Codigo Da Marca</t>
  </si>
  <si>
    <t>PLANTA 100</t>
  </si>
  <si>
    <t>EQUILIBRIO</t>
  </si>
  <si>
    <t>L</t>
  </si>
  <si>
    <t>1000 L</t>
  </si>
  <si>
    <t>5 L</t>
  </si>
  <si>
    <t>1 L</t>
  </si>
  <si>
    <t>OURO PRETO PLUS</t>
  </si>
  <si>
    <t>ORGANOMINERAIS</t>
  </si>
  <si>
    <t>Transporte</t>
  </si>
  <si>
    <t>Base</t>
  </si>
  <si>
    <t>Potasa Caustica en Escamas</t>
  </si>
  <si>
    <t>Ureia 46%</t>
  </si>
  <si>
    <t>Sulfato de Zinco Monohidratado</t>
  </si>
  <si>
    <t>Sulfato Ferroso 20%</t>
  </si>
  <si>
    <t>Sulfato de Cobre Pentahidratado</t>
  </si>
  <si>
    <t>Total para 1.000 Litros</t>
  </si>
  <si>
    <t>ORQUIDEAS E FLORES</t>
  </si>
  <si>
    <t>EDTA</t>
  </si>
  <si>
    <t>FERT CALCIO</t>
  </si>
  <si>
    <t>Acido Fosforico</t>
  </si>
  <si>
    <t>Nitrato de Ca 12%</t>
  </si>
  <si>
    <t>Nitrato de Mn 12%</t>
  </si>
  <si>
    <t>Potassa caustica</t>
  </si>
  <si>
    <t>Nitrato de Zn 15%</t>
  </si>
  <si>
    <t>MARGEN</t>
  </si>
  <si>
    <t>FUELBLACK</t>
  </si>
  <si>
    <t>Mn 30%  S17%</t>
  </si>
  <si>
    <t>Cu 25%   S 12,0 %</t>
  </si>
  <si>
    <t>CALCIUM 14</t>
  </si>
  <si>
    <t>NITRO K ORGANICO</t>
  </si>
  <si>
    <t>Amazon</t>
  </si>
  <si>
    <t>TABELA</t>
  </si>
  <si>
    <t>MARGEM</t>
  </si>
  <si>
    <t>A</t>
  </si>
  <si>
    <t>C</t>
  </si>
  <si>
    <t xml:space="preserve">TABELA </t>
  </si>
  <si>
    <t>MARGEM %</t>
  </si>
  <si>
    <t>MARGEM%</t>
  </si>
  <si>
    <t>FUEL BLACK</t>
  </si>
  <si>
    <t>RADIX 2-10</t>
  </si>
  <si>
    <t>TOTAL 5</t>
  </si>
  <si>
    <t>ni</t>
  </si>
  <si>
    <t>Valor 20Litro  Emabalagem</t>
  </si>
  <si>
    <t>HIDROPONIA</t>
  </si>
  <si>
    <t>Acido citrico</t>
  </si>
  <si>
    <t>Nitrato de Zn</t>
  </si>
  <si>
    <t>HIDROPONIC 100</t>
  </si>
  <si>
    <t>ok</t>
  </si>
  <si>
    <t>Cloreto de Ca 27,5%</t>
  </si>
  <si>
    <t>Cloreto de Ca 27,5</t>
  </si>
  <si>
    <t>Cloreto de Potasio 15,5%</t>
  </si>
  <si>
    <t>EDTA liquido</t>
  </si>
  <si>
    <t>Nitrato de Mn Liquido</t>
  </si>
  <si>
    <t>Nitrato de Ca  11%</t>
  </si>
  <si>
    <t>Nitrato Ca 11%</t>
  </si>
  <si>
    <t>Anastasio</t>
  </si>
  <si>
    <t>Acido Fosforico Tecnico 61,5%</t>
  </si>
  <si>
    <t>Nitrato de Magnesio liquido (5% Mg)</t>
  </si>
  <si>
    <t>Nitrato de Calcio liquido  (11% Ca) 8% N</t>
  </si>
  <si>
    <t>Cloreto de Potassio 15,5%</t>
  </si>
  <si>
    <t>Sulfato de Manganes Monohidratado 30%</t>
  </si>
  <si>
    <t xml:space="preserve">    OK</t>
  </si>
  <si>
    <t>Lignosulfonato</t>
  </si>
  <si>
    <t>Nitrato de Amonio Liquido</t>
  </si>
  <si>
    <t>Lignosulfonatos</t>
  </si>
  <si>
    <t>RADIX +4% CO</t>
  </si>
  <si>
    <t>Cloreto de Magnesio solução</t>
  </si>
  <si>
    <t>Glicerina</t>
  </si>
  <si>
    <t>nota: bombona 25 L Jorpan</t>
  </si>
  <si>
    <t>2016 bombonas R$ 12,7075 c/u</t>
  </si>
  <si>
    <t>PREÇOS FOB SÃO CARLOS</t>
  </si>
  <si>
    <t>DESTINO</t>
  </si>
  <si>
    <t>MG</t>
  </si>
  <si>
    <t>SP</t>
  </si>
  <si>
    <t>PE</t>
  </si>
  <si>
    <t>25 L P</t>
  </si>
  <si>
    <t xml:space="preserve">       5 L</t>
  </si>
  <si>
    <t>ICMS</t>
  </si>
  <si>
    <t xml:space="preserve">MG </t>
  </si>
  <si>
    <t>Goma Xantana</t>
  </si>
  <si>
    <t>N6% Mg5%</t>
  </si>
  <si>
    <t>SOB ENCOOMENDA</t>
  </si>
  <si>
    <t>Nitrato de Calcio solido</t>
  </si>
  <si>
    <t>Yara</t>
  </si>
  <si>
    <t>60 % K2O Blanco soluble</t>
  </si>
  <si>
    <t>Cloreto de Potasio 60%</t>
  </si>
  <si>
    <t xml:space="preserve">Sulfato de Magnesio </t>
  </si>
  <si>
    <t>S</t>
  </si>
  <si>
    <t>Sulfato de Mg 9,5% 11,8%S</t>
  </si>
  <si>
    <t>N8,97% Ca11%</t>
  </si>
  <si>
    <t>Nitrato de Ca Amazon</t>
  </si>
  <si>
    <t>Nitrato de Magnesio Yara</t>
  </si>
  <si>
    <t>BASE</t>
  </si>
  <si>
    <t>Oxido de Magnesio 94%</t>
  </si>
  <si>
    <t>Ibar</t>
  </si>
  <si>
    <t>FERT MAG</t>
  </si>
  <si>
    <t>Test Nutriflora</t>
  </si>
  <si>
    <t>p/p</t>
  </si>
  <si>
    <t>Coreana 90 %  75,50 K2O</t>
  </si>
  <si>
    <t>foliar completo</t>
  </si>
  <si>
    <t>Fator margen para granel</t>
  </si>
  <si>
    <t>Margem para granel</t>
  </si>
  <si>
    <t>MgO</t>
  </si>
  <si>
    <t>AQUADOWN</t>
  </si>
  <si>
    <t>Acido Fosforico Tecnico 61,50% liquido</t>
  </si>
  <si>
    <t>Cloreto de Mn  14 % Liquido</t>
  </si>
  <si>
    <t>Cloreto de Zn 21 % Liquido</t>
  </si>
  <si>
    <t>Cloreto de Calcio em Po 27 %</t>
  </si>
  <si>
    <t>Test Amazon Agrosciences</t>
  </si>
  <si>
    <t>Acido fosforoso</t>
  </si>
  <si>
    <t>ACIDO NITRICO 11.8%</t>
  </si>
  <si>
    <t>ACIDO NITRICO</t>
  </si>
  <si>
    <t>SP-80396 10011-1</t>
  </si>
  <si>
    <t>Nitrato Ferrico N5% Fe¨%</t>
  </si>
  <si>
    <t>N5% Fe 6%</t>
  </si>
  <si>
    <t xml:space="preserve">NITRATO DE AMONIO </t>
  </si>
  <si>
    <t>YARA</t>
  </si>
  <si>
    <t>20 % C O</t>
  </si>
  <si>
    <t>MAGNESIO 5%</t>
  </si>
  <si>
    <t>Po de Ferro Bombril</t>
  </si>
  <si>
    <t>Bombril</t>
  </si>
  <si>
    <t>1000 litros</t>
  </si>
  <si>
    <t>Varias</t>
  </si>
  <si>
    <t>Total para 1.000 kilos</t>
  </si>
  <si>
    <t>Acido Formico</t>
  </si>
  <si>
    <t>frete 0,6</t>
  </si>
  <si>
    <t xml:space="preserve">Sulfato de Cobalto </t>
  </si>
  <si>
    <t>Anastacio</t>
  </si>
  <si>
    <t>sem frete</t>
  </si>
  <si>
    <t>frete 0,50</t>
  </si>
  <si>
    <t>BT* Gold pack 19/08/15</t>
  </si>
  <si>
    <t>AGRARIA</t>
  </si>
  <si>
    <t>Sulfato de Zinco Hepta</t>
  </si>
  <si>
    <t>Zn 20% S 10%</t>
  </si>
  <si>
    <t>Sulfato de Ferro Monohidratado</t>
  </si>
  <si>
    <t>S 16% Fe 28%</t>
  </si>
  <si>
    <t>FASE 2P</t>
  </si>
  <si>
    <t xml:space="preserve">Test </t>
  </si>
  <si>
    <t>FASE 2CA</t>
  </si>
  <si>
    <t>????</t>
  </si>
  <si>
    <t>ANASTACIO</t>
  </si>
  <si>
    <t>Hidroxido de Amonio 25% EPA</t>
  </si>
  <si>
    <t>N 10%</t>
  </si>
  <si>
    <t>EPA</t>
  </si>
  <si>
    <t>Acido Fosforico tecnico 70%</t>
  </si>
  <si>
    <t>70% P2O5</t>
  </si>
  <si>
    <t>caixa</t>
  </si>
  <si>
    <t>Caiixa</t>
  </si>
  <si>
    <t>Preta reciclada</t>
  </si>
  <si>
    <t>SOB ENCOMENDA</t>
  </si>
  <si>
    <t>Sulfato de Mn MONO</t>
  </si>
  <si>
    <t>Sulfato de Zn MONO</t>
  </si>
  <si>
    <t>Fe 19%  S 11%</t>
  </si>
  <si>
    <t>Sulfato de Niquel</t>
  </si>
  <si>
    <t>FRETE INCLUIDO</t>
  </si>
  <si>
    <t>25 L</t>
  </si>
  <si>
    <t>90 dias</t>
  </si>
  <si>
    <t>120 dias</t>
  </si>
  <si>
    <t>14 ton.</t>
  </si>
  <si>
    <t>preta reciclada</t>
  </si>
  <si>
    <t>branca virgem</t>
  </si>
  <si>
    <t>Branca Virgem</t>
  </si>
  <si>
    <t>Map granulado 11%N 52% P2O5</t>
  </si>
  <si>
    <t>MAP GRANULADO</t>
  </si>
  <si>
    <t>11-52-00%</t>
  </si>
  <si>
    <t>BRANCA VIRGEM</t>
  </si>
  <si>
    <t>POLIFOSFATO 4-30-00</t>
  </si>
  <si>
    <t>Oxido De Zinco</t>
  </si>
  <si>
    <t>Oxido De Mn</t>
  </si>
  <si>
    <t>Algas marinhas Ascophyllum N.</t>
  </si>
  <si>
    <t>Brenntag</t>
  </si>
  <si>
    <t>Acidos Fulvicos Espanha</t>
  </si>
  <si>
    <t>Limeira</t>
  </si>
  <si>
    <t>AQUAMONIA  N 10%</t>
  </si>
  <si>
    <t>DAP CRISTAL</t>
  </si>
  <si>
    <t>SODA CAUSTICA</t>
  </si>
  <si>
    <t xml:space="preserve">ICMS PARANA </t>
  </si>
  <si>
    <t>ICMS PARANA</t>
  </si>
  <si>
    <t>ICMS MG</t>
  </si>
  <si>
    <t>COMPLET MICROS</t>
  </si>
  <si>
    <t>Ac. Fosforico 70%</t>
  </si>
  <si>
    <t xml:space="preserve">Açúcar </t>
  </si>
  <si>
    <t>Sulfato de Ferro Hepta</t>
  </si>
  <si>
    <t>MAP 11-52</t>
  </si>
  <si>
    <t>MAP LIQUIDO</t>
  </si>
  <si>
    <t>ACIDO FOSFORICO</t>
  </si>
  <si>
    <t>1,28Kg</t>
  </si>
  <si>
    <t>Kilo transporte R$0,55 10-12-2015</t>
  </si>
  <si>
    <t>SODA</t>
  </si>
  <si>
    <t>POLIFOSFATO 6-24</t>
  </si>
  <si>
    <t>GROWN A30T</t>
  </si>
  <si>
    <t>FRETE</t>
  </si>
  <si>
    <t>POLIFOSFATO 4-30</t>
  </si>
  <si>
    <t>1 L Tp. Valv</t>
  </si>
  <si>
    <t>1 L s/Tp. Valv</t>
  </si>
  <si>
    <t>5 L e 25 L tudo tampa valvulada</t>
  </si>
  <si>
    <t>tampa valvulada</t>
  </si>
  <si>
    <t>Ferrum 6</t>
  </si>
  <si>
    <t>Splendor</t>
  </si>
  <si>
    <t>Nutriflora mix</t>
  </si>
  <si>
    <t>Kicellum 30-20</t>
  </si>
  <si>
    <t>caixas 5 L 3,10</t>
  </si>
  <si>
    <t>4,29 Kg Brennta  setembro 2016</t>
  </si>
  <si>
    <t>caixas 1 L 1,60</t>
  </si>
  <si>
    <t xml:space="preserve">NOTA 16-01-17  DOLAR r$3,2154  </t>
  </si>
  <si>
    <t>MAP Cristalino</t>
  </si>
  <si>
    <t>Multitecnica</t>
  </si>
  <si>
    <t>Mn 60%</t>
  </si>
  <si>
    <t>SOIL POWER</t>
  </si>
  <si>
    <t>5.42</t>
  </si>
  <si>
    <t>L Cimoagro</t>
  </si>
  <si>
    <t>Base Quimica</t>
  </si>
  <si>
    <t>90/120</t>
  </si>
  <si>
    <t>3% 90 +3% 120</t>
  </si>
  <si>
    <t>3% 90+3% 120</t>
  </si>
  <si>
    <t>COMPLET FASE 1</t>
  </si>
  <si>
    <t>Cloreto de Ca liquido</t>
  </si>
  <si>
    <t>custo $8,50</t>
  </si>
  <si>
    <t>MELAÇO LIQUIDO</t>
  </si>
  <si>
    <t>Aminoacidos</t>
  </si>
  <si>
    <t>Melaço liquido</t>
  </si>
  <si>
    <t>Amino acid powder</t>
  </si>
  <si>
    <t>C O</t>
  </si>
  <si>
    <t>AMINO</t>
  </si>
  <si>
    <t>TEORES</t>
  </si>
  <si>
    <t>%P/P</t>
  </si>
  <si>
    <t xml:space="preserve">N </t>
  </si>
  <si>
    <t xml:space="preserve">K2O </t>
  </si>
  <si>
    <t xml:space="preserve">P2O5 </t>
  </si>
  <si>
    <t xml:space="preserve">Ca </t>
  </si>
  <si>
    <t xml:space="preserve">Mg </t>
  </si>
  <si>
    <t>% AMINOA</t>
  </si>
  <si>
    <t>melaço pó</t>
  </si>
  <si>
    <t>Cloreto ferrico</t>
  </si>
  <si>
    <t>acido nitrico</t>
  </si>
  <si>
    <t>AMINO BLACK</t>
  </si>
  <si>
    <t>SOLUMAG</t>
  </si>
  <si>
    <t>CLORETO DE POTASSIO</t>
  </si>
  <si>
    <t>AMINOACIDOS</t>
  </si>
  <si>
    <t>ALGAS</t>
  </si>
  <si>
    <t>RN</t>
  </si>
  <si>
    <t>granel</t>
  </si>
  <si>
    <t>25 L reciclada</t>
  </si>
  <si>
    <t>1 L virgem</t>
  </si>
  <si>
    <t>5 L Virgem</t>
  </si>
  <si>
    <t xml:space="preserve">FUEL BLACK </t>
  </si>
  <si>
    <t xml:space="preserve">FRETE INCLUIDO  ES </t>
  </si>
  <si>
    <t>triple 7</t>
  </si>
  <si>
    <t>PRETA RECICLADA</t>
  </si>
  <si>
    <t>MAP CRISTALINO</t>
  </si>
  <si>
    <t>ORQUIDIUM</t>
  </si>
  <si>
    <t>Acido Fosforico industrial</t>
  </si>
  <si>
    <t>52% P2O5</t>
  </si>
  <si>
    <t>OXIDO DE COBRE</t>
  </si>
  <si>
    <t>JB Quimica</t>
  </si>
  <si>
    <t>agua</t>
  </si>
  <si>
    <t>aminoacidos</t>
  </si>
  <si>
    <t>CUSTO DE FERTILIZANTES MARGEM ZERO</t>
  </si>
  <si>
    <t>GR</t>
  </si>
  <si>
    <t>25L REC</t>
  </si>
  <si>
    <t>FUEL BLACK 18,5%</t>
  </si>
  <si>
    <t>FUEL BLACK POWER</t>
  </si>
  <si>
    <t>VIVIANITA</t>
  </si>
  <si>
    <t>BET7ER</t>
  </si>
  <si>
    <t>NORTHOFOS 4-30</t>
  </si>
  <si>
    <t>UREIA LIQUIDA N 25%</t>
  </si>
  <si>
    <t>COMPLET FASE 2P</t>
  </si>
  <si>
    <t>COMPLET FASE 2 Ca</t>
  </si>
  <si>
    <t>TABELA BASE DE DISTRIBUIDOR</t>
  </si>
  <si>
    <t>% UTILIDADE</t>
  </si>
  <si>
    <t>IMPOSTO %</t>
  </si>
  <si>
    <t>PREÇO A DISTRIBUIDOR</t>
  </si>
  <si>
    <t>PREÇO BASE</t>
  </si>
  <si>
    <t xml:space="preserve">inserir margem % </t>
  </si>
  <si>
    <t>Não mexer</t>
  </si>
  <si>
    <t>Inserir</t>
  </si>
  <si>
    <t>FRETE Kilo</t>
  </si>
  <si>
    <t>LA</t>
  </si>
  <si>
    <t>PHOSKAFER</t>
  </si>
  <si>
    <t>CLORETO DE POTASSIO PÓ</t>
  </si>
  <si>
    <t>Anatacio</t>
  </si>
  <si>
    <t>STARTER</t>
  </si>
  <si>
    <t>BIOFIX</t>
  </si>
  <si>
    <t>Melaço Liquido</t>
  </si>
  <si>
    <t>PRINTER</t>
  </si>
  <si>
    <t>SPRINTER K</t>
  </si>
  <si>
    <t>MAP 4-30 LIQUIDO</t>
  </si>
  <si>
    <t>acido fosforico concentrado</t>
  </si>
  <si>
    <t>aquamonia</t>
  </si>
  <si>
    <t>NORTHOFOS</t>
  </si>
  <si>
    <t>NORTHOFOS 6-24</t>
  </si>
  <si>
    <t>AC NITRICO</t>
  </si>
  <si>
    <t xml:space="preserve">PRODUTORES </t>
  </si>
  <si>
    <t>RADIX ORGANICO</t>
  </si>
  <si>
    <t>melaço liquido</t>
  </si>
  <si>
    <t>DAP PURIFICADO</t>
  </si>
  <si>
    <t>ICMS RN</t>
  </si>
  <si>
    <t>PREÇO FINAL</t>
  </si>
  <si>
    <t>Viveristas</t>
  </si>
  <si>
    <t>Nitrato de Amonio Liquido 21 %</t>
  </si>
  <si>
    <t>Nitrato de Amonio liquido 21 % Bunge</t>
  </si>
  <si>
    <t>0RQUIDIUM</t>
  </si>
  <si>
    <t>Nitrato de Amonio Liquido 21%</t>
  </si>
  <si>
    <t>AGRBRA 374</t>
  </si>
  <si>
    <t xml:space="preserve"> PLANTA 100 NOVA FORMULA</t>
  </si>
  <si>
    <t>NUTRIMAX</t>
  </si>
  <si>
    <t>Mossoró</t>
  </si>
  <si>
    <t>Valor 25 Litro  marrom virgem</t>
  </si>
  <si>
    <t>marrom virgem</t>
  </si>
  <si>
    <t>fert mag</t>
  </si>
  <si>
    <t>starter</t>
  </si>
  <si>
    <t>Nitrex</t>
  </si>
  <si>
    <t>Melaço</t>
  </si>
  <si>
    <t>Marrom Virge,</t>
  </si>
  <si>
    <t>Marrom Virgem</t>
  </si>
  <si>
    <t>Fert Zn</t>
  </si>
  <si>
    <t>FRETE INCLUDO BIOSOJA</t>
  </si>
  <si>
    <t>nitrato de amonio liquido</t>
  </si>
  <si>
    <t>PRODUTORES</t>
  </si>
  <si>
    <t>Cloreto de Potassio 60%</t>
  </si>
  <si>
    <t>Potassa Caustica</t>
  </si>
  <si>
    <t>Algas Marinhas</t>
  </si>
  <si>
    <t>POWER SOIL</t>
  </si>
  <si>
    <t>Cloreto de Ca solido</t>
  </si>
  <si>
    <t>Marron Virgen</t>
  </si>
  <si>
    <t>Esp. Santo Frete incluido</t>
  </si>
  <si>
    <t>Acido fosfoRICO</t>
  </si>
  <si>
    <t>Cloreto de Calcio SOLIDO</t>
  </si>
  <si>
    <t>FUELBLACK POWER</t>
  </si>
  <si>
    <t>Marrom V.</t>
  </si>
  <si>
    <t>MARROM V.</t>
  </si>
  <si>
    <t>25 L Marrom V</t>
  </si>
  <si>
    <t>Calcium 14</t>
  </si>
  <si>
    <t>POWE CROP</t>
  </si>
  <si>
    <t>POWER 12% solo</t>
  </si>
  <si>
    <t>ES +FRETE</t>
  </si>
  <si>
    <t>Marrom V</t>
  </si>
  <si>
    <t>liquid k</t>
  </si>
  <si>
    <t>nitrex</t>
  </si>
  <si>
    <t>ureia</t>
  </si>
  <si>
    <t xml:space="preserve">aminoacidos </t>
  </si>
  <si>
    <t>ICMS Maranhao</t>
  </si>
  <si>
    <t>preço final maranhao 4,50 L em Maranhão</t>
  </si>
  <si>
    <t>Bolivia</t>
  </si>
  <si>
    <t>Kilo peru U$1,88</t>
  </si>
  <si>
    <t>R$3,7/1,00 U$</t>
  </si>
  <si>
    <t>ICMS ES+FRETE                BOLIVIA</t>
  </si>
  <si>
    <t>U$/L</t>
  </si>
  <si>
    <t>DOLAR =R$ 3,7</t>
  </si>
  <si>
    <t>1U$=3,7</t>
  </si>
  <si>
    <t>MARROM</t>
  </si>
  <si>
    <t>BOLIVIA U$ L</t>
  </si>
  <si>
    <t>BOLIVIA R$/L</t>
  </si>
  <si>
    <t>R$ L BOLIVIA</t>
  </si>
  <si>
    <t>U$L/BOLIVIA</t>
  </si>
  <si>
    <t>1u$=R$3,7</t>
  </si>
  <si>
    <t xml:space="preserve">MARRON </t>
  </si>
  <si>
    <t>R$ L/BOLIVIA</t>
  </si>
  <si>
    <t>MELAÇO</t>
  </si>
  <si>
    <t>A30T</t>
  </si>
  <si>
    <t>NITRATO DE AMONIO</t>
  </si>
  <si>
    <t>AGUA</t>
  </si>
  <si>
    <t>BOLIVIA</t>
  </si>
  <si>
    <t>R$/L</t>
  </si>
  <si>
    <t>1 U$ = R$3,7</t>
  </si>
  <si>
    <t xml:space="preserve"> BOLIVIA</t>
  </si>
  <si>
    <t>R$ L</t>
  </si>
  <si>
    <t>marrom</t>
  </si>
  <si>
    <t>KCL 60%</t>
  </si>
  <si>
    <t>2016.</t>
  </si>
  <si>
    <t>fert calcio</t>
  </si>
  <si>
    <t>Liquid k</t>
  </si>
  <si>
    <t>FASE 2 Ca</t>
  </si>
  <si>
    <t>NITRATO MAG YARA</t>
  </si>
  <si>
    <t>SULFATO DE ZINCO</t>
  </si>
  <si>
    <t>NITRATO DE MG YARA</t>
  </si>
  <si>
    <t>MARROM VIRGEM</t>
  </si>
  <si>
    <t>LIQUID PHOS</t>
  </si>
  <si>
    <t>CLORETO FERRICO LIQUIDO</t>
  </si>
  <si>
    <t>CLORETO DE CALCIO SOLIDO</t>
  </si>
  <si>
    <t>antidispersante</t>
  </si>
  <si>
    <t>NITRATO DE CALCIO YARA</t>
  </si>
  <si>
    <t>Solumag</t>
  </si>
  <si>
    <t>Sulfato de zinco MONO</t>
  </si>
  <si>
    <t>Map purificado</t>
  </si>
  <si>
    <t>Liquid K</t>
  </si>
  <si>
    <t>POTASSA CAUSTICA</t>
  </si>
  <si>
    <t>Marrom</t>
  </si>
  <si>
    <t xml:space="preserve"> 5 L</t>
  </si>
  <si>
    <t xml:space="preserve">Fornecedor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</si>
</sst>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0.0000"/>
    <numFmt numFmtId="167" formatCode="#,##0.000"/>
    <numFmt numFmtId="168" formatCode="0.0%"/>
    <numFmt numFmtId="169" formatCode="dd/mm/yyyy;@"/>
    <numFmt numFmtId="170" formatCode="#,##0.0"/>
    <numFmt numFmtId="171" formatCode="_-[$R$-416]\ * #,##0.00_-;\-[$R$-416]\ * #,##0.00_-;_-[$R$-416]\ * &quot;-&quot;??_-;_-@_-"/>
    <numFmt numFmtId="172" formatCode="_-[$R$-416]* #,##0.00_-;\-[$R$-416]* #,##0.00_-;_-[$R$-416]* &quot;-&quot;??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0"/>
      <color indexed="22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Arial Narrow"/>
      <family val="2"/>
    </font>
    <font>
      <b/>
      <sz val="11"/>
      <name val="Arial"/>
      <family val="2"/>
    </font>
    <font>
      <b/>
      <sz val="8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AE18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19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2" borderId="0" xfId="0" applyFill="1" applyBorder="1"/>
    <xf numFmtId="2" fontId="0" fillId="2" borderId="0" xfId="0" applyNumberFormat="1" applyFill="1"/>
    <xf numFmtId="0" fontId="2" fillId="2" borderId="0" xfId="0" applyFont="1" applyFill="1" applyBorder="1" applyAlignment="1">
      <alignment horizontal="center"/>
    </xf>
    <xf numFmtId="165" fontId="0" fillId="2" borderId="0" xfId="0" applyNumberFormat="1" applyFill="1" applyBorder="1"/>
    <xf numFmtId="0" fontId="3" fillId="3" borderId="0" xfId="0" applyFont="1" applyFill="1" applyBorder="1"/>
    <xf numFmtId="0" fontId="0" fillId="3" borderId="0" xfId="0" applyFill="1" applyBorder="1"/>
    <xf numFmtId="0" fontId="3" fillId="2" borderId="0" xfId="0" applyFont="1" applyFill="1" applyBorder="1"/>
    <xf numFmtId="0" fontId="0" fillId="3" borderId="0" xfId="0" applyFill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4" xfId="0" applyFont="1" applyFill="1" applyBorder="1"/>
    <xf numFmtId="3" fontId="0" fillId="3" borderId="4" xfId="0" applyNumberFormat="1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4" fillId="3" borderId="0" xfId="0" applyFont="1" applyFill="1" applyBorder="1"/>
    <xf numFmtId="0" fontId="4" fillId="3" borderId="0" xfId="0" applyFont="1" applyFill="1"/>
    <xf numFmtId="0" fontId="4" fillId="2" borderId="0" xfId="0" applyFont="1" applyFill="1"/>
    <xf numFmtId="0" fontId="0" fillId="2" borderId="0" xfId="0" applyFill="1" applyAlignment="1">
      <alignment horizontal="center"/>
    </xf>
    <xf numFmtId="4" fontId="0" fillId="3" borderId="4" xfId="0" applyNumberFormat="1" applyFill="1" applyBorder="1"/>
    <xf numFmtId="0" fontId="5" fillId="2" borderId="0" xfId="0" applyFont="1" applyFill="1" applyBorder="1"/>
    <xf numFmtId="0" fontId="4" fillId="2" borderId="0" xfId="0" applyFont="1" applyFill="1" applyBorder="1"/>
    <xf numFmtId="165" fontId="4" fillId="2" borderId="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3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6" fillId="3" borderId="0" xfId="0" applyFont="1" applyFill="1"/>
    <xf numFmtId="2" fontId="4" fillId="3" borderId="0" xfId="0" applyNumberFormat="1" applyFont="1" applyFill="1"/>
    <xf numFmtId="165" fontId="2" fillId="3" borderId="5" xfId="0" applyNumberFormat="1" applyFont="1" applyFill="1" applyBorder="1" applyAlignment="1">
      <alignment horizontal="center"/>
    </xf>
    <xf numFmtId="0" fontId="8" fillId="2" borderId="0" xfId="0" applyFont="1" applyFill="1" applyBorder="1"/>
    <xf numFmtId="0" fontId="9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9" fontId="0" fillId="2" borderId="0" xfId="1" applyFont="1" applyFill="1" applyBorder="1"/>
    <xf numFmtId="0" fontId="0" fillId="0" borderId="0" xfId="0" applyFill="1"/>
    <xf numFmtId="0" fontId="0" fillId="0" borderId="5" xfId="0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165" fontId="4" fillId="0" borderId="5" xfId="0" applyNumberFormat="1" applyFont="1" applyFill="1" applyBorder="1"/>
    <xf numFmtId="0" fontId="0" fillId="5" borderId="0" xfId="0" applyFill="1"/>
    <xf numFmtId="0" fontId="2" fillId="5" borderId="0" xfId="0" applyFont="1" applyFill="1" applyAlignment="1">
      <alignment horizontal="center"/>
    </xf>
    <xf numFmtId="0" fontId="9" fillId="4" borderId="9" xfId="0" applyFont="1" applyFill="1" applyBorder="1"/>
    <xf numFmtId="0" fontId="7" fillId="2" borderId="0" xfId="0" applyFont="1" applyFill="1"/>
    <xf numFmtId="2" fontId="2" fillId="2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5" borderId="0" xfId="0" applyFont="1" applyFill="1"/>
    <xf numFmtId="0" fontId="1" fillId="0" borderId="5" xfId="0" applyFont="1" applyFill="1" applyBorder="1"/>
    <xf numFmtId="165" fontId="2" fillId="0" borderId="5" xfId="0" applyNumberFormat="1" applyFont="1" applyFill="1" applyBorder="1"/>
    <xf numFmtId="14" fontId="0" fillId="3" borderId="0" xfId="0" applyNumberFormat="1" applyFill="1" applyBorder="1" applyAlignment="1">
      <alignment horizontal="center"/>
    </xf>
    <xf numFmtId="0" fontId="3" fillId="3" borderId="0" xfId="0" applyFont="1" applyFill="1" applyBorder="1" applyAlignment="1"/>
    <xf numFmtId="0" fontId="0" fillId="3" borderId="0" xfId="0" applyFill="1" applyBorder="1" applyAlignment="1"/>
    <xf numFmtId="0" fontId="4" fillId="2" borderId="5" xfId="0" applyFont="1" applyFill="1" applyBorder="1"/>
    <xf numFmtId="0" fontId="0" fillId="6" borderId="5" xfId="0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left"/>
    </xf>
    <xf numFmtId="165" fontId="2" fillId="6" borderId="5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4" fontId="2" fillId="2" borderId="0" xfId="0" applyNumberFormat="1" applyFon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8" fillId="2" borderId="0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" fontId="0" fillId="7" borderId="5" xfId="0" applyNumberFormat="1" applyFill="1" applyBorder="1"/>
    <xf numFmtId="0" fontId="13" fillId="2" borderId="0" xfId="0" applyFont="1" applyFill="1"/>
    <xf numFmtId="0" fontId="7" fillId="8" borderId="0" xfId="0" applyFont="1" applyFill="1" applyBorder="1"/>
    <xf numFmtId="0" fontId="0" fillId="8" borderId="0" xfId="0" applyFill="1" applyBorder="1"/>
    <xf numFmtId="165" fontId="2" fillId="8" borderId="0" xfId="0" applyNumberFormat="1" applyFont="1" applyFill="1" applyBorder="1" applyAlignment="1">
      <alignment horizontal="center"/>
    </xf>
    <xf numFmtId="0" fontId="14" fillId="8" borderId="0" xfId="0" applyFont="1" applyFill="1" applyBorder="1"/>
    <xf numFmtId="0" fontId="12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65" fontId="2" fillId="9" borderId="14" xfId="0" applyNumberFormat="1" applyFont="1" applyFill="1" applyBorder="1"/>
    <xf numFmtId="165" fontId="2" fillId="9" borderId="5" xfId="0" applyNumberFormat="1" applyFont="1" applyFill="1" applyBorder="1"/>
    <xf numFmtId="165" fontId="2" fillId="9" borderId="14" xfId="0" applyNumberFormat="1" applyFont="1" applyFill="1" applyBorder="1" applyAlignment="1">
      <alignment horizontal="right"/>
    </xf>
    <xf numFmtId="167" fontId="2" fillId="9" borderId="14" xfId="0" applyNumberFormat="1" applyFont="1" applyFill="1" applyBorder="1"/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0" fillId="11" borderId="0" xfId="0" applyFill="1"/>
    <xf numFmtId="0" fontId="4" fillId="11" borderId="0" xfId="0" applyFont="1" applyFill="1" applyBorder="1"/>
    <xf numFmtId="0" fontId="4" fillId="11" borderId="0" xfId="0" applyFont="1" applyFill="1"/>
    <xf numFmtId="2" fontId="4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165" fontId="0" fillId="11" borderId="0" xfId="0" applyNumberFormat="1" applyFill="1" applyBorder="1"/>
    <xf numFmtId="2" fontId="0" fillId="11" borderId="5" xfId="0" applyNumberFormat="1" applyFill="1" applyBorder="1" applyAlignment="1">
      <alignment horizontal="center"/>
    </xf>
    <xf numFmtId="0" fontId="5" fillId="9" borderId="5" xfId="0" applyFont="1" applyFill="1" applyBorder="1" applyAlignment="1">
      <alignment horizontal="right"/>
    </xf>
    <xf numFmtId="2" fontId="0" fillId="11" borderId="0" xfId="0" applyNumberFormat="1" applyFill="1" applyAlignment="1">
      <alignment horizontal="center"/>
    </xf>
    <xf numFmtId="167" fontId="0" fillId="11" borderId="0" xfId="0" applyNumberFormat="1" applyFill="1" applyBorder="1"/>
    <xf numFmtId="165" fontId="4" fillId="11" borderId="0" xfId="0" applyNumberFormat="1" applyFont="1" applyFill="1" applyBorder="1"/>
    <xf numFmtId="2" fontId="5" fillId="2" borderId="0" xfId="0" applyNumberFormat="1" applyFont="1" applyFill="1" applyAlignment="1">
      <alignment horizontal="center"/>
    </xf>
    <xf numFmtId="165" fontId="5" fillId="0" borderId="5" xfId="0" applyNumberFormat="1" applyFont="1" applyFill="1" applyBorder="1" applyAlignment="1">
      <alignment horizontal="right"/>
    </xf>
    <xf numFmtId="4" fontId="0" fillId="0" borderId="18" xfId="0" applyNumberFormat="1" applyFill="1" applyBorder="1" applyAlignment="1">
      <alignment horizontal="center"/>
    </xf>
    <xf numFmtId="4" fontId="0" fillId="2" borderId="5" xfId="0" applyNumberFormat="1" applyFill="1" applyBorder="1"/>
    <xf numFmtId="4" fontId="0" fillId="9" borderId="18" xfId="0" applyNumberFormat="1" applyFill="1" applyBorder="1" applyAlignment="1">
      <alignment horizontal="center"/>
    </xf>
    <xf numFmtId="1" fontId="20" fillId="12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4" fontId="0" fillId="11" borderId="0" xfId="0" applyNumberForma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0" fontId="6" fillId="12" borderId="0" xfId="0" applyFont="1" applyFill="1" applyAlignment="1">
      <alignment horizontal="center"/>
    </xf>
    <xf numFmtId="1" fontId="6" fillId="12" borderId="19" xfId="0" applyNumberFormat="1" applyFont="1" applyFill="1" applyBorder="1" applyAlignment="1">
      <alignment horizontal="center"/>
    </xf>
    <xf numFmtId="0" fontId="20" fillId="12" borderId="0" xfId="0" applyFont="1" applyFill="1" applyAlignment="1">
      <alignment horizontal="center"/>
    </xf>
    <xf numFmtId="1" fontId="20" fillId="12" borderId="0" xfId="0" applyNumberFormat="1" applyFont="1" applyFill="1" applyBorder="1" applyAlignment="1">
      <alignment horizontal="center"/>
    </xf>
    <xf numFmtId="1" fontId="4" fillId="12" borderId="19" xfId="0" applyNumberFormat="1" applyFont="1" applyFill="1" applyBorder="1" applyAlignment="1">
      <alignment horizontal="center"/>
    </xf>
    <xf numFmtId="1" fontId="4" fillId="12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2" fontId="5" fillId="7" borderId="5" xfId="0" applyNumberFormat="1" applyFont="1" applyFill="1" applyBorder="1"/>
    <xf numFmtId="1" fontId="19" fillId="0" borderId="5" xfId="0" applyNumberFormat="1" applyFont="1" applyFill="1" applyBorder="1"/>
    <xf numFmtId="165" fontId="5" fillId="2" borderId="0" xfId="0" applyNumberFormat="1" applyFont="1" applyFill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0" fontId="0" fillId="14" borderId="0" xfId="0" applyFill="1" applyBorder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1" fontId="19" fillId="2" borderId="0" xfId="0" applyNumberFormat="1" applyFont="1" applyFill="1" applyAlignment="1">
      <alignment horizontal="center"/>
    </xf>
    <xf numFmtId="0" fontId="0" fillId="14" borderId="0" xfId="0" applyFill="1"/>
    <xf numFmtId="165" fontId="5" fillId="0" borderId="5" xfId="0" applyNumberFormat="1" applyFont="1" applyFill="1" applyBorder="1"/>
    <xf numFmtId="165" fontId="5" fillId="3" borderId="5" xfId="0" applyNumberFormat="1" applyFont="1" applyFill="1" applyBorder="1"/>
    <xf numFmtId="2" fontId="5" fillId="3" borderId="5" xfId="0" applyNumberFormat="1" applyFont="1" applyFill="1" applyBorder="1"/>
    <xf numFmtId="0" fontId="0" fillId="7" borderId="21" xfId="0" applyFill="1" applyBorder="1" applyAlignment="1">
      <alignment horizontal="center"/>
    </xf>
    <xf numFmtId="9" fontId="0" fillId="7" borderId="21" xfId="0" applyNumberFormat="1" applyFill="1" applyBorder="1" applyAlignment="1">
      <alignment horizontal="center"/>
    </xf>
    <xf numFmtId="167" fontId="5" fillId="3" borderId="5" xfId="0" applyNumberFormat="1" applyFont="1" applyFill="1" applyBorder="1"/>
    <xf numFmtId="167" fontId="5" fillId="0" borderId="5" xfId="0" applyNumberFormat="1" applyFont="1" applyFill="1" applyBorder="1"/>
    <xf numFmtId="165" fontId="21" fillId="0" borderId="5" xfId="0" applyNumberFormat="1" applyFont="1" applyFill="1" applyBorder="1" applyAlignment="1">
      <alignment horizontal="right"/>
    </xf>
    <xf numFmtId="167" fontId="21" fillId="3" borderId="5" xfId="0" applyNumberFormat="1" applyFont="1" applyFill="1" applyBorder="1"/>
    <xf numFmtId="167" fontId="21" fillId="0" borderId="5" xfId="0" applyNumberFormat="1" applyFont="1" applyFill="1" applyBorder="1"/>
    <xf numFmtId="165" fontId="21" fillId="0" borderId="5" xfId="0" applyNumberFormat="1" applyFont="1" applyFill="1" applyBorder="1"/>
    <xf numFmtId="0" fontId="5" fillId="11" borderId="5" xfId="0" applyFont="1" applyFill="1" applyBorder="1"/>
    <xf numFmtId="165" fontId="0" fillId="11" borderId="5" xfId="0" applyNumberForma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167" fontId="20" fillId="0" borderId="5" xfId="0" applyNumberFormat="1" applyFont="1" applyFill="1" applyBorder="1"/>
    <xf numFmtId="10" fontId="0" fillId="11" borderId="0" xfId="0" applyNumberFormat="1" applyFill="1"/>
    <xf numFmtId="0" fontId="0" fillId="11" borderId="20" xfId="0" applyFill="1" applyBorder="1" applyAlignment="1">
      <alignment horizontal="center"/>
    </xf>
    <xf numFmtId="10" fontId="0" fillId="11" borderId="5" xfId="0" applyNumberFormat="1" applyFill="1" applyBorder="1"/>
    <xf numFmtId="10" fontId="20" fillId="11" borderId="5" xfId="0" applyNumberFormat="1" applyFont="1" applyFill="1" applyBorder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2" fontId="20" fillId="2" borderId="0" xfId="0" applyNumberFormat="1" applyFont="1" applyFill="1" applyAlignment="1">
      <alignment horizontal="center"/>
    </xf>
    <xf numFmtId="165" fontId="20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65" fontId="0" fillId="7" borderId="5" xfId="0" applyNumberFormat="1" applyFill="1" applyBorder="1"/>
    <xf numFmtId="1" fontId="4" fillId="12" borderId="0" xfId="0" applyNumberFormat="1" applyFont="1" applyFill="1" applyBorder="1" applyAlignment="1">
      <alignment horizontal="center"/>
    </xf>
    <xf numFmtId="0" fontId="0" fillId="15" borderId="12" xfId="0" applyFill="1" applyBorder="1"/>
    <xf numFmtId="9" fontId="0" fillId="15" borderId="20" xfId="0" applyNumberFormat="1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165" fontId="2" fillId="15" borderId="5" xfId="0" applyNumberFormat="1" applyFont="1" applyFill="1" applyBorder="1"/>
    <xf numFmtId="0" fontId="0" fillId="15" borderId="20" xfId="0" applyFill="1" applyBorder="1"/>
    <xf numFmtId="0" fontId="0" fillId="15" borderId="16" xfId="0" applyFill="1" applyBorder="1"/>
    <xf numFmtId="0" fontId="0" fillId="15" borderId="17" xfId="0" applyFill="1" applyBorder="1"/>
    <xf numFmtId="0" fontId="11" fillId="15" borderId="20" xfId="0" applyFont="1" applyFill="1" applyBorder="1"/>
    <xf numFmtId="0" fontId="11" fillId="15" borderId="16" xfId="0" applyFont="1" applyFill="1" applyBorder="1"/>
    <xf numFmtId="0" fontId="11" fillId="15" borderId="17" xfId="0" applyFont="1" applyFill="1" applyBorder="1"/>
    <xf numFmtId="0" fontId="0" fillId="15" borderId="22" xfId="0" applyFill="1" applyBorder="1" applyAlignment="1">
      <alignment horizontal="center"/>
    </xf>
    <xf numFmtId="0" fontId="0" fillId="15" borderId="5" xfId="0" applyFill="1" applyBorder="1"/>
    <xf numFmtId="0" fontId="0" fillId="15" borderId="23" xfId="0" applyFill="1" applyBorder="1" applyAlignment="1">
      <alignment horizontal="center"/>
    </xf>
    <xf numFmtId="165" fontId="4" fillId="15" borderId="5" xfId="0" applyNumberFormat="1" applyFont="1" applyFill="1" applyBorder="1"/>
    <xf numFmtId="0" fontId="0" fillId="12" borderId="0" xfId="0" applyFill="1"/>
    <xf numFmtId="1" fontId="6" fillId="12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3" fontId="20" fillId="11" borderId="0" xfId="0" applyNumberFormat="1" applyFont="1" applyFill="1"/>
    <xf numFmtId="4" fontId="20" fillId="3" borderId="4" xfId="0" applyNumberFormat="1" applyFont="1" applyFill="1" applyBorder="1"/>
    <xf numFmtId="3" fontId="0" fillId="9" borderId="18" xfId="0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4" fontId="0" fillId="12" borderId="5" xfId="0" applyNumberFormat="1" applyFill="1" applyBorder="1" applyAlignment="1">
      <alignment horizontal="center"/>
    </xf>
    <xf numFmtId="167" fontId="0" fillId="12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6" borderId="5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14" fontId="0" fillId="0" borderId="0" xfId="0" applyNumberFormat="1"/>
    <xf numFmtId="2" fontId="0" fillId="2" borderId="0" xfId="1" applyNumberFormat="1" applyFont="1" applyFill="1" applyBorder="1"/>
    <xf numFmtId="3" fontId="20" fillId="11" borderId="5" xfId="0" applyNumberFormat="1" applyFont="1" applyFill="1" applyBorder="1"/>
    <xf numFmtId="0" fontId="0" fillId="2" borderId="4" xfId="0" applyFill="1" applyBorder="1"/>
    <xf numFmtId="2" fontId="4" fillId="15" borderId="5" xfId="0" applyNumberFormat="1" applyFont="1" applyFill="1" applyBorder="1"/>
    <xf numFmtId="168" fontId="0" fillId="15" borderId="20" xfId="0" applyNumberFormat="1" applyFill="1" applyBorder="1" applyAlignment="1">
      <alignment horizontal="center"/>
    </xf>
    <xf numFmtId="166" fontId="2" fillId="15" borderId="5" xfId="0" applyNumberFormat="1" applyFont="1" applyFill="1" applyBorder="1"/>
    <xf numFmtId="165" fontId="2" fillId="15" borderId="18" xfId="0" applyNumberFormat="1" applyFont="1" applyFill="1" applyBorder="1"/>
    <xf numFmtId="14" fontId="0" fillId="5" borderId="0" xfId="0" applyNumberFormat="1" applyFill="1"/>
    <xf numFmtId="0" fontId="4" fillId="2" borderId="27" xfId="0" applyFont="1" applyFill="1" applyBorder="1" applyAlignment="1">
      <alignment horizontal="center"/>
    </xf>
    <xf numFmtId="0" fontId="21" fillId="11" borderId="24" xfId="0" applyFont="1" applyFill="1" applyBorder="1" applyAlignment="1">
      <alignment horizontal="left"/>
    </xf>
    <xf numFmtId="4" fontId="0" fillId="2" borderId="0" xfId="0" applyNumberFormat="1" applyFill="1" applyBorder="1"/>
    <xf numFmtId="165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0" fontId="0" fillId="11" borderId="0" xfId="0" applyNumberFormat="1" applyFill="1" applyBorder="1"/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6" fillId="2" borderId="0" xfId="0" applyFont="1" applyFill="1" applyAlignment="1"/>
    <xf numFmtId="0" fontId="17" fillId="7" borderId="4" xfId="0" applyFont="1" applyFill="1" applyBorder="1"/>
    <xf numFmtId="0" fontId="3" fillId="7" borderId="0" xfId="0" applyFont="1" applyFill="1" applyBorder="1" applyAlignment="1"/>
    <xf numFmtId="0" fontId="0" fillId="7" borderId="0" xfId="0" applyFill="1" applyBorder="1"/>
    <xf numFmtId="0" fontId="17" fillId="2" borderId="0" xfId="0" applyFont="1" applyFill="1" applyBorder="1"/>
    <xf numFmtId="0" fontId="2" fillId="9" borderId="5" xfId="0" applyFont="1" applyFill="1" applyBorder="1"/>
    <xf numFmtId="0" fontId="0" fillId="3" borderId="20" xfId="0" applyFill="1" applyBorder="1"/>
    <xf numFmtId="0" fontId="0" fillId="3" borderId="16" xfId="0" applyFill="1" applyBorder="1"/>
    <xf numFmtId="0" fontId="0" fillId="3" borderId="17" xfId="0" applyFill="1" applyBorder="1"/>
    <xf numFmtId="167" fontId="4" fillId="3" borderId="5" xfId="0" applyNumberFormat="1" applyFont="1" applyFill="1" applyBorder="1"/>
    <xf numFmtId="0" fontId="7" fillId="3" borderId="20" xfId="0" applyFont="1" applyFill="1" applyBorder="1"/>
    <xf numFmtId="0" fontId="7" fillId="3" borderId="16" xfId="0" applyFont="1" applyFill="1" applyBorder="1"/>
    <xf numFmtId="0" fontId="7" fillId="3" borderId="17" xfId="0" applyFont="1" applyFill="1" applyBorder="1"/>
    <xf numFmtId="4" fontId="0" fillId="11" borderId="5" xfId="0" applyNumberFormat="1" applyFill="1" applyBorder="1"/>
    <xf numFmtId="167" fontId="0" fillId="3" borderId="5" xfId="0" applyNumberFormat="1" applyFill="1" applyBorder="1"/>
    <xf numFmtId="2" fontId="19" fillId="0" borderId="5" xfId="0" applyNumberFormat="1" applyFont="1" applyFill="1" applyBorder="1"/>
    <xf numFmtId="167" fontId="0" fillId="2" borderId="0" xfId="0" applyNumberFormat="1" applyFill="1"/>
    <xf numFmtId="0" fontId="11" fillId="8" borderId="0" xfId="0" applyFont="1" applyFill="1" applyBorder="1"/>
    <xf numFmtId="0" fontId="22" fillId="17" borderId="5" xfId="0" applyFont="1" applyFill="1" applyBorder="1"/>
    <xf numFmtId="0" fontId="22" fillId="17" borderId="5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2" fontId="2" fillId="17" borderId="5" xfId="0" applyNumberFormat="1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165" fontId="22" fillId="17" borderId="5" xfId="0" applyNumberFormat="1" applyFont="1" applyFill="1" applyBorder="1" applyAlignment="1">
      <alignment horizontal="center"/>
    </xf>
    <xf numFmtId="165" fontId="22" fillId="0" borderId="5" xfId="0" applyNumberFormat="1" applyFont="1" applyFill="1" applyBorder="1"/>
    <xf numFmtId="2" fontId="22" fillId="17" borderId="5" xfId="0" applyNumberFormat="1" applyFont="1" applyFill="1" applyBorder="1"/>
    <xf numFmtId="0" fontId="0" fillId="17" borderId="0" xfId="0" applyFill="1"/>
    <xf numFmtId="0" fontId="23" fillId="18" borderId="6" xfId="0" applyFont="1" applyFill="1" applyBorder="1"/>
    <xf numFmtId="0" fontId="23" fillId="18" borderId="28" xfId="0" applyFont="1" applyFill="1" applyBorder="1"/>
    <xf numFmtId="0" fontId="23" fillId="18" borderId="5" xfId="0" applyFont="1" applyFill="1" applyBorder="1"/>
    <xf numFmtId="0" fontId="23" fillId="18" borderId="17" xfId="0" applyFont="1" applyFill="1" applyBorder="1"/>
    <xf numFmtId="0" fontId="24" fillId="20" borderId="20" xfId="0" applyFont="1" applyFill="1" applyBorder="1"/>
    <xf numFmtId="0" fontId="25" fillId="20" borderId="20" xfId="0" applyFont="1" applyFill="1" applyBorder="1"/>
    <xf numFmtId="2" fontId="25" fillId="20" borderId="5" xfId="0" applyNumberFormat="1" applyFont="1" applyFill="1" applyBorder="1" applyAlignment="1">
      <alignment horizontal="center"/>
    </xf>
    <xf numFmtId="2" fontId="0" fillId="20" borderId="5" xfId="0" applyNumberFormat="1" applyFont="1" applyFill="1" applyBorder="1" applyAlignment="1">
      <alignment horizontal="center"/>
    </xf>
    <xf numFmtId="2" fontId="21" fillId="20" borderId="5" xfId="0" applyNumberFormat="1" applyFont="1" applyFill="1" applyBorder="1" applyAlignment="1">
      <alignment horizontal="center"/>
    </xf>
    <xf numFmtId="0" fontId="18" fillId="20" borderId="5" xfId="0" applyFont="1" applyFill="1" applyBorder="1" applyAlignment="1">
      <alignment horizontal="center"/>
    </xf>
    <xf numFmtId="0" fontId="15" fillId="0" borderId="0" xfId="0" applyFont="1"/>
    <xf numFmtId="0" fontId="26" fillId="21" borderId="6" xfId="0" applyFont="1" applyFill="1" applyBorder="1" applyAlignment="1">
      <alignment horizontal="center"/>
    </xf>
    <xf numFmtId="0" fontId="26" fillId="21" borderId="29" xfId="0" applyFont="1" applyFill="1" applyBorder="1" applyAlignment="1">
      <alignment horizontal="center"/>
    </xf>
    <xf numFmtId="2" fontId="0" fillId="9" borderId="5" xfId="0" applyNumberFormat="1" applyFill="1" applyBorder="1"/>
    <xf numFmtId="2" fontId="19" fillId="0" borderId="5" xfId="0" applyNumberFormat="1" applyFont="1" applyFill="1" applyBorder="1" applyAlignment="1">
      <alignment horizontal="right"/>
    </xf>
    <xf numFmtId="14" fontId="2" fillId="0" borderId="0" xfId="0" applyNumberFormat="1" applyFont="1"/>
    <xf numFmtId="164" fontId="0" fillId="7" borderId="5" xfId="0" applyNumberFormat="1" applyFill="1" applyBorder="1" applyAlignment="1">
      <alignment horizontal="center"/>
    </xf>
    <xf numFmtId="2" fontId="2" fillId="17" borderId="5" xfId="0" applyNumberFormat="1" applyFont="1" applyFill="1" applyBorder="1"/>
    <xf numFmtId="2" fontId="2" fillId="22" borderId="5" xfId="0" applyNumberFormat="1" applyFont="1" applyFill="1" applyBorder="1"/>
    <xf numFmtId="2" fontId="5" fillId="22" borderId="5" xfId="0" applyNumberFormat="1" applyFont="1" applyFill="1" applyBorder="1"/>
    <xf numFmtId="1" fontId="2" fillId="7" borderId="5" xfId="0" applyNumberFormat="1" applyFont="1" applyFill="1" applyBorder="1" applyAlignment="1">
      <alignment horizontal="center"/>
    </xf>
    <xf numFmtId="2" fontId="2" fillId="22" borderId="5" xfId="0" applyNumberFormat="1" applyFont="1" applyFill="1" applyBorder="1" applyAlignment="1">
      <alignment horizontal="center"/>
    </xf>
    <xf numFmtId="3" fontId="2" fillId="22" borderId="5" xfId="0" applyNumberFormat="1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2" fillId="22" borderId="5" xfId="0" applyFont="1" applyFill="1" applyBorder="1"/>
    <xf numFmtId="0" fontId="5" fillId="22" borderId="5" xfId="0" applyFont="1" applyFill="1" applyBorder="1" applyAlignment="1">
      <alignment horizontal="center"/>
    </xf>
    <xf numFmtId="0" fontId="1" fillId="0" borderId="0" xfId="0" applyFont="1"/>
    <xf numFmtId="0" fontId="1" fillId="15" borderId="13" xfId="0" applyFont="1" applyFill="1" applyBorder="1" applyAlignment="1">
      <alignment horizontal="center"/>
    </xf>
    <xf numFmtId="0" fontId="1" fillId="15" borderId="20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7" fontId="0" fillId="0" borderId="0" xfId="0" applyNumberFormat="1"/>
    <xf numFmtId="0" fontId="1" fillId="2" borderId="0" xfId="0" applyFont="1" applyFill="1" applyBorder="1" applyAlignment="1">
      <alignment horizontal="center"/>
    </xf>
    <xf numFmtId="165" fontId="2" fillId="17" borderId="5" xfId="0" applyNumberFormat="1" applyFont="1" applyFill="1" applyBorder="1" applyAlignment="1">
      <alignment horizontal="center"/>
    </xf>
    <xf numFmtId="167" fontId="0" fillId="17" borderId="5" xfId="0" applyNumberFormat="1" applyFill="1" applyBorder="1"/>
    <xf numFmtId="0" fontId="1" fillId="2" borderId="0" xfId="0" applyFont="1" applyFill="1"/>
    <xf numFmtId="2" fontId="0" fillId="17" borderId="5" xfId="0" applyNumberFormat="1" applyFill="1" applyBorder="1" applyAlignment="1">
      <alignment horizontal="center"/>
    </xf>
    <xf numFmtId="165" fontId="0" fillId="17" borderId="5" xfId="0" applyNumberFormat="1" applyFill="1" applyBorder="1" applyAlignment="1">
      <alignment horizontal="center"/>
    </xf>
    <xf numFmtId="166" fontId="0" fillId="17" borderId="5" xfId="0" applyNumberFormat="1" applyFill="1" applyBorder="1" applyAlignment="1">
      <alignment horizontal="center"/>
    </xf>
    <xf numFmtId="167" fontId="0" fillId="17" borderId="5" xfId="0" applyNumberFormat="1" applyFill="1" applyBorder="1" applyAlignment="1">
      <alignment horizontal="center"/>
    </xf>
    <xf numFmtId="167" fontId="1" fillId="17" borderId="5" xfId="0" applyNumberFormat="1" applyFont="1" applyFill="1" applyBorder="1" applyAlignment="1">
      <alignment horizontal="center"/>
    </xf>
    <xf numFmtId="170" fontId="1" fillId="11" borderId="5" xfId="0" applyNumberFormat="1" applyFont="1" applyFill="1" applyBorder="1"/>
    <xf numFmtId="0" fontId="1" fillId="15" borderId="12" xfId="0" applyFont="1" applyFill="1" applyBorder="1"/>
    <xf numFmtId="2" fontId="0" fillId="12" borderId="5" xfId="0" applyNumberFormat="1" applyFill="1" applyBorder="1"/>
    <xf numFmtId="165" fontId="0" fillId="12" borderId="5" xfId="0" applyNumberFormat="1" applyFill="1" applyBorder="1"/>
    <xf numFmtId="2" fontId="21" fillId="12" borderId="5" xfId="0" applyNumberFormat="1" applyFont="1" applyFill="1" applyBorder="1"/>
    <xf numFmtId="3" fontId="21" fillId="11" borderId="5" xfId="0" applyNumberFormat="1" applyFont="1" applyFill="1" applyBorder="1"/>
    <xf numFmtId="0" fontId="1" fillId="3" borderId="0" xfId="0" applyFont="1" applyFill="1" applyBorder="1"/>
    <xf numFmtId="0" fontId="1" fillId="15" borderId="16" xfId="0" applyFont="1" applyFill="1" applyBorder="1" applyAlignment="1">
      <alignment horizontal="center"/>
    </xf>
    <xf numFmtId="0" fontId="2" fillId="3" borderId="0" xfId="0" applyFont="1" applyFill="1" applyBorder="1"/>
    <xf numFmtId="171" fontId="0" fillId="23" borderId="17" xfId="0" applyNumberFormat="1" applyFill="1" applyBorder="1"/>
    <xf numFmtId="171" fontId="0" fillId="23" borderId="5" xfId="0" applyNumberFormat="1" applyFill="1" applyBorder="1"/>
    <xf numFmtId="0" fontId="0" fillId="11" borderId="0" xfId="0" applyFill="1" applyAlignment="1">
      <alignment horizontal="center"/>
    </xf>
    <xf numFmtId="0" fontId="2" fillId="19" borderId="5" xfId="0" applyFont="1" applyFill="1" applyBorder="1" applyAlignment="1">
      <alignment horizontal="center"/>
    </xf>
    <xf numFmtId="2" fontId="2" fillId="19" borderId="5" xfId="0" applyNumberFormat="1" applyFont="1" applyFill="1" applyBorder="1" applyAlignment="1">
      <alignment horizontal="center"/>
    </xf>
    <xf numFmtId="0" fontId="1" fillId="19" borderId="5" xfId="0" applyFont="1" applyFill="1" applyBorder="1"/>
    <xf numFmtId="0" fontId="2" fillId="24" borderId="34" xfId="0" applyFont="1" applyFill="1" applyBorder="1" applyAlignment="1">
      <alignment horizontal="center"/>
    </xf>
    <xf numFmtId="0" fontId="4" fillId="25" borderId="23" xfId="0" applyFont="1" applyFill="1" applyBorder="1" applyAlignment="1">
      <alignment horizontal="center"/>
    </xf>
    <xf numFmtId="0" fontId="1" fillId="15" borderId="0" xfId="0" applyFont="1" applyFill="1" applyBorder="1"/>
    <xf numFmtId="0" fontId="0" fillId="0" borderId="0" xfId="0" applyAlignment="1">
      <alignment horizontal="center"/>
    </xf>
    <xf numFmtId="9" fontId="2" fillId="2" borderId="0" xfId="1" applyFont="1" applyFill="1" applyBorder="1"/>
    <xf numFmtId="171" fontId="0" fillId="2" borderId="0" xfId="1" applyNumberFormat="1" applyFont="1" applyFill="1" applyBorder="1"/>
    <xf numFmtId="171" fontId="0" fillId="2" borderId="0" xfId="0" applyNumberFormat="1" applyFill="1"/>
    <xf numFmtId="2" fontId="2" fillId="12" borderId="0" xfId="0" applyNumberFormat="1" applyFont="1" applyFill="1" applyBorder="1" applyAlignment="1">
      <alignment horizontal="left"/>
    </xf>
    <xf numFmtId="2" fontId="0" fillId="12" borderId="0" xfId="0" applyNumberFormat="1" applyFill="1"/>
    <xf numFmtId="9" fontId="1" fillId="15" borderId="20" xfId="0" applyNumberFormat="1" applyFont="1" applyFill="1" applyBorder="1" applyAlignment="1">
      <alignment horizontal="center"/>
    </xf>
    <xf numFmtId="0" fontId="1" fillId="15" borderId="5" xfId="0" applyFont="1" applyFill="1" applyBorder="1"/>
    <xf numFmtId="0" fontId="2" fillId="11" borderId="0" xfId="0" applyFont="1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2" fillId="2" borderId="0" xfId="0" applyNumberFormat="1" applyFont="1" applyFill="1" applyBorder="1"/>
    <xf numFmtId="0" fontId="1" fillId="2" borderId="0" xfId="0" applyFont="1" applyFill="1" applyBorder="1"/>
    <xf numFmtId="2" fontId="2" fillId="2" borderId="0" xfId="0" applyNumberFormat="1" applyFont="1" applyFill="1" applyAlignment="1">
      <alignment horizontal="center"/>
    </xf>
    <xf numFmtId="2" fontId="2" fillId="12" borderId="5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9" fontId="1" fillId="7" borderId="21" xfId="0" applyNumberFormat="1" applyFont="1" applyFill="1" applyBorder="1" applyAlignment="1">
      <alignment horizontal="center"/>
    </xf>
    <xf numFmtId="0" fontId="1" fillId="7" borderId="10" xfId="0" applyFont="1" applyFill="1" applyBorder="1"/>
    <xf numFmtId="2" fontId="1" fillId="7" borderId="21" xfId="0" applyNumberFormat="1" applyFont="1" applyFill="1" applyBorder="1" applyAlignment="1">
      <alignment horizontal="center"/>
    </xf>
    <xf numFmtId="1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14" fontId="1" fillId="0" borderId="0" xfId="0" applyNumberFormat="1" applyFont="1"/>
    <xf numFmtId="0" fontId="1" fillId="15" borderId="20" xfId="0" applyFont="1" applyFill="1" applyBorder="1"/>
    <xf numFmtId="10" fontId="1" fillId="15" borderId="20" xfId="0" applyNumberFormat="1" applyFont="1" applyFill="1" applyBorder="1" applyAlignment="1">
      <alignment horizontal="center"/>
    </xf>
    <xf numFmtId="165" fontId="1" fillId="15" borderId="5" xfId="0" applyNumberFormat="1" applyFont="1" applyFill="1" applyBorder="1"/>
    <xf numFmtId="0" fontId="1" fillId="15" borderId="18" xfId="0" applyFont="1" applyFill="1" applyBorder="1"/>
    <xf numFmtId="0" fontId="1" fillId="15" borderId="26" xfId="0" applyFont="1" applyFill="1" applyBorder="1" applyAlignment="1">
      <alignment horizontal="center"/>
    </xf>
    <xf numFmtId="0" fontId="1" fillId="0" borderId="0" xfId="0" applyFont="1" applyFill="1"/>
    <xf numFmtId="0" fontId="1" fillId="13" borderId="0" xfId="0" applyFont="1" applyFill="1" applyAlignment="1">
      <alignment horizontal="center"/>
    </xf>
    <xf numFmtId="14" fontId="1" fillId="13" borderId="0" xfId="0" applyNumberFormat="1" applyFont="1" applyFill="1" applyAlignment="1"/>
    <xf numFmtId="17" fontId="1" fillId="13" borderId="0" xfId="0" applyNumberFormat="1" applyFont="1" applyFill="1"/>
    <xf numFmtId="0" fontId="1" fillId="13" borderId="0" xfId="0" applyFont="1" applyFill="1"/>
    <xf numFmtId="2" fontId="1" fillId="17" borderId="0" xfId="0" applyNumberFormat="1" applyFont="1" applyFill="1" applyAlignment="1">
      <alignment horizontal="center"/>
    </xf>
    <xf numFmtId="2" fontId="1" fillId="16" borderId="5" xfId="0" applyNumberFormat="1" applyFont="1" applyFill="1" applyBorder="1" applyAlignment="1">
      <alignment horizontal="center"/>
    </xf>
    <xf numFmtId="2" fontId="1" fillId="13" borderId="0" xfId="0" applyNumberFormat="1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1" fillId="11" borderId="5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3" borderId="20" xfId="0" applyFont="1" applyFill="1" applyBorder="1" applyAlignment="1"/>
    <xf numFmtId="0" fontId="1" fillId="11" borderId="2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5" xfId="0" applyFont="1" applyFill="1" applyBorder="1" applyAlignment="1">
      <alignment horizontal="center"/>
    </xf>
    <xf numFmtId="2" fontId="1" fillId="9" borderId="5" xfId="0" applyNumberFormat="1" applyFont="1" applyFill="1" applyBorder="1"/>
    <xf numFmtId="2" fontId="1" fillId="2" borderId="0" xfId="0" applyNumberFormat="1" applyFont="1" applyFill="1" applyAlignment="1">
      <alignment horizontal="center"/>
    </xf>
    <xf numFmtId="165" fontId="1" fillId="0" borderId="5" xfId="0" applyNumberFormat="1" applyFont="1" applyFill="1" applyBorder="1" applyAlignment="1">
      <alignment horizontal="right"/>
    </xf>
    <xf numFmtId="165" fontId="1" fillId="3" borderId="5" xfId="0" applyNumberFormat="1" applyFont="1" applyFill="1" applyBorder="1"/>
    <xf numFmtId="167" fontId="1" fillId="3" borderId="5" xfId="0" applyNumberFormat="1" applyFont="1" applyFill="1" applyBorder="1"/>
    <xf numFmtId="167" fontId="1" fillId="0" borderId="5" xfId="0" applyNumberFormat="1" applyFont="1" applyFill="1" applyBorder="1"/>
    <xf numFmtId="165" fontId="1" fillId="0" borderId="5" xfId="0" applyNumberFormat="1" applyFont="1" applyFill="1" applyBorder="1"/>
    <xf numFmtId="165" fontId="4" fillId="17" borderId="5" xfId="0" applyNumberFormat="1" applyFont="1" applyFill="1" applyBorder="1"/>
    <xf numFmtId="14" fontId="1" fillId="2" borderId="0" xfId="0" applyNumberFormat="1" applyFont="1" applyFill="1" applyAlignment="1">
      <alignment horizontal="center"/>
    </xf>
    <xf numFmtId="0" fontId="1" fillId="3" borderId="0" xfId="0" applyFont="1" applyFill="1" applyBorder="1" applyAlignment="1"/>
    <xf numFmtId="0" fontId="1" fillId="11" borderId="5" xfId="0" applyFont="1" applyFill="1" applyBorder="1"/>
    <xf numFmtId="0" fontId="1" fillId="9" borderId="5" xfId="0" applyFont="1" applyFill="1" applyBorder="1" applyAlignment="1">
      <alignment horizontal="right"/>
    </xf>
    <xf numFmtId="2" fontId="1" fillId="7" borderId="5" xfId="0" applyNumberFormat="1" applyFont="1" applyFill="1" applyBorder="1"/>
    <xf numFmtId="165" fontId="1" fillId="2" borderId="0" xfId="0" applyNumberFormat="1" applyFont="1" applyFill="1" applyAlignment="1">
      <alignment horizontal="center"/>
    </xf>
    <xf numFmtId="2" fontId="22" fillId="2" borderId="0" xfId="0" applyNumberFormat="1" applyFont="1" applyFill="1" applyAlignment="1">
      <alignment horizontal="center"/>
    </xf>
    <xf numFmtId="2" fontId="22" fillId="0" borderId="5" xfId="0" applyNumberFormat="1" applyFont="1" applyFill="1" applyBorder="1"/>
    <xf numFmtId="3" fontId="0" fillId="11" borderId="5" xfId="0" applyNumberFormat="1" applyFill="1" applyBorder="1"/>
    <xf numFmtId="2" fontId="0" fillId="7" borderId="5" xfId="0" applyNumberFormat="1" applyFill="1" applyBorder="1" applyAlignment="1">
      <alignment horizontal="center"/>
    </xf>
    <xf numFmtId="2" fontId="1" fillId="3" borderId="5" xfId="0" applyNumberFormat="1" applyFont="1" applyFill="1" applyBorder="1"/>
    <xf numFmtId="2" fontId="1" fillId="2" borderId="5" xfId="0" applyNumberFormat="1" applyFont="1" applyFill="1" applyBorder="1" applyAlignment="1">
      <alignment horizontal="center"/>
    </xf>
    <xf numFmtId="2" fontId="1" fillId="22" borderId="5" xfId="0" applyNumberFormat="1" applyFont="1" applyFill="1" applyBorder="1"/>
    <xf numFmtId="0" fontId="1" fillId="22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right"/>
    </xf>
    <xf numFmtId="2" fontId="1" fillId="12" borderId="5" xfId="0" applyNumberFormat="1" applyFont="1" applyFill="1" applyBorder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165" fontId="1" fillId="3" borderId="0" xfId="0" applyNumberFormat="1" applyFont="1" applyFill="1" applyBorder="1"/>
    <xf numFmtId="3" fontId="0" fillId="11" borderId="0" xfId="0" applyNumberFormat="1" applyFill="1"/>
    <xf numFmtId="0" fontId="1" fillId="3" borderId="20" xfId="0" applyFont="1" applyFill="1" applyBorder="1"/>
    <xf numFmtId="169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/>
    <xf numFmtId="165" fontId="2" fillId="0" borderId="5" xfId="0" applyNumberFormat="1" applyFont="1" applyFill="1" applyBorder="1" applyAlignment="1">
      <alignment horizontal="right"/>
    </xf>
    <xf numFmtId="167" fontId="4" fillId="0" borderId="5" xfId="0" applyNumberFormat="1" applyFont="1" applyFill="1" applyBorder="1"/>
    <xf numFmtId="3" fontId="19" fillId="0" borderId="5" xfId="0" applyNumberFormat="1" applyFont="1" applyFill="1" applyBorder="1"/>
    <xf numFmtId="0" fontId="7" fillId="2" borderId="0" xfId="0" applyFont="1" applyFill="1" applyBorder="1"/>
    <xf numFmtId="0" fontId="11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1" fontId="0" fillId="2" borderId="0" xfId="0" applyNumberForma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0" fillId="0" borderId="14" xfId="0" applyFill="1" applyBorder="1"/>
    <xf numFmtId="2" fontId="0" fillId="17" borderId="14" xfId="0" applyNumberFormat="1" applyFill="1" applyBorder="1" applyAlignment="1">
      <alignment horizontal="center"/>
    </xf>
    <xf numFmtId="165" fontId="2" fillId="15" borderId="17" xfId="0" applyNumberFormat="1" applyFont="1" applyFill="1" applyBorder="1"/>
    <xf numFmtId="2" fontId="2" fillId="9" borderId="5" xfId="0" applyNumberFormat="1" applyFont="1" applyFill="1" applyBorder="1"/>
    <xf numFmtId="2" fontId="22" fillId="17" borderId="5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1" fillId="11" borderId="5" xfId="0" applyFont="1" applyFill="1" applyBorder="1" applyAlignment="1">
      <alignment horizontal="left"/>
    </xf>
    <xf numFmtId="0" fontId="20" fillId="3" borderId="20" xfId="0" applyFont="1" applyFill="1" applyBorder="1" applyAlignment="1"/>
    <xf numFmtId="0" fontId="20" fillId="3" borderId="16" xfId="0" applyFont="1" applyFill="1" applyBorder="1" applyAlignment="1"/>
    <xf numFmtId="0" fontId="20" fillId="3" borderId="17" xfId="0" applyFont="1" applyFill="1" applyBorder="1" applyAlignment="1"/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165" fontId="1" fillId="12" borderId="5" xfId="0" applyNumberFormat="1" applyFont="1" applyFill="1" applyBorder="1" applyAlignment="1">
      <alignment horizontal="right"/>
    </xf>
    <xf numFmtId="0" fontId="0" fillId="11" borderId="0" xfId="0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1" fillId="10" borderId="0" xfId="0" quotePrefix="1" applyFont="1" applyFill="1" applyAlignment="1">
      <alignment horizontal="center"/>
    </xf>
    <xf numFmtId="0" fontId="1" fillId="7" borderId="13" xfId="0" applyFont="1" applyFill="1" applyBorder="1" applyAlignment="1">
      <alignment horizontal="center"/>
    </xf>
    <xf numFmtId="2" fontId="2" fillId="12" borderId="6" xfId="0" applyNumberFormat="1" applyFont="1" applyFill="1" applyBorder="1" applyAlignment="1">
      <alignment horizontal="left"/>
    </xf>
    <xf numFmtId="0" fontId="2" fillId="12" borderId="28" xfId="0" applyFont="1" applyFill="1" applyBorder="1"/>
    <xf numFmtId="171" fontId="2" fillId="12" borderId="27" xfId="0" applyNumberFormat="1" applyFont="1" applyFill="1" applyBorder="1" applyAlignment="1">
      <alignment horizontal="left"/>
    </xf>
    <xf numFmtId="0" fontId="2" fillId="12" borderId="35" xfId="0" applyFont="1" applyFill="1" applyBorder="1"/>
    <xf numFmtId="171" fontId="2" fillId="12" borderId="8" xfId="0" applyNumberFormat="1" applyFont="1" applyFill="1" applyBorder="1" applyAlignment="1">
      <alignment horizontal="left"/>
    </xf>
    <xf numFmtId="0" fontId="0" fillId="12" borderId="36" xfId="0" applyFill="1" applyBorder="1"/>
    <xf numFmtId="0" fontId="2" fillId="25" borderId="5" xfId="0" applyFont="1" applyFill="1" applyBorder="1" applyAlignment="1">
      <alignment horizontal="center"/>
    </xf>
    <xf numFmtId="2" fontId="2" fillId="25" borderId="5" xfId="0" applyNumberFormat="1" applyFont="1" applyFill="1" applyBorder="1" applyAlignment="1">
      <alignment horizontal="center"/>
    </xf>
    <xf numFmtId="165" fontId="2" fillId="25" borderId="5" xfId="0" applyNumberFormat="1" applyFont="1" applyFill="1" applyBorder="1" applyAlignment="1">
      <alignment horizontal="center"/>
    </xf>
    <xf numFmtId="3" fontId="2" fillId="25" borderId="5" xfId="0" applyNumberFormat="1" applyFont="1" applyFill="1" applyBorder="1" applyAlignment="1">
      <alignment horizontal="center"/>
    </xf>
    <xf numFmtId="165" fontId="2" fillId="25" borderId="5" xfId="0" applyNumberFormat="1" applyFont="1" applyFill="1" applyBorder="1"/>
    <xf numFmtId="0" fontId="0" fillId="11" borderId="0" xfId="0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7" fontId="3" fillId="7" borderId="0" xfId="0" applyNumberFormat="1" applyFont="1" applyFill="1" applyBorder="1"/>
    <xf numFmtId="2" fontId="2" fillId="12" borderId="0" xfId="0" applyNumberFormat="1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172" fontId="0" fillId="0" borderId="0" xfId="0" applyNumberFormat="1"/>
    <xf numFmtId="0" fontId="2" fillId="0" borderId="0" xfId="0" applyFont="1"/>
    <xf numFmtId="17" fontId="1" fillId="0" borderId="0" xfId="0" applyNumberFormat="1" applyFont="1"/>
    <xf numFmtId="0" fontId="1" fillId="0" borderId="0" xfId="0" applyFont="1" applyFill="1" applyBorder="1"/>
    <xf numFmtId="172" fontId="2" fillId="2" borderId="0" xfId="0" applyNumberFormat="1" applyFont="1" applyFill="1" applyBorder="1" applyAlignment="1">
      <alignment horizontal="center"/>
    </xf>
    <xf numFmtId="172" fontId="2" fillId="2" borderId="0" xfId="0" applyNumberFormat="1" applyFont="1" applyFill="1"/>
    <xf numFmtId="172" fontId="2" fillId="2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1" fillId="11" borderId="5" xfId="0" applyFont="1" applyFill="1" applyBorder="1" applyAlignment="1">
      <alignment horizontal="left"/>
    </xf>
    <xf numFmtId="0" fontId="20" fillId="3" borderId="20" xfId="0" applyFont="1" applyFill="1" applyBorder="1" applyAlignment="1"/>
    <xf numFmtId="0" fontId="20" fillId="3" borderId="16" xfId="0" applyFont="1" applyFill="1" applyBorder="1" applyAlignment="1"/>
    <xf numFmtId="0" fontId="20" fillId="3" borderId="17" xfId="0" applyFont="1" applyFill="1" applyBorder="1" applyAlignment="1"/>
    <xf numFmtId="0" fontId="1" fillId="11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1" fontId="6" fillId="12" borderId="0" xfId="0" applyNumberFormat="1" applyFont="1" applyFill="1" applyBorder="1" applyAlignment="1">
      <alignment horizontal="center"/>
    </xf>
    <xf numFmtId="165" fontId="4" fillId="15" borderId="5" xfId="0" quotePrefix="1" applyNumberFormat="1" applyFont="1" applyFill="1" applyBorder="1"/>
    <xf numFmtId="9" fontId="1" fillId="15" borderId="5" xfId="0" applyNumberFormat="1" applyFont="1" applyFill="1" applyBorder="1" applyAlignment="1">
      <alignment horizontal="center"/>
    </xf>
    <xf numFmtId="0" fontId="19" fillId="11" borderId="0" xfId="0" applyFont="1" applyFill="1"/>
    <xf numFmtId="0" fontId="19" fillId="11" borderId="0" xfId="0" applyFont="1" applyFill="1" applyAlignment="1">
      <alignment horizontal="center"/>
    </xf>
    <xf numFmtId="0" fontId="28" fillId="11" borderId="0" xfId="0" applyFont="1" applyFill="1"/>
    <xf numFmtId="2" fontId="2" fillId="11" borderId="0" xfId="0" applyNumberFormat="1" applyFont="1" applyFill="1"/>
    <xf numFmtId="0" fontId="1" fillId="11" borderId="0" xfId="0" applyFont="1" applyFill="1"/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9" fontId="2" fillId="2" borderId="0" xfId="1" applyFont="1" applyFill="1" applyBorder="1" applyAlignment="1">
      <alignment horizontal="center"/>
    </xf>
    <xf numFmtId="172" fontId="0" fillId="2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15" borderId="22" xfId="0" applyFont="1" applyFill="1" applyBorder="1" applyAlignment="1">
      <alignment horizontal="center"/>
    </xf>
    <xf numFmtId="0" fontId="21" fillId="3" borderId="20" xfId="0" applyFont="1" applyFill="1" applyBorder="1"/>
    <xf numFmtId="0" fontId="21" fillId="3" borderId="16" xfId="0" applyFont="1" applyFill="1" applyBorder="1"/>
    <xf numFmtId="0" fontId="11" fillId="3" borderId="17" xfId="0" applyFont="1" applyFill="1" applyBorder="1"/>
    <xf numFmtId="2" fontId="4" fillId="2" borderId="0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left"/>
    </xf>
    <xf numFmtId="171" fontId="2" fillId="12" borderId="0" xfId="0" applyNumberFormat="1" applyFont="1" applyFill="1" applyBorder="1" applyAlignment="1">
      <alignment horizontal="left"/>
    </xf>
    <xf numFmtId="171" fontId="2" fillId="12" borderId="9" xfId="0" applyNumberFormat="1" applyFont="1" applyFill="1" applyBorder="1" applyAlignment="1">
      <alignment horizontal="left"/>
    </xf>
    <xf numFmtId="165" fontId="4" fillId="17" borderId="5" xfId="0" applyNumberFormat="1" applyFont="1" applyFill="1" applyBorder="1" applyAlignment="1">
      <alignment horizontal="center"/>
    </xf>
    <xf numFmtId="165" fontId="4" fillId="17" borderId="5" xfId="0" applyNumberFormat="1" applyFont="1" applyFill="1" applyBorder="1" applyAlignment="1">
      <alignment horizontal="left"/>
    </xf>
    <xf numFmtId="2" fontId="4" fillId="17" borderId="5" xfId="0" applyNumberFormat="1" applyFont="1" applyFill="1" applyBorder="1" applyAlignment="1">
      <alignment horizontal="center"/>
    </xf>
    <xf numFmtId="14" fontId="7" fillId="2" borderId="0" xfId="0" applyNumberFormat="1" applyFont="1" applyFill="1"/>
    <xf numFmtId="2" fontId="2" fillId="3" borderId="17" xfId="0" applyNumberFormat="1" applyFont="1" applyFill="1" applyBorder="1" applyAlignment="1">
      <alignment horizontal="center"/>
    </xf>
    <xf numFmtId="2" fontId="19" fillId="3" borderId="17" xfId="0" applyNumberFormat="1" applyFont="1" applyFill="1" applyBorder="1" applyAlignment="1">
      <alignment horizontal="center"/>
    </xf>
    <xf numFmtId="0" fontId="4" fillId="17" borderId="5" xfId="0" applyFont="1" applyFill="1" applyBorder="1"/>
    <xf numFmtId="0" fontId="2" fillId="2" borderId="5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165" fontId="2" fillId="3" borderId="14" xfId="0" applyNumberFormat="1" applyFont="1" applyFill="1" applyBorder="1" applyAlignment="1">
      <alignment horizontal="center"/>
    </xf>
    <xf numFmtId="0" fontId="2" fillId="17" borderId="0" xfId="0" applyFont="1" applyFill="1" applyBorder="1"/>
    <xf numFmtId="0" fontId="0" fillId="9" borderId="29" xfId="0" applyFill="1" applyBorder="1"/>
    <xf numFmtId="0" fontId="4" fillId="25" borderId="0" xfId="0" applyFont="1" applyFill="1" applyBorder="1" applyAlignment="1">
      <alignment horizontal="center"/>
    </xf>
    <xf numFmtId="0" fontId="2" fillId="17" borderId="5" xfId="0" applyFont="1" applyFill="1" applyBorder="1"/>
    <xf numFmtId="0" fontId="2" fillId="17" borderId="5" xfId="0" applyFont="1" applyFill="1" applyBorder="1" applyAlignment="1">
      <alignment horizontal="center"/>
    </xf>
    <xf numFmtId="165" fontId="0" fillId="17" borderId="0" xfId="0" applyNumberFormat="1" applyFill="1"/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14" fontId="25" fillId="20" borderId="20" xfId="0" applyNumberFormat="1" applyFont="1" applyFill="1" applyBorder="1"/>
    <xf numFmtId="0" fontId="2" fillId="12" borderId="5" xfId="0" applyFont="1" applyFill="1" applyBorder="1"/>
    <xf numFmtId="0" fontId="2" fillId="25" borderId="5" xfId="0" applyFont="1" applyFill="1" applyBorder="1"/>
    <xf numFmtId="0" fontId="2" fillId="18" borderId="5" xfId="0" applyFont="1" applyFill="1" applyBorder="1"/>
    <xf numFmtId="0" fontId="0" fillId="0" borderId="5" xfId="0" applyBorder="1"/>
    <xf numFmtId="0" fontId="13" fillId="0" borderId="0" xfId="0" applyFont="1"/>
    <xf numFmtId="0" fontId="23" fillId="25" borderId="6" xfId="0" applyFont="1" applyFill="1" applyBorder="1"/>
    <xf numFmtId="0" fontId="23" fillId="25" borderId="28" xfId="0" applyFont="1" applyFill="1" applyBorder="1"/>
    <xf numFmtId="0" fontId="23" fillId="25" borderId="17" xfId="0" applyFont="1" applyFill="1" applyBorder="1"/>
    <xf numFmtId="0" fontId="23" fillId="25" borderId="5" xfId="0" applyFont="1" applyFill="1" applyBorder="1"/>
    <xf numFmtId="0" fontId="2" fillId="16" borderId="5" xfId="0" applyFont="1" applyFill="1" applyBorder="1" applyAlignment="1">
      <alignment horizontal="center"/>
    </xf>
    <xf numFmtId="0" fontId="0" fillId="26" borderId="20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29" fillId="16" borderId="5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6" borderId="20" xfId="0" applyFont="1" applyFill="1" applyBorder="1" applyAlignment="1">
      <alignment horizontal="center"/>
    </xf>
    <xf numFmtId="2" fontId="0" fillId="0" borderId="5" xfId="0" applyNumberFormat="1" applyBorder="1"/>
    <xf numFmtId="172" fontId="0" fillId="0" borderId="5" xfId="0" applyNumberFormat="1" applyBorder="1"/>
    <xf numFmtId="172" fontId="1" fillId="0" borderId="5" xfId="0" applyNumberFormat="1" applyFont="1" applyBorder="1"/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0" fillId="2" borderId="0" xfId="0" applyFont="1" applyFill="1"/>
    <xf numFmtId="2" fontId="2" fillId="25" borderId="2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14" fontId="3" fillId="7" borderId="0" xfId="0" applyNumberFormat="1" applyFont="1" applyFill="1" applyBorder="1"/>
    <xf numFmtId="14" fontId="1" fillId="7" borderId="11" xfId="0" applyNumberFormat="1" applyFont="1" applyFill="1" applyBorder="1" applyAlignment="1">
      <alignment horizontal="center"/>
    </xf>
    <xf numFmtId="9" fontId="0" fillId="3" borderId="17" xfId="0" applyNumberFormat="1" applyFill="1" applyBorder="1"/>
    <xf numFmtId="2" fontId="0" fillId="28" borderId="5" xfId="0" applyNumberFormat="1" applyFill="1" applyBorder="1"/>
    <xf numFmtId="165" fontId="0" fillId="17" borderId="5" xfId="0" applyNumberFormat="1" applyFill="1" applyBorder="1"/>
    <xf numFmtId="167" fontId="2" fillId="3" borderId="5" xfId="0" applyNumberFormat="1" applyFont="1" applyFill="1" applyBorder="1"/>
    <xf numFmtId="167" fontId="2" fillId="0" borderId="5" xfId="0" applyNumberFormat="1" applyFont="1" applyFill="1" applyBorder="1"/>
    <xf numFmtId="165" fontId="2" fillId="17" borderId="5" xfId="0" applyNumberFormat="1" applyFont="1" applyFill="1" applyBorder="1"/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72" fontId="2" fillId="17" borderId="5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1" fillId="11" borderId="5" xfId="0" applyFont="1" applyFill="1" applyBorder="1" applyAlignment="1">
      <alignment horizontal="left"/>
    </xf>
    <xf numFmtId="0" fontId="20" fillId="3" borderId="20" xfId="0" applyFont="1" applyFill="1" applyBorder="1" applyAlignment="1"/>
    <xf numFmtId="0" fontId="20" fillId="3" borderId="16" xfId="0" applyFont="1" applyFill="1" applyBorder="1" applyAlignment="1"/>
    <xf numFmtId="0" fontId="20" fillId="3" borderId="17" xfId="0" applyFont="1" applyFill="1" applyBorder="1" applyAlignment="1"/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72" fontId="4" fillId="2" borderId="0" xfId="0" applyNumberFormat="1" applyFont="1" applyFill="1" applyBorder="1" applyAlignment="1">
      <alignment horizontal="center"/>
    </xf>
    <xf numFmtId="172" fontId="2" fillId="2" borderId="0" xfId="1" applyNumberFormat="1" applyFont="1" applyFill="1" applyBorder="1" applyAlignment="1">
      <alignment horizontal="center"/>
    </xf>
    <xf numFmtId="172" fontId="0" fillId="2" borderId="0" xfId="1" applyNumberFormat="1" applyFont="1" applyFill="1" applyBorder="1" applyAlignment="1">
      <alignment horizontal="center"/>
    </xf>
    <xf numFmtId="172" fontId="0" fillId="2" borderId="0" xfId="0" applyNumberFormat="1" applyFill="1" applyAlignment="1">
      <alignment horizontal="center"/>
    </xf>
    <xf numFmtId="172" fontId="0" fillId="12" borderId="0" xfId="0" applyNumberFormat="1" applyFill="1" applyBorder="1" applyAlignment="1">
      <alignment horizontal="center"/>
    </xf>
    <xf numFmtId="172" fontId="2" fillId="12" borderId="0" xfId="0" applyNumberFormat="1" applyFont="1" applyFill="1" applyAlignment="1">
      <alignment horizontal="center"/>
    </xf>
    <xf numFmtId="165" fontId="2" fillId="15" borderId="18" xfId="0" applyNumberFormat="1" applyFont="1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5" fillId="9" borderId="5" xfId="0" applyNumberFormat="1" applyFont="1" applyFill="1" applyBorder="1" applyAlignment="1">
      <alignment horizontal="right"/>
    </xf>
    <xf numFmtId="0" fontId="0" fillId="8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2" fillId="18" borderId="0" xfId="1" applyNumberFormat="1" applyFont="1" applyFill="1" applyBorder="1" applyAlignment="1">
      <alignment horizontal="center"/>
    </xf>
    <xf numFmtId="2" fontId="2" fillId="18" borderId="5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72" fontId="2" fillId="12" borderId="29" xfId="0" applyNumberFormat="1" applyFont="1" applyFill="1" applyBorder="1" applyAlignment="1">
      <alignment horizontal="center"/>
    </xf>
    <xf numFmtId="172" fontId="2" fillId="12" borderId="34" xfId="0" applyNumberFormat="1" applyFont="1" applyFill="1" applyBorder="1" applyAlignment="1">
      <alignment horizontal="center"/>
    </xf>
    <xf numFmtId="0" fontId="0" fillId="1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9" borderId="0" xfId="0" applyFill="1"/>
    <xf numFmtId="0" fontId="0" fillId="11" borderId="0" xfId="0" applyFill="1" applyAlignment="1">
      <alignment horizontal="center"/>
    </xf>
    <xf numFmtId="0" fontId="28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1" fillId="17" borderId="0" xfId="0" applyFont="1" applyFill="1"/>
    <xf numFmtId="9" fontId="1" fillId="2" borderId="0" xfId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16" fillId="11" borderId="0" xfId="0" applyFont="1" applyFill="1"/>
    <xf numFmtId="0" fontId="3" fillId="11" borderId="0" xfId="0" applyFont="1" applyFill="1"/>
    <xf numFmtId="2" fontId="3" fillId="11" borderId="0" xfId="0" applyNumberFormat="1" applyFont="1" applyFill="1"/>
    <xf numFmtId="0" fontId="0" fillId="11" borderId="0" xfId="0" applyFill="1" applyAlignment="1">
      <alignment horizontal="center"/>
    </xf>
    <xf numFmtId="165" fontId="0" fillId="11" borderId="0" xfId="0" applyNumberFormat="1" applyFill="1" applyAlignment="1">
      <alignment horizontal="center"/>
    </xf>
    <xf numFmtId="165" fontId="0" fillId="11" borderId="0" xfId="0" applyNumberFormat="1" applyFill="1"/>
    <xf numFmtId="165" fontId="2" fillId="2" borderId="0" xfId="0" applyNumberFormat="1" applyFont="1" applyFill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6" borderId="15" xfId="0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6" borderId="17" xfId="0" applyFill="1" applyBorder="1" applyAlignment="1">
      <alignment horizontal="left"/>
    </xf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165" fontId="1" fillId="9" borderId="5" xfId="0" applyNumberFormat="1" applyFont="1" applyFill="1" applyBorder="1"/>
    <xf numFmtId="17" fontId="20" fillId="12" borderId="0" xfId="0" applyNumberFormat="1" applyFont="1" applyFill="1" applyAlignment="1">
      <alignment horizontal="center"/>
    </xf>
    <xf numFmtId="4" fontId="1" fillId="9" borderId="5" xfId="0" applyNumberFormat="1" applyFont="1" applyFill="1" applyBorder="1"/>
    <xf numFmtId="0" fontId="19" fillId="0" borderId="20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5" fillId="11" borderId="0" xfId="0" applyFont="1" applyFill="1" applyAlignment="1">
      <alignment horizontal="right"/>
    </xf>
    <xf numFmtId="0" fontId="0" fillId="11" borderId="30" xfId="0" applyFill="1" applyBorder="1" applyAlignment="1">
      <alignment horizontal="right"/>
    </xf>
    <xf numFmtId="0" fontId="0" fillId="0" borderId="20" xfId="0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2" fillId="0" borderId="20" xfId="0" applyFont="1" applyFill="1" applyBorder="1" applyAlignment="1"/>
    <xf numFmtId="0" fontId="2" fillId="0" borderId="16" xfId="0" applyFont="1" applyFill="1" applyBorder="1" applyAlignment="1"/>
    <xf numFmtId="0" fontId="2" fillId="0" borderId="17" xfId="0" applyFont="1" applyFill="1" applyBorder="1" applyAlignment="1"/>
    <xf numFmtId="0" fontId="21" fillId="2" borderId="20" xfId="0" applyFont="1" applyFill="1" applyBorder="1" applyAlignment="1">
      <alignment horizontal="left"/>
    </xf>
    <xf numFmtId="0" fontId="21" fillId="2" borderId="16" xfId="0" applyFont="1" applyFill="1" applyBorder="1" applyAlignment="1">
      <alignment horizontal="left"/>
    </xf>
    <xf numFmtId="0" fontId="21" fillId="2" borderId="17" xfId="0" applyFont="1" applyFill="1" applyBorder="1" applyAlignment="1">
      <alignment horizontal="left"/>
    </xf>
    <xf numFmtId="0" fontId="5" fillId="3" borderId="20" xfId="0" applyFont="1" applyFill="1" applyBorder="1" applyAlignment="1"/>
    <xf numFmtId="0" fontId="5" fillId="3" borderId="16" xfId="0" applyFont="1" applyFill="1" applyBorder="1" applyAlignment="1"/>
    <xf numFmtId="0" fontId="5" fillId="3" borderId="17" xfId="0" applyFont="1" applyFill="1" applyBorder="1" applyAlignment="1"/>
    <xf numFmtId="0" fontId="1" fillId="3" borderId="20" xfId="0" applyFont="1" applyFill="1" applyBorder="1" applyAlignment="1"/>
    <xf numFmtId="0" fontId="1" fillId="3" borderId="20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21" fillId="2" borderId="5" xfId="0" applyFont="1" applyFill="1" applyBorder="1" applyAlignment="1">
      <alignment horizontal="left"/>
    </xf>
    <xf numFmtId="0" fontId="21" fillId="11" borderId="5" xfId="0" applyFont="1" applyFill="1" applyBorder="1" applyAlignment="1">
      <alignment horizontal="left"/>
    </xf>
    <xf numFmtId="0" fontId="20" fillId="3" borderId="20" xfId="0" applyFont="1" applyFill="1" applyBorder="1" applyAlignment="1"/>
    <xf numFmtId="0" fontId="20" fillId="3" borderId="16" xfId="0" applyFont="1" applyFill="1" applyBorder="1" applyAlignment="1"/>
    <xf numFmtId="0" fontId="20" fillId="3" borderId="17" xfId="0" applyFont="1" applyFill="1" applyBorder="1" applyAlignment="1"/>
    <xf numFmtId="0" fontId="5" fillId="11" borderId="24" xfId="0" applyFont="1" applyFill="1" applyBorder="1" applyAlignment="1">
      <alignment horizontal="right"/>
    </xf>
    <xf numFmtId="0" fontId="0" fillId="11" borderId="24" xfId="0" applyFill="1" applyBorder="1" applyAlignment="1">
      <alignment horizontal="right"/>
    </xf>
    <xf numFmtId="0" fontId="0" fillId="8" borderId="0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19" fillId="3" borderId="20" xfId="0" applyFont="1" applyFill="1" applyBorder="1" applyAlignment="1">
      <alignment horizontal="left"/>
    </xf>
    <xf numFmtId="0" fontId="19" fillId="3" borderId="16" xfId="0" applyFont="1" applyFill="1" applyBorder="1" applyAlignment="1">
      <alignment horizontal="left"/>
    </xf>
    <xf numFmtId="0" fontId="19" fillId="3" borderId="17" xfId="0" applyFont="1" applyFill="1" applyBorder="1" applyAlignment="1">
      <alignment horizontal="left"/>
    </xf>
    <xf numFmtId="0" fontId="20" fillId="14" borderId="0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right"/>
    </xf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1" fillId="17" borderId="20" xfId="0" applyFont="1" applyFill="1" applyBorder="1" applyAlignment="1">
      <alignment horizontal="left"/>
    </xf>
    <xf numFmtId="0" fontId="1" fillId="17" borderId="16" xfId="0" applyFont="1" applyFill="1" applyBorder="1" applyAlignment="1">
      <alignment horizontal="left"/>
    </xf>
    <xf numFmtId="0" fontId="1" fillId="17" borderId="17" xfId="0" applyFont="1" applyFill="1" applyBorder="1" applyAlignment="1">
      <alignment horizontal="left"/>
    </xf>
    <xf numFmtId="0" fontId="1" fillId="11" borderId="0" xfId="0" applyFont="1" applyFill="1" applyAlignment="1">
      <alignment horizontal="right"/>
    </xf>
    <xf numFmtId="0" fontId="1" fillId="0" borderId="20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6" borderId="31" xfId="0" applyFill="1" applyBorder="1" applyAlignment="1">
      <alignment horizontal="left"/>
    </xf>
    <xf numFmtId="0" fontId="0" fillId="16" borderId="32" xfId="0" applyFill="1" applyBorder="1" applyAlignment="1">
      <alignment horizontal="left"/>
    </xf>
    <xf numFmtId="0" fontId="0" fillId="16" borderId="33" xfId="0" applyFill="1" applyBorder="1" applyAlignment="1">
      <alignment horizontal="left"/>
    </xf>
    <xf numFmtId="0" fontId="0" fillId="16" borderId="15" xfId="0" applyFill="1" applyBorder="1" applyAlignment="1">
      <alignment horizontal="left"/>
    </xf>
    <xf numFmtId="0" fontId="0" fillId="16" borderId="16" xfId="0" applyFill="1" applyBorder="1" applyAlignment="1">
      <alignment horizontal="left"/>
    </xf>
    <xf numFmtId="0" fontId="0" fillId="16" borderId="17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15" borderId="16" xfId="0" applyFill="1" applyBorder="1" applyAlignment="1">
      <alignment horizontal="left"/>
    </xf>
    <xf numFmtId="0" fontId="0" fillId="15" borderId="17" xfId="0" applyFill="1" applyBorder="1" applyAlignment="1">
      <alignment horizontal="left"/>
    </xf>
    <xf numFmtId="0" fontId="1" fillId="15" borderId="15" xfId="0" applyFont="1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5" fillId="3" borderId="20" xfId="0" applyFont="1" applyFill="1" applyBorder="1" applyAlignment="1">
      <alignment horizontal="left"/>
    </xf>
    <xf numFmtId="0" fontId="5" fillId="14" borderId="0" xfId="0" applyFont="1" applyFill="1" applyBorder="1" applyAlignment="1">
      <alignment horizontal="center"/>
    </xf>
    <xf numFmtId="0" fontId="0" fillId="14" borderId="0" xfId="0" applyFill="1" applyBorder="1" applyAlignment="1"/>
    <xf numFmtId="0" fontId="0" fillId="11" borderId="0" xfId="0" applyFill="1" applyBorder="1" applyAlignment="1">
      <alignment horizontal="center"/>
    </xf>
    <xf numFmtId="0" fontId="0" fillId="0" borderId="5" xfId="0" applyFill="1" applyBorder="1" applyAlignment="1"/>
    <xf numFmtId="0" fontId="2" fillId="2" borderId="32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0" fillId="11" borderId="32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20" fillId="2" borderId="20" xfId="0" applyFont="1" applyFill="1" applyBorder="1" applyAlignment="1">
      <alignment horizontal="left"/>
    </xf>
    <xf numFmtId="0" fontId="20" fillId="2" borderId="16" xfId="0" applyFont="1" applyFill="1" applyBorder="1" applyAlignment="1">
      <alignment horizontal="left"/>
    </xf>
    <xf numFmtId="0" fontId="20" fillId="2" borderId="17" xfId="0" applyFont="1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20" fillId="11" borderId="20" xfId="0" applyFont="1" applyFill="1" applyBorder="1" applyAlignment="1">
      <alignment horizontal="left"/>
    </xf>
    <xf numFmtId="0" fontId="20" fillId="11" borderId="16" xfId="0" applyFont="1" applyFill="1" applyBorder="1" applyAlignment="1">
      <alignment horizontal="left"/>
    </xf>
    <xf numFmtId="0" fontId="20" fillId="11" borderId="17" xfId="0" applyFont="1" applyFill="1" applyBorder="1" applyAlignment="1">
      <alignment horizontal="left"/>
    </xf>
    <xf numFmtId="0" fontId="0" fillId="11" borderId="17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0" xfId="0" applyFill="1" applyBorder="1" applyAlignment="1"/>
    <xf numFmtId="0" fontId="0" fillId="0" borderId="17" xfId="0" applyFill="1" applyBorder="1" applyAlignment="1"/>
    <xf numFmtId="0" fontId="1" fillId="11" borderId="17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right"/>
    </xf>
    <xf numFmtId="0" fontId="22" fillId="0" borderId="20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left"/>
    </xf>
    <xf numFmtId="0" fontId="0" fillId="11" borderId="16" xfId="0" applyFill="1" applyBorder="1" applyAlignment="1">
      <alignment horizontal="left"/>
    </xf>
    <xf numFmtId="0" fontId="0" fillId="11" borderId="17" xfId="0" applyFill="1" applyBorder="1" applyAlignment="1">
      <alignment horizontal="left"/>
    </xf>
    <xf numFmtId="0" fontId="21" fillId="11" borderId="20" xfId="0" applyFont="1" applyFill="1" applyBorder="1" applyAlignment="1">
      <alignment horizontal="left"/>
    </xf>
    <xf numFmtId="0" fontId="21" fillId="11" borderId="16" xfId="0" applyFont="1" applyFill="1" applyBorder="1" applyAlignment="1">
      <alignment horizontal="left"/>
    </xf>
    <xf numFmtId="0" fontId="21" fillId="11" borderId="17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right"/>
    </xf>
    <xf numFmtId="0" fontId="0" fillId="11" borderId="16" xfId="0" applyFill="1" applyBorder="1" applyAlignment="1">
      <alignment horizontal="right"/>
    </xf>
    <xf numFmtId="0" fontId="0" fillId="11" borderId="17" xfId="0" applyFill="1" applyBorder="1" applyAlignment="1">
      <alignment horizontal="right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/>
    </xf>
    <xf numFmtId="0" fontId="2" fillId="17" borderId="20" xfId="0" applyFont="1" applyFill="1" applyBorder="1" applyAlignment="1">
      <alignment horizontal="left"/>
    </xf>
    <xf numFmtId="0" fontId="2" fillId="17" borderId="16" xfId="0" applyFont="1" applyFill="1" applyBorder="1" applyAlignment="1">
      <alignment horizontal="left"/>
    </xf>
    <xf numFmtId="0" fontId="2" fillId="17" borderId="17" xfId="0" applyFont="1" applyFill="1" applyBorder="1" applyAlignment="1">
      <alignment horizontal="left"/>
    </xf>
    <xf numFmtId="0" fontId="1" fillId="12" borderId="20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12" borderId="20" xfId="0" applyFont="1" applyFill="1" applyBorder="1" applyAlignment="1"/>
    <xf numFmtId="0" fontId="1" fillId="12" borderId="16" xfId="0" applyFont="1" applyFill="1" applyBorder="1" applyAlignment="1"/>
    <xf numFmtId="0" fontId="1" fillId="12" borderId="17" xfId="0" applyFont="1" applyFill="1" applyBorder="1" applyAlignment="1"/>
    <xf numFmtId="0" fontId="2" fillId="12" borderId="20" xfId="0" applyFont="1" applyFill="1" applyBorder="1" applyAlignment="1"/>
    <xf numFmtId="0" fontId="2" fillId="12" borderId="16" xfId="0" applyFont="1" applyFill="1" applyBorder="1" applyAlignment="1"/>
    <xf numFmtId="0" fontId="2" fillId="12" borderId="17" xfId="0" applyFont="1" applyFill="1" applyBorder="1" applyAlignment="1"/>
    <xf numFmtId="0" fontId="1" fillId="12" borderId="20" xfId="0" applyFont="1" applyFill="1" applyBorder="1" applyAlignment="1">
      <alignment horizontal="left"/>
    </xf>
    <xf numFmtId="0" fontId="1" fillId="12" borderId="16" xfId="0" applyFont="1" applyFill="1" applyBorder="1" applyAlignment="1">
      <alignment horizontal="left"/>
    </xf>
    <xf numFmtId="0" fontId="1" fillId="12" borderId="17" xfId="0" applyFont="1" applyFill="1" applyBorder="1" applyAlignment="1">
      <alignment horizontal="left"/>
    </xf>
    <xf numFmtId="0" fontId="1" fillId="17" borderId="20" xfId="0" applyFont="1" applyFill="1" applyBorder="1" applyAlignment="1"/>
    <xf numFmtId="0" fontId="1" fillId="17" borderId="16" xfId="0" applyFont="1" applyFill="1" applyBorder="1" applyAlignment="1"/>
    <xf numFmtId="0" fontId="1" fillId="17" borderId="17" xfId="0" applyFont="1" applyFill="1" applyBorder="1" applyAlignme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colors>
    <mruColors>
      <color rgb="FFBA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3</xdr:col>
      <xdr:colOff>123825</xdr:colOff>
      <xdr:row>1</xdr:row>
      <xdr:rowOff>171450</xdr:rowOff>
    </xdr:to>
    <xdr:pic>
      <xdr:nvPicPr>
        <xdr:cNvPr id="65230" name="Picture 3" descr="Brennfee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752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57150</xdr:rowOff>
    </xdr:from>
    <xdr:to>
      <xdr:col>2</xdr:col>
      <xdr:colOff>19050</xdr:colOff>
      <xdr:row>6</xdr:row>
      <xdr:rowOff>95250</xdr:rowOff>
    </xdr:to>
    <xdr:pic>
      <xdr:nvPicPr>
        <xdr:cNvPr id="113730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6287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1</xdr:row>
      <xdr:rowOff>57150</xdr:rowOff>
    </xdr:from>
    <xdr:to>
      <xdr:col>1</xdr:col>
      <xdr:colOff>1200149</xdr:colOff>
      <xdr:row>6</xdr:row>
      <xdr:rowOff>0</xdr:rowOff>
    </xdr:to>
    <xdr:pic>
      <xdr:nvPicPr>
        <xdr:cNvPr id="114778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219075"/>
          <a:ext cx="1209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13</xdr:row>
      <xdr:rowOff>104775</xdr:rowOff>
    </xdr:to>
    <xdr:pic>
      <xdr:nvPicPr>
        <xdr:cNvPr id="114779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514475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6</xdr:row>
      <xdr:rowOff>95250</xdr:rowOff>
    </xdr:to>
    <xdr:pic>
      <xdr:nvPicPr>
        <xdr:cNvPr id="5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6287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57150</xdr:rowOff>
    </xdr:from>
    <xdr:to>
      <xdr:col>1</xdr:col>
      <xdr:colOff>981075</xdr:colOff>
      <xdr:row>6</xdr:row>
      <xdr:rowOff>95250</xdr:rowOff>
    </xdr:to>
    <xdr:pic>
      <xdr:nvPicPr>
        <xdr:cNvPr id="6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19075"/>
          <a:ext cx="9906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14</xdr:row>
      <xdr:rowOff>95250</xdr:rowOff>
    </xdr:to>
    <xdr:pic>
      <xdr:nvPicPr>
        <xdr:cNvPr id="7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7</xdr:row>
      <xdr:rowOff>28575</xdr:rowOff>
    </xdr:to>
    <xdr:pic>
      <xdr:nvPicPr>
        <xdr:cNvPr id="8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1</xdr:row>
      <xdr:rowOff>57150</xdr:rowOff>
    </xdr:from>
    <xdr:to>
      <xdr:col>1</xdr:col>
      <xdr:colOff>1200149</xdr:colOff>
      <xdr:row>6</xdr:row>
      <xdr:rowOff>123825</xdr:rowOff>
    </xdr:to>
    <xdr:pic>
      <xdr:nvPicPr>
        <xdr:cNvPr id="5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219075"/>
          <a:ext cx="1209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14</xdr:row>
      <xdr:rowOff>95250</xdr:rowOff>
    </xdr:to>
    <xdr:pic>
      <xdr:nvPicPr>
        <xdr:cNvPr id="6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7</xdr:row>
      <xdr:rowOff>57150</xdr:rowOff>
    </xdr:to>
    <xdr:pic>
      <xdr:nvPicPr>
        <xdr:cNvPr id="7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13</xdr:row>
      <xdr:rowOff>104775</xdr:rowOff>
    </xdr:to>
    <xdr:pic>
      <xdr:nvPicPr>
        <xdr:cNvPr id="15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6</xdr:row>
      <xdr:rowOff>123825</xdr:rowOff>
    </xdr:to>
    <xdr:pic>
      <xdr:nvPicPr>
        <xdr:cNvPr id="16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1</xdr:row>
      <xdr:rowOff>57150</xdr:rowOff>
    </xdr:from>
    <xdr:to>
      <xdr:col>1</xdr:col>
      <xdr:colOff>1200149</xdr:colOff>
      <xdr:row>6</xdr:row>
      <xdr:rowOff>123825</xdr:rowOff>
    </xdr:to>
    <xdr:pic>
      <xdr:nvPicPr>
        <xdr:cNvPr id="5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219075"/>
          <a:ext cx="1209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14</xdr:row>
      <xdr:rowOff>95250</xdr:rowOff>
    </xdr:to>
    <xdr:pic>
      <xdr:nvPicPr>
        <xdr:cNvPr id="6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7</xdr:row>
      <xdr:rowOff>57150</xdr:rowOff>
    </xdr:to>
    <xdr:pic>
      <xdr:nvPicPr>
        <xdr:cNvPr id="7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13</xdr:row>
      <xdr:rowOff>104775</xdr:rowOff>
    </xdr:to>
    <xdr:pic>
      <xdr:nvPicPr>
        <xdr:cNvPr id="12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6</xdr:row>
      <xdr:rowOff>123825</xdr:rowOff>
    </xdr:to>
    <xdr:pic>
      <xdr:nvPicPr>
        <xdr:cNvPr id="13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1</xdr:row>
      <xdr:rowOff>57150</xdr:rowOff>
    </xdr:from>
    <xdr:to>
      <xdr:col>1</xdr:col>
      <xdr:colOff>1200149</xdr:colOff>
      <xdr:row>6</xdr:row>
      <xdr:rowOff>123825</xdr:rowOff>
    </xdr:to>
    <xdr:pic>
      <xdr:nvPicPr>
        <xdr:cNvPr id="2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" y="219075"/>
          <a:ext cx="12096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14</xdr:row>
      <xdr:rowOff>95250</xdr:rowOff>
    </xdr:to>
    <xdr:pic>
      <xdr:nvPicPr>
        <xdr:cNvPr id="3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7</xdr:row>
      <xdr:rowOff>57150</xdr:rowOff>
    </xdr:to>
    <xdr:pic>
      <xdr:nvPicPr>
        <xdr:cNvPr id="4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57150</xdr:rowOff>
    </xdr:from>
    <xdr:to>
      <xdr:col>1</xdr:col>
      <xdr:colOff>19050</xdr:colOff>
      <xdr:row>13</xdr:row>
      <xdr:rowOff>104775</xdr:rowOff>
    </xdr:to>
    <xdr:pic>
      <xdr:nvPicPr>
        <xdr:cNvPr id="9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"/>
          <a:ext cx="190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57150</xdr:rowOff>
    </xdr:from>
    <xdr:to>
      <xdr:col>1</xdr:col>
      <xdr:colOff>47625</xdr:colOff>
      <xdr:row>6</xdr:row>
      <xdr:rowOff>123825</xdr:rowOff>
    </xdr:to>
    <xdr:pic>
      <xdr:nvPicPr>
        <xdr:cNvPr id="10" name="Picture 2" descr="C:\Users\manuel\Pictures\Pictures\LOGOS\AMAZON-LOGO-201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9075"/>
          <a:ext cx="190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Documents\AMAZON%20AGROSCIENCES\AMAZON%20AGROSCIENCES\PROGRAMAS%20PARA%20FABRICA&#199;AO%20DE%20FORMULAS\2016\Novembro%201016\TABELA%20UNICER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wnloads\Programa%20de%20fabrica&#231;&#227;o%20Nitratos%20e%20Fosfito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Documents\AMAZON%20AGROSCIENCES\AMAZON%20AGROSCIENCES\PROGRAMAS%20PARA%20FABRICA&#199;AO%20DE%20FORMULAS\2016\Novembro%201016\Programa%20de%20fabrica&#231;&#227;o%20Nitratos%20e%20Fosfi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Documents\AMAZON%20AGROSCIENCES\AMAZON%20AGROSCIENCES\PROGRAMAS%20PARA%20FABRICA&#199;AO%20DE%20FORMULAS\2018%20PROGRAMAS%20DE%20COSTEO%20DE%20FORMULAS\Janeiro%202018\FORMULAS%20SOB%20ENCOMEN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Documents\AMAZON%20AGROSCIENCES\AMAZON%20AGROSCIENCES\PROGRAMAS%20PARA%20FABRICA&#199;AO%20DE%20FORMULAS\2018%20PROGRAMAS%20DE%20COSTEO%20DE%20FORMULAS\JUNHO%202018\02-%20Comercial%20%20foliares-%20ABRIL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cuments\Documents\AMAZON%20AGROSCIENCES\AMAZON%20AGROSCIENCES\PROGRAMAS%20PARA%20FABRICA&#199;AO%20DE%20FORMULAS\2015\ABRIL\Programa%20de%20fabrica&#231;&#227;o%20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cuments\Documents\AMAZON%20AGROSCIENCES\AMAZON%20AGROSCIENCES\PROGRAMAS%20PARA%20FABRICA&#199;AO%20DE%20FORMULAS\Programa%20de%20Fabrica&#231;&#227;o%20Nitratos%20Brennta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cuments\Documents\AMAZON%20AGROSCIENCES\AMAZON%20AGROSCIENCES\PROGRAMAS%20PARA%20FABRICA&#199;AO%20DE%20FORMULAS\2015\JANEIRO%202015\Programa%20de%20fabrica&#231;&#227;o%20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wnloads\Programa%20de%20fabrica&#231;&#227;o%20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nuel\Downloads\TABELA%20UNICER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Documents\AMAZON%20AGROSCIENCES\AMAZON%20AGROSCIENCES\PROGRAMAS%20PARA%20FABRICA&#199;AO%20DE%20FORMULAS\2017%20PROGRAMA%20DE%20FABRICA&#199;&#195;O\NOVEMBRO%202017\Comer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OURO PRETO PLUS"/>
      <sheetName val="CITRUS 100"/>
      <sheetName val="PLANTA 100"/>
      <sheetName val="NITRO K ORGANICO"/>
      <sheetName val="RADIX 2-10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OURO 100"/>
      <sheetName val="CALBIUM MAG"/>
      <sheetName val="CALBIUM BORO"/>
      <sheetName val="BIOMIX PLUS"/>
      <sheetName val="TOTAL 5"/>
      <sheetName val="PLANTA 100 Nitratos"/>
      <sheetName val="Micros Mol. "/>
      <sheetName val="UP PLUS"/>
      <sheetName val="PLANTA CANA"/>
      <sheetName val="AQUADOWN"/>
      <sheetName val="FLORADA MIX"/>
      <sheetName val="BIOPHOS PLUS"/>
      <sheetName val="LIQUID K"/>
      <sheetName val="NITREX"/>
      <sheetName val="Nutriflora Mix Nitratos"/>
      <sheetName val="KICELLUM MAG"/>
      <sheetName val="KICELLUM CALCIO"/>
      <sheetName val="FERT CALCIO"/>
      <sheetName val="FERT MAG"/>
      <sheetName val="UNICERES"/>
      <sheetName val="PREÇOS A UNICERES"/>
      <sheetName val="Plan2"/>
    </sheetNames>
    <sheetDataSet>
      <sheetData sheetId="0" refreshError="1"/>
      <sheetData sheetId="1" refreshError="1">
        <row r="10">
          <cell r="G10">
            <v>0.01</v>
          </cell>
        </row>
        <row r="55">
          <cell r="G55">
            <v>0.09</v>
          </cell>
        </row>
        <row r="66">
          <cell r="C66">
            <v>0.82</v>
          </cell>
        </row>
      </sheetData>
      <sheetData sheetId="2" refreshError="1">
        <row r="60">
          <cell r="A60" t="str">
            <v>Contentor Incluido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R. REIJERS NIT."/>
      <sheetName val="FERT CALCIO"/>
      <sheetName val="FERT MAG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R REIJERS SULF."/>
      <sheetName val="MAGNESIO 7%"/>
      <sheetName val="CALBIUM BORO"/>
      <sheetName val="BIOMIX PLUS"/>
      <sheetName val="TOTAL 5"/>
      <sheetName val="PLANTA 100 Nitratos"/>
      <sheetName val="ORQUIDIUM"/>
      <sheetName val="HIDROPONÍA"/>
      <sheetName val="PLANTA CANA"/>
      <sheetName val="AQUADOWN"/>
      <sheetName val="STARTER"/>
      <sheetName val="BIOFIX"/>
      <sheetName val="LIQUID K"/>
      <sheetName val="NITREX"/>
      <sheetName val="Nutriflora Mix Nitratos"/>
      <sheetName val="TABELA A DISTRIBUIDOR"/>
      <sheetName val="TABELA A CLIENTE DIRETO"/>
      <sheetName val="TABELA A"/>
      <sheetName val="TABELA C"/>
      <sheetName val="SOLO SAGRADO"/>
      <sheetName val="DALAGRO"/>
      <sheetName val="BIOTEC"/>
      <sheetName val="AGIFERTIL"/>
      <sheetName val="PRONUTRI"/>
      <sheetName val="AFGEOFLORESTAL"/>
      <sheetName val="DA TERRA"/>
      <sheetName val="SAMIAGO"/>
      <sheetName val="AGROMAIA"/>
      <sheetName val="JOSUE PAIVA"/>
      <sheetName val="Plan12"/>
      <sheetName val="Plan2"/>
      <sheetName val="KICELLUM MAG"/>
      <sheetName val="KICELLUM CALCIO"/>
    </sheetNames>
    <sheetDataSet>
      <sheetData sheetId="0" refreshError="1"/>
      <sheetData sheetId="1" refreshError="1">
        <row r="10">
          <cell r="G10">
            <v>0.01</v>
          </cell>
        </row>
        <row r="11">
          <cell r="G11">
            <v>2.99</v>
          </cell>
        </row>
        <row r="12">
          <cell r="G12">
            <v>4.9756</v>
          </cell>
        </row>
        <row r="19">
          <cell r="G19">
            <v>1.51</v>
          </cell>
        </row>
        <row r="20">
          <cell r="G20">
            <v>0.49</v>
          </cell>
        </row>
        <row r="21">
          <cell r="G21">
            <v>2.1110000000000002</v>
          </cell>
        </row>
        <row r="23">
          <cell r="G23">
            <v>7.3</v>
          </cell>
        </row>
        <row r="24">
          <cell r="G24">
            <v>1.32</v>
          </cell>
        </row>
        <row r="26">
          <cell r="G26">
            <v>1.31</v>
          </cell>
        </row>
        <row r="27">
          <cell r="G27">
            <v>2.7530000000000001</v>
          </cell>
        </row>
        <row r="28">
          <cell r="G28">
            <v>5.28</v>
          </cell>
        </row>
        <row r="29">
          <cell r="G29">
            <v>3</v>
          </cell>
        </row>
        <row r="31">
          <cell r="G31">
            <v>39.200000000000003</v>
          </cell>
        </row>
        <row r="32">
          <cell r="G32">
            <v>0.94</v>
          </cell>
        </row>
        <row r="35">
          <cell r="G35">
            <v>1.58</v>
          </cell>
        </row>
        <row r="37">
          <cell r="G37">
            <v>2.65</v>
          </cell>
        </row>
        <row r="52">
          <cell r="G52">
            <v>6.31</v>
          </cell>
        </row>
        <row r="53">
          <cell r="G53">
            <v>0.96</v>
          </cell>
        </row>
      </sheetData>
      <sheetData sheetId="2" refreshError="1">
        <row r="60">
          <cell r="A60" t="str">
            <v>Contentor Incluido</v>
          </cell>
          <cell r="B6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R. REIJERS NIT."/>
      <sheetName val="FERT CALCIO"/>
      <sheetName val="FERT MAG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R REIJERS SULF."/>
      <sheetName val="MAGNESIO 7%"/>
      <sheetName val="CALBIUM BORO"/>
      <sheetName val="BIOMIX PLUS"/>
      <sheetName val="TOTAL 5"/>
      <sheetName val="PLANTA 100 Nitratos"/>
      <sheetName val="ORQUIDIUM"/>
      <sheetName val="HIDROPONÍA"/>
      <sheetName val="PLANTA CANA"/>
      <sheetName val="AQUADOWN"/>
      <sheetName val="STARTER"/>
      <sheetName val="BIOFIX"/>
      <sheetName val="LIQUID K"/>
      <sheetName val="NITREX"/>
      <sheetName val="Nutriflora Mix Nitratos"/>
      <sheetName val="TABELA A DISTRIBUIDOR"/>
      <sheetName val="TABELA A CLIENTE DIRETO"/>
      <sheetName val="TABELA A"/>
      <sheetName val="TABELA C"/>
      <sheetName val="SOLO SAGRADO"/>
      <sheetName val="DALAGRO"/>
      <sheetName val="BIOTEC"/>
      <sheetName val="AGIFERTIL"/>
      <sheetName val="PRONUTRI"/>
      <sheetName val="AFGEOFLORESTAL"/>
      <sheetName val="DA TERRA"/>
      <sheetName val="SAMIAGO"/>
      <sheetName val="AGROMAIA"/>
      <sheetName val="JOSUE PAIVA"/>
      <sheetName val="Plan12"/>
      <sheetName val="Plan2"/>
      <sheetName val="KICELLUM MAG"/>
      <sheetName val="KICELLUM CALCIO"/>
    </sheetNames>
    <sheetDataSet>
      <sheetData sheetId="0" refreshError="1"/>
      <sheetData sheetId="1" refreshError="1">
        <row r="10">
          <cell r="G10">
            <v>0.01</v>
          </cell>
        </row>
        <row r="11">
          <cell r="G11">
            <v>2.99</v>
          </cell>
        </row>
        <row r="66">
          <cell r="C66">
            <v>0.82</v>
          </cell>
        </row>
        <row r="70">
          <cell r="C70">
            <v>2.5</v>
          </cell>
        </row>
      </sheetData>
      <sheetData sheetId="2" refreshError="1">
        <row r="60">
          <cell r="A60" t="str">
            <v>Contentor Incluido</v>
          </cell>
          <cell r="B6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Angicos cr micros"/>
      <sheetName val="angicos cr macros"/>
      <sheetName val="angicos micros jardim cl"/>
      <sheetName val="Angicos macros JC"/>
      <sheetName val="PEDRINHO DE WITT"/>
      <sheetName val="ORGANIC MICROS"/>
      <sheetName val="LAURENS CAIXA A"/>
      <sheetName val="Sitio Glamour A"/>
      <sheetName val="Sitio Glamour B"/>
      <sheetName val="PEDRO"/>
      <sheetName val="GKSH B 151"/>
      <sheetName val="GKSH B 150"/>
      <sheetName val="MACROS G. REIJERS"/>
      <sheetName val="NF MICROS"/>
      <sheetName val="Macros Viveiro Mg"/>
      <sheetName val="macros viveiro"/>
      <sheetName val="Plan2"/>
      <sheetName val="YOSHIDA"/>
      <sheetName val="MICROS+Mg REIJERS"/>
      <sheetName val="VIVA FLOR"/>
      <sheetName val="CUTRALE MICROS"/>
      <sheetName val="FLOREMA ILANA"/>
      <sheetName val="KICELLUM MIX "/>
      <sheetName val="MICROS LIMEIRA"/>
      <sheetName val="Café 8,5-2-8,5"/>
      <sheetName val="CANA PRONTO USO"/>
      <sheetName val="MELÃO FASE 1"/>
      <sheetName val="MELÃO FASE 2"/>
      <sheetName val="Atehena 1N1,25K2O Micros"/>
      <sheetName val="Athena 1N1,25K2O Macros"/>
      <sheetName val="Athena 15%NH4 micros"/>
      <sheetName val="Athena 15%NH4 Macros"/>
      <sheetName val="7-7-7 amino+ algas"/>
      <sheetName val="Base Preços MP"/>
      <sheetName val="MELAO F1 NITREX"/>
      <sheetName val="MELÃO F2 NITREX"/>
      <sheetName val="MELÃO F3 NITREX"/>
      <sheetName val="MELÃO F4 NITREX"/>
      <sheetName val="MELÃO F5 NITREX"/>
      <sheetName val="MELÃO F6 NITREX"/>
      <sheetName val="PALMITO N45,7 K3,6"/>
      <sheetName val="LARANJA N 33,9"/>
      <sheetName val="LARANJA N 27,1"/>
      <sheetName val="LARANJA K11"/>
      <sheetName val="LARANJA N 24,8"/>
      <sheetName val="URAN N30"/>
      <sheetName val="OIKAWA B"/>
      <sheetName val="UNIPLANT MACRO MICRO CRESC"/>
      <sheetName val="LARANJA POMPEIA"/>
      <sheetName val="LIMAO POMPEIA"/>
      <sheetName val="UNIPLANT MACROS E MICROPRODUÇÃO"/>
      <sheetName val="UNIPLANTS MACROS CRESCIMENTO"/>
      <sheetName val="Uniplant Macros produção"/>
      <sheetName val="VANVLIET MACROS"/>
      <sheetName val="VANVLIET MACROS E MICROS"/>
      <sheetName val="POLIFOSFATO DE AMONIO"/>
      <sheetName val="KICELLUM MAG"/>
      <sheetName val="KICELLUM 30-20"/>
      <sheetName val="Kicellum 28-26"/>
      <sheetName val="KICELLUM COBRE"/>
      <sheetName val="KICELLUM CALCIO"/>
      <sheetName val="KICELLUM"/>
      <sheetName val="SPLENDOR"/>
      <sheetName val="BIOPHOS PLUS"/>
      <sheetName val="FERT CALCIO"/>
      <sheetName val="NITRATO FERRICO"/>
      <sheetName val="FERT MAG"/>
      <sheetName val="CALCIUM 14"/>
      <sheetName val="Nutriflora Mix Cloreto"/>
      <sheetName val="NUTRIFLORA MIX 1"/>
      <sheetName val="MICROS MOL"/>
      <sheetName val="BIOMIX PLUS 1"/>
      <sheetName val="UP PLUS"/>
      <sheetName val="CITRUS PLUS"/>
      <sheetName val="FLORADA MIX"/>
      <sheetName val="BIOMANG"/>
      <sheetName val="BIOZINC"/>
      <sheetName val="BIOCOOPER"/>
      <sheetName val="MACROS VIVIAM +"/>
      <sheetName val="MAG+MICROS"/>
      <sheetName val="MACROS VIVIAM"/>
      <sheetName val="RADIX ORGANICO"/>
      <sheetName val="R REIJERS SULF."/>
      <sheetName val="FASE 2+Ca"/>
      <sheetName val="COMPLET FASE 1"/>
      <sheetName val="CITRUS 100"/>
      <sheetName val="PLANTA 100 CLORETOS"/>
      <sheetName val="NITRO K ORGANICO"/>
      <sheetName val="TOTAL 5"/>
      <sheetName val="FASE 2P"/>
      <sheetName val="FASE 2CA"/>
      <sheetName val="Micros Casa Branca"/>
      <sheetName val="PLANTA 100 Nitratos"/>
      <sheetName val="BOVI MICROCOQUETEL"/>
      <sheetName val="ATHENAS MICROS Fe 6%"/>
      <sheetName val="ATHENAS N1K1,25"/>
      <sheetName val=" ATEHENAS 1N1K"/>
      <sheetName val="ATHENAS MICROS"/>
      <sheetName val="ORQUIDIUM"/>
      <sheetName val="HIDROPONÍA"/>
      <sheetName val="Reijers nitratos"/>
      <sheetName val="EQUILIBRIO"/>
      <sheetName val="RADIX 2-10"/>
      <sheetName val="Lisianthus"/>
      <sheetName val="OURO 100"/>
      <sheetName val="LIQUID K"/>
      <sheetName val="NITREX"/>
      <sheetName val="Magnesio 5% S 6%"/>
      <sheetName val="BORUM PLUS"/>
      <sheetName val="Calbium Mag"/>
      <sheetName val="Calbium Boro"/>
      <sheetName val="Aquadown"/>
      <sheetName val="Starter"/>
      <sheetName val="CoMo"/>
      <sheetName val="Biofix"/>
      <sheetName val="Ouro Preto Plus"/>
      <sheetName val="CALCIUM PLUS"/>
      <sheetName val="BIG FRUT"/>
      <sheetName val="JARDIM CLONAL"/>
      <sheetName val="EUCALIPTO CRESCIMENTO"/>
      <sheetName val="MINI PIMENTÃO"/>
      <sheetName val="A. Camargo Sulfatos"/>
      <sheetName val="MINI TOMATE"/>
      <sheetName val="TABELA A DISTRIBUIDOR"/>
      <sheetName val="TABELA A CLIENTE DIRETO"/>
      <sheetName val="Plan4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1">
          <cell r="G11">
            <v>3.6</v>
          </cell>
        </row>
        <row r="30">
          <cell r="G30">
            <v>1.84</v>
          </cell>
        </row>
        <row r="32">
          <cell r="G32">
            <v>1.82</v>
          </cell>
        </row>
        <row r="35">
          <cell r="G35">
            <v>3</v>
          </cell>
        </row>
        <row r="54">
          <cell r="G54">
            <v>4.18</v>
          </cell>
        </row>
        <row r="56">
          <cell r="G56">
            <v>1.1499999999999999</v>
          </cell>
        </row>
        <row r="57">
          <cell r="G57">
            <v>3.25</v>
          </cell>
        </row>
        <row r="59">
          <cell r="G59">
            <v>5.08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INO BLACK"/>
      <sheetName val="7-7-7 +ALGAS +AMINO FOLIAR"/>
      <sheetName val="Base Preços MP"/>
      <sheetName val="ORGANIC MICROS"/>
      <sheetName val="POWER CROP"/>
      <sheetName val="OURO PRETO PLS"/>
      <sheetName val="KICELLUM MAG"/>
      <sheetName val="KICELLUM 70-10"/>
      <sheetName val="KICELLUM 40-20"/>
      <sheetName val="KICELLUM 30-20"/>
      <sheetName val="Kicellum 28-26"/>
      <sheetName val="KICELLUM COBRE"/>
      <sheetName val="KICELLUM CALCIO"/>
      <sheetName val="KICELLUM"/>
      <sheetName val="SPLENDOR H"/>
      <sheetName val="SPLENDOR"/>
      <sheetName val="BIOPHOS PLUS"/>
      <sheetName val="FERT CALCIO"/>
      <sheetName val="NITRATO FERRICO"/>
      <sheetName val="Nitrato de Mn"/>
      <sheetName val="Nitrato de Zn"/>
      <sheetName val="BIOCOOPER"/>
      <sheetName val="BIOZINC"/>
      <sheetName val="BIO MANGANES"/>
      <sheetName val="FERT MAG"/>
      <sheetName val="CALCIUM 14"/>
      <sheetName val="FLORADA MIX"/>
      <sheetName val="Nutriflora Mix Cloreto"/>
      <sheetName val="NUTRIFLORA MIX 1"/>
      <sheetName val="MICROS VSC"/>
      <sheetName val="MICROS MOL"/>
      <sheetName val="BIOMIX PLUS 1"/>
      <sheetName val="UP PLUS"/>
      <sheetName val="CITRUS PLUS"/>
      <sheetName val="Calbium Mag"/>
      <sheetName val="BORUM PLUS"/>
      <sheetName val="Calbium Boro"/>
      <sheetName val="Aquadown"/>
      <sheetName val="CoMo"/>
      <sheetName val="CoMo Costo real"/>
      <sheetName val="Ouro Preto Plus"/>
      <sheetName val="CALCIUM PLUS"/>
      <sheetName val="CALCIUM ULTRA"/>
      <sheetName val="BIG FRUT"/>
      <sheetName val="TABELA A DISTRIBUIDOR"/>
      <sheetName val="TABELA A CLIENTE DIRETO"/>
      <sheetName val="Plan4"/>
    </sheetNames>
    <sheetDataSet>
      <sheetData sheetId="0"/>
      <sheetData sheetId="1"/>
      <sheetData sheetId="2">
        <row r="10">
          <cell r="G10">
            <v>0.01</v>
          </cell>
        </row>
        <row r="12">
          <cell r="G12">
            <v>3.8</v>
          </cell>
        </row>
        <row r="17">
          <cell r="G17">
            <v>6.6</v>
          </cell>
        </row>
        <row r="25">
          <cell r="G25">
            <v>1.38</v>
          </cell>
        </row>
        <row r="31">
          <cell r="G31">
            <v>0.95</v>
          </cell>
        </row>
        <row r="46">
          <cell r="G46">
            <v>1.6</v>
          </cell>
        </row>
        <row r="49">
          <cell r="G49">
            <v>1.2</v>
          </cell>
        </row>
        <row r="75">
          <cell r="G75">
            <v>24.1</v>
          </cell>
        </row>
        <row r="76">
          <cell r="G76">
            <v>53.78</v>
          </cell>
        </row>
        <row r="79">
          <cell r="G79">
            <v>4.7</v>
          </cell>
        </row>
        <row r="85">
          <cell r="C85">
            <v>0.25087999999999999</v>
          </cell>
        </row>
        <row r="88">
          <cell r="C88">
            <v>0.79519999999999991</v>
          </cell>
        </row>
        <row r="91">
          <cell r="C91">
            <v>1.2304999999999999</v>
          </cell>
        </row>
        <row r="92">
          <cell r="C92">
            <v>3.0124999999999997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OURO PRETO PLUS"/>
      <sheetName val="CITRUS PLUS"/>
      <sheetName val="R. REIJERS NIT."/>
      <sheetName val="NITRO K ORGANICO"/>
      <sheetName val="RADIX 2-10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R REIJERS SULF."/>
      <sheetName val="MAGNESIO 7%"/>
      <sheetName val="CALBIUM BORO"/>
      <sheetName val="BIOMIX PLUS"/>
      <sheetName val="TOTAL 5"/>
      <sheetName val="PLANTA 100 Nitratos"/>
      <sheetName val="ORQUIDIUM"/>
      <sheetName val="HIDROPONÍA"/>
      <sheetName val="PLANTA CANA"/>
      <sheetName val="AQUADOWN"/>
      <sheetName val="STARTER"/>
      <sheetName val="BIOFIX"/>
      <sheetName val="LIQUID K"/>
      <sheetName val="NITREX"/>
      <sheetName val="Nutriflora Mix Nitratos"/>
      <sheetName val="TABELA A DISTRIBUIDOR"/>
      <sheetName val="TABELA A CLIENTE DIRETO"/>
      <sheetName val="TABELA A"/>
      <sheetName val="TABELA C"/>
      <sheetName val="SOLO SAGRADO"/>
      <sheetName val="DALAGRO"/>
      <sheetName val="BIOTEC"/>
      <sheetName val="AGIFERTIL"/>
      <sheetName val="PRONUTRI"/>
      <sheetName val="AFGEOFLORESTAL"/>
      <sheetName val="DA TERRA"/>
      <sheetName val="SAMIAGO"/>
      <sheetName val="AGROMAIA"/>
      <sheetName val="JOSUE PAIVA"/>
      <sheetName val="Plan12"/>
      <sheetName val="Plan2"/>
    </sheetNames>
    <sheetDataSet>
      <sheetData sheetId="0"/>
      <sheetData sheetId="1">
        <row r="15">
          <cell r="G15">
            <v>5.93</v>
          </cell>
        </row>
        <row r="42">
          <cell r="G42">
            <v>9.8699999999999992</v>
          </cell>
        </row>
        <row r="63">
          <cell r="C63">
            <v>0.54600000000000004</v>
          </cell>
        </row>
        <row r="69">
          <cell r="C69">
            <v>1</v>
          </cell>
        </row>
        <row r="70">
          <cell r="C70">
            <v>2.5</v>
          </cell>
        </row>
      </sheetData>
      <sheetData sheetId="2">
        <row r="60">
          <cell r="A60" t="str">
            <v>Contentor Incluido</v>
          </cell>
          <cell r="B6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osteio Nova Formula  A"/>
      <sheetName val="BASE Costeio Nova Formula B "/>
      <sheetName val="Base Preços MP"/>
      <sheetName val="Kicellum 40-20"/>
      <sheetName val="Kicellum 20-26"/>
      <sheetName val="Kicellum 30-20"/>
      <sheetName val="Kicellum Mg"/>
      <sheetName val="Kicellum Mn"/>
      <sheetName val="Kicellum Cu"/>
      <sheetName val="Kicellum Ca"/>
      <sheetName val="Kicellum COMO"/>
      <sheetName val="Cotaçao F"/>
      <sheetName val="Kicellum 2-0-32"/>
      <sheetName val="Splendor 0-3-35 pH 6"/>
      <sheetName val="Sprinter K 2025"/>
      <sheetName val="COBRE DTPA"/>
      <sheetName val="ZINCO DTPA"/>
      <sheetName val="Calbium B "/>
      <sheetName val="Calbium Mg"/>
      <sheetName val="Calbium 10 2"/>
      <sheetName val="Calbium 10 1"/>
      <sheetName val="Calmbium 10 05"/>
      <sheetName val="Calbium 8 2"/>
      <sheetName val="Cotaçao Calbium"/>
      <sheetName val="SOJA PLUS"/>
      <sheetName val="Commicros -Mn"/>
      <sheetName val="Cafe Complex"/>
      <sheetName val="Nutriflora Mix"/>
      <sheetName val="Commicro Mo"/>
      <sheetName val="Commicros B"/>
      <sheetName val="Cot Foli Citrus"/>
      <sheetName val="Nutri Equilib"/>
      <sheetName val="P F C 100"/>
      <sheetName val="Fert Mg"/>
      <sheetName val="Fert Ca"/>
      <sheetName val="Fert Mn"/>
      <sheetName val="Fert Zn"/>
      <sheetName val="UREIAM 30% N"/>
      <sheetName val="Cotaç Nitr"/>
      <sheetName val="NKca"/>
      <sheetName val="N-K"/>
      <sheetName val="N-3K"/>
      <sheetName val="FertiFormulas "/>
      <sheetName val="Nutrif COMO"/>
      <sheetName val="Nutri Mo"/>
      <sheetName val="Nutri pH +"/>
      <sheetName val="Nutri pH-"/>
      <sheetName val="Reguladoes pH"/>
      <sheetName val="Complet F 1"/>
      <sheetName val="Complet F 2"/>
      <sheetName val="Complet Micr"/>
      <sheetName val="Orquidium"/>
      <sheetName val="HF"/>
      <sheetName val="Nitrax e Liqui K"/>
      <sheetName val="Cota K N Liqui"/>
      <sheetName val="Manganes 10% CO"/>
      <sheetName val="GOLD BLACK"/>
      <sheetName val="Gold Carrier "/>
      <sheetName val="Enraizador Cana "/>
      <sheetName val="Foliar Cana"/>
      <sheetName val="Cotaçao Uniformula A"/>
      <sheetName val="Cotaçao Unif B"/>
      <sheetName val="Cotaçao Nutriflora"/>
      <sheetName val="Cotações FOB São Carlos"/>
      <sheetName val="Plan1"/>
    </sheetNames>
    <sheetDataSet>
      <sheetData sheetId="0"/>
      <sheetData sheetId="1"/>
      <sheetData sheetId="2">
        <row r="80">
          <cell r="C80">
            <v>0.307</v>
          </cell>
        </row>
        <row r="83">
          <cell r="C83">
            <v>0.21579999999999999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A6" t="str">
            <v>Costeio de Formulações Nutriflora</v>
          </cell>
        </row>
        <row r="18">
          <cell r="N18" t="str">
            <v>Inserir Para Produzir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8">
          <cell r="N18" t="str">
            <v>Inserir Para Produzir</v>
          </cell>
        </row>
      </sheetData>
      <sheetData sheetId="40"/>
      <sheetData sheetId="41">
        <row r="6">
          <cell r="A6" t="str">
            <v>Costeio de Formulações Nutriflora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OURO PRETO PLUS"/>
      <sheetName val="FLORES 100"/>
      <sheetName val="Planta 100 "/>
      <sheetName val="NITRO K ORGANICO"/>
      <sheetName val="RADIX 2-10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OURO 100"/>
      <sheetName val="CALBIUM MAG"/>
      <sheetName val="CALBIUM BORO"/>
      <sheetName val="BIOMIX PLUS"/>
      <sheetName val="TOTAL 5"/>
      <sheetName val="PLANTA 100 Nitratos"/>
      <sheetName val="ORQUIDIUM"/>
      <sheetName val="HIDROPONÍA"/>
      <sheetName val="PLANTA CANA"/>
      <sheetName val="AQUADOWN"/>
      <sheetName val="STARTER"/>
      <sheetName val="BIOFIX"/>
      <sheetName val="LIQUID K"/>
      <sheetName val="NITREX"/>
      <sheetName val="Nutriflora Mix Nitratos"/>
      <sheetName val="TABELA A DISTRIBUIDOR"/>
      <sheetName val="TABELA A CLIENTE DIRETO"/>
      <sheetName val="TABELA A"/>
      <sheetName val="TABELA C"/>
      <sheetName val="SOLO SAGRADO"/>
      <sheetName val="DALAGRO"/>
      <sheetName val="BIOTEC"/>
      <sheetName val="AGIFERTIL"/>
      <sheetName val="PRONUTRI"/>
      <sheetName val="AFGEOFLORESTAL"/>
      <sheetName val="DA TERRA"/>
      <sheetName val="SAMIAGO"/>
      <sheetName val="AGROMAIA"/>
      <sheetName val="JOSUE PAIVA"/>
      <sheetName val="Plan12"/>
      <sheetName val="Plan2"/>
    </sheetNames>
    <sheetDataSet>
      <sheetData sheetId="0" refreshError="1"/>
      <sheetData sheetId="1" refreshError="1">
        <row r="10">
          <cell r="G10">
            <v>0.01</v>
          </cell>
        </row>
        <row r="11">
          <cell r="G11">
            <v>2.99</v>
          </cell>
        </row>
        <row r="12">
          <cell r="G12">
            <v>3.7</v>
          </cell>
        </row>
        <row r="14">
          <cell r="G14">
            <v>5.4969999999999999</v>
          </cell>
        </row>
        <row r="20">
          <cell r="G20">
            <v>0.57499999999999996</v>
          </cell>
        </row>
        <row r="21">
          <cell r="G21">
            <v>2.1110000000000002</v>
          </cell>
        </row>
        <row r="23">
          <cell r="G23">
            <v>7.3</v>
          </cell>
        </row>
        <row r="24">
          <cell r="G24">
            <v>1.32</v>
          </cell>
        </row>
        <row r="26">
          <cell r="G26">
            <v>1.31</v>
          </cell>
        </row>
        <row r="27">
          <cell r="G27">
            <v>2.7530000000000001</v>
          </cell>
        </row>
        <row r="28">
          <cell r="G28">
            <v>5.28</v>
          </cell>
        </row>
        <row r="31">
          <cell r="G31">
            <v>39.200000000000003</v>
          </cell>
        </row>
        <row r="32">
          <cell r="G32">
            <v>0.875</v>
          </cell>
        </row>
        <row r="34">
          <cell r="G34">
            <v>1.73</v>
          </cell>
        </row>
        <row r="35">
          <cell r="G35">
            <v>1.4</v>
          </cell>
        </row>
        <row r="40">
          <cell r="G40">
            <v>1.54</v>
          </cell>
        </row>
      </sheetData>
      <sheetData sheetId="2" refreshError="1">
        <row r="60">
          <cell r="A60" t="str">
            <v>Contentor Incluido</v>
          </cell>
          <cell r="B6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OURO PRETO PLUS"/>
      <sheetName val="FLORES 100"/>
      <sheetName val="Planta 100 "/>
      <sheetName val="NITRO K ORGANICO"/>
      <sheetName val="RADIX 2-10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OURO 100"/>
      <sheetName val="CALBIUM MAG"/>
      <sheetName val="CALBIUM BORO"/>
      <sheetName val="BIOMIX PLUS"/>
      <sheetName val="TOTAL 5"/>
      <sheetName val="PLANTA 100 Nitratos"/>
      <sheetName val="ORQUIDIUM"/>
      <sheetName val="HIDROPONÍA"/>
      <sheetName val="Plan1"/>
      <sheetName val="AQUADOWN"/>
      <sheetName val="STARTER"/>
      <sheetName val="BIOFIX"/>
      <sheetName val="LIQUID K"/>
      <sheetName val="NITREX"/>
      <sheetName val="Nutriflora Mix Nitratos"/>
      <sheetName val="TABELA A DISTRIBUIDOR"/>
      <sheetName val="TABELA A CLIENTE DIRETO"/>
      <sheetName val="TABELA B"/>
      <sheetName val="TABELA C"/>
      <sheetName val="SOLO SAGRADO"/>
      <sheetName val="DALAGRO"/>
      <sheetName val="BIOTEC"/>
      <sheetName val="AGIFERTIL"/>
      <sheetName val="PRONUTRI"/>
      <sheetName val="AFGEOFLORESTAL"/>
      <sheetName val="DA TERRA"/>
      <sheetName val="SAMIAGO"/>
      <sheetName val="AGROMAIA"/>
      <sheetName val="JOSUE PAIVA"/>
      <sheetName val="Plan12"/>
      <sheetName val="Plan2"/>
    </sheetNames>
    <sheetDataSet>
      <sheetData sheetId="0" refreshError="1"/>
      <sheetData sheetId="1" refreshError="1">
        <row r="10">
          <cell r="G10">
            <v>0.01</v>
          </cell>
        </row>
        <row r="11">
          <cell r="G11">
            <v>2.99</v>
          </cell>
        </row>
        <row r="14">
          <cell r="G14">
            <v>5.4969999999999999</v>
          </cell>
        </row>
        <row r="19">
          <cell r="G19">
            <v>1.2185999999999999</v>
          </cell>
        </row>
        <row r="23">
          <cell r="G23">
            <v>7.3</v>
          </cell>
        </row>
        <row r="24">
          <cell r="G24">
            <v>1.32</v>
          </cell>
        </row>
        <row r="25">
          <cell r="G25">
            <v>1.55</v>
          </cell>
        </row>
        <row r="27">
          <cell r="G27">
            <v>2.7530000000000001</v>
          </cell>
        </row>
        <row r="29">
          <cell r="G29">
            <v>3</v>
          </cell>
        </row>
        <row r="31">
          <cell r="G31">
            <v>39.200000000000003</v>
          </cell>
        </row>
        <row r="35">
          <cell r="G35">
            <v>1.4</v>
          </cell>
        </row>
        <row r="36">
          <cell r="G36">
            <v>3.17</v>
          </cell>
        </row>
        <row r="37">
          <cell r="G37">
            <v>2.65</v>
          </cell>
        </row>
        <row r="38">
          <cell r="G38">
            <v>1.01</v>
          </cell>
        </row>
        <row r="44">
          <cell r="G44">
            <v>0.92</v>
          </cell>
        </row>
      </sheetData>
      <sheetData sheetId="2" refreshError="1">
        <row r="60">
          <cell r="A60" t="str">
            <v>Contentor Incluido</v>
          </cell>
          <cell r="B6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Black Peru"/>
      <sheetName val="Base Preços MP"/>
      <sheetName val="FUEL BLACK 20%"/>
      <sheetName val="OURO PRETO PLUS"/>
      <sheetName val="CITRUS 100"/>
      <sheetName val="PLANTA 100"/>
      <sheetName val="NITRO K ORGANICO"/>
      <sheetName val="RADIX 2-10"/>
      <sheetName val="CALCIUM 14"/>
      <sheetName val="BIG FRUT"/>
      <sheetName val="CALCIUM PLUS"/>
      <sheetName val="BORUM PLUS"/>
      <sheetName val="EQUILIBRIO"/>
      <sheetName val="BIOMANG"/>
      <sheetName val="BIOZINC"/>
      <sheetName val="BIOCOOPER"/>
      <sheetName val="RADIX ORGANICO"/>
      <sheetName val="OURO 100"/>
      <sheetName val="CALBIUM MAG"/>
      <sheetName val="CALBIUM BORO"/>
      <sheetName val="BIOMIX PLUS"/>
      <sheetName val="TOTAL 5"/>
      <sheetName val="PLANTA 100 Nitratos"/>
      <sheetName val="Micros Mol. "/>
      <sheetName val="UP PLUS"/>
      <sheetName val="PLANTA CANA"/>
      <sheetName val="AQUADOWN"/>
      <sheetName val="FLORADA MIX"/>
      <sheetName val="BIOPHOS PLUS"/>
      <sheetName val="LIQUID K"/>
      <sheetName val="NITREX"/>
      <sheetName val="Nutriflora Mix Nitratos"/>
      <sheetName val="KICELLUM MAG"/>
      <sheetName val="KICELLUM CALCIO"/>
      <sheetName val="FERT CALCIO"/>
      <sheetName val="FERT MAG"/>
      <sheetName val="UNICERES"/>
      <sheetName val="PREÇOS A UNICERES"/>
      <sheetName val="Plan2"/>
    </sheetNames>
    <sheetDataSet>
      <sheetData sheetId="0" refreshError="1"/>
      <sheetData sheetId="1" refreshError="1">
        <row r="10">
          <cell r="G10">
            <v>0.01</v>
          </cell>
        </row>
        <row r="11">
          <cell r="G11">
            <v>2.99</v>
          </cell>
        </row>
        <row r="16">
          <cell r="G16">
            <v>3.9060000000000001</v>
          </cell>
        </row>
        <row r="19">
          <cell r="G19">
            <v>1.51</v>
          </cell>
        </row>
        <row r="20">
          <cell r="G20">
            <v>0.49</v>
          </cell>
        </row>
        <row r="23">
          <cell r="G23">
            <v>7.3</v>
          </cell>
        </row>
        <row r="24">
          <cell r="G24">
            <v>1.32</v>
          </cell>
        </row>
        <row r="25">
          <cell r="G25">
            <v>1.55</v>
          </cell>
        </row>
        <row r="26">
          <cell r="G26">
            <v>1.31</v>
          </cell>
        </row>
        <row r="29">
          <cell r="G29">
            <v>3</v>
          </cell>
        </row>
        <row r="31">
          <cell r="G31">
            <v>39.200000000000003</v>
          </cell>
        </row>
        <row r="34">
          <cell r="G34">
            <v>1.18</v>
          </cell>
        </row>
        <row r="35">
          <cell r="G35">
            <v>1.58</v>
          </cell>
        </row>
        <row r="36">
          <cell r="G36">
            <v>3.17</v>
          </cell>
        </row>
        <row r="37">
          <cell r="G37">
            <v>2.65</v>
          </cell>
        </row>
        <row r="40">
          <cell r="G40">
            <v>1.56</v>
          </cell>
        </row>
        <row r="63">
          <cell r="C63">
            <v>0.54600000000000004</v>
          </cell>
        </row>
        <row r="66">
          <cell r="C66">
            <v>0.82</v>
          </cell>
        </row>
        <row r="69">
          <cell r="C69">
            <v>1</v>
          </cell>
        </row>
        <row r="70">
          <cell r="C70">
            <v>2.5</v>
          </cell>
        </row>
      </sheetData>
      <sheetData sheetId="2" refreshError="1">
        <row r="60">
          <cell r="A60" t="str">
            <v>Contentor Incluido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INO BLACK"/>
      <sheetName val="7-7-7 +ALGAS +AMINO FOLIAR"/>
      <sheetName val=" 7-7-7 FERTI"/>
      <sheetName val="Base Preços MP"/>
      <sheetName val="FUEL BLACK 18%"/>
      <sheetName val="ORGANIC MICROS"/>
      <sheetName val="POWER CROP"/>
      <sheetName val="SOIL POWER"/>
      <sheetName val="OURO PRETO PLS"/>
      <sheetName val="FUEL BLACK 20%"/>
      <sheetName val="VIVIANITA"/>
      <sheetName val="MAP LIQUIDO"/>
      <sheetName val="04-30 S"/>
      <sheetName val="4-30-0"/>
      <sheetName val="FOSFORICO 70%"/>
      <sheetName val="6-24 B"/>
      <sheetName val="NORTHOFOS 4-30"/>
      <sheetName val="POLIFOSFATO DE AMONIO"/>
      <sheetName val="KICELLUM MAG"/>
      <sheetName val="KICELLUM 70-10"/>
      <sheetName val="KICELLUM 40-20"/>
      <sheetName val="KICELLUM 30-20"/>
      <sheetName val="Kicellum 28-26"/>
      <sheetName val="KICELLUM COBRE"/>
      <sheetName val="KICELLUM CALCIO"/>
      <sheetName val="KICELLUM"/>
      <sheetName val="SPLENDOR H"/>
      <sheetName val="SPLENDOR"/>
      <sheetName val="BIOPHOS PLUS"/>
      <sheetName val="Plan1"/>
      <sheetName val="NOVO"/>
      <sheetName val="FERT CALCIO"/>
      <sheetName val="NITRATO FERRICO"/>
      <sheetName val="Nitrato de Mn"/>
      <sheetName val="Nitrato de Zn"/>
      <sheetName val="BIOCOOPER"/>
      <sheetName val="BIOZINC"/>
      <sheetName val="BIO MANGANES"/>
      <sheetName val="FERT MAG"/>
      <sheetName val="CALCIUM 14"/>
      <sheetName val="FLORADA MIX"/>
      <sheetName val="Nutriflora Mix Cloreto"/>
      <sheetName val="NUTRIFLORA MIX 1"/>
      <sheetName val="MICROS VSC"/>
      <sheetName val="MICROS MOL"/>
      <sheetName val="BIOMIX PLUS 1"/>
      <sheetName val="UP PLUS"/>
      <sheetName val="CITRUS PLUS"/>
      <sheetName val="RADIX ORGANICO"/>
      <sheetName val="CITRUS 100"/>
      <sheetName val="PLANTA 100 CLORETOS"/>
      <sheetName val="NITRO K ORGANICO"/>
      <sheetName val="TOTAL 5"/>
      <sheetName val="COMPLET FASE 1"/>
      <sheetName val="FASE 2P"/>
      <sheetName val="FASE 2CA"/>
      <sheetName val="COMPLET MICROS"/>
      <sheetName val="PLANTA 100 Nitratos"/>
      <sheetName val="ORQUIDIUM"/>
      <sheetName val="HIDROPONIC"/>
      <sheetName val="EQUILIBRIO"/>
      <sheetName val="RADIX 2-10"/>
      <sheetName val="LIQUID K"/>
      <sheetName val="NITREX"/>
      <sheetName val="Solumag"/>
      <sheetName val="Calbium Mag"/>
      <sheetName val="Calbium Boro"/>
      <sheetName val="Aquadown"/>
      <sheetName val="CoMo"/>
      <sheetName val="Ouro Preto Plus"/>
      <sheetName val="CALCIUM PLUS"/>
      <sheetName val="CALCIUM ULTRA"/>
      <sheetName val="GROWN A30T"/>
      <sheetName val="BIG FRUT"/>
      <sheetName val="TABELA A DISTRIBUIDOR"/>
      <sheetName val="TABELA A CLIENTE DIRETO"/>
      <sheetName val="Plan4"/>
    </sheetNames>
    <sheetDataSet>
      <sheetData sheetId="0"/>
      <sheetData sheetId="1"/>
      <sheetData sheetId="2"/>
      <sheetData sheetId="3">
        <row r="10">
          <cell r="G10">
            <v>0.01</v>
          </cell>
        </row>
        <row r="59">
          <cell r="G59">
            <v>7.2</v>
          </cell>
        </row>
        <row r="63">
          <cell r="G63">
            <v>0.1</v>
          </cell>
        </row>
        <row r="82">
          <cell r="C82">
            <v>0</v>
          </cell>
        </row>
        <row r="85">
          <cell r="C85">
            <v>0.69620000000000004</v>
          </cell>
        </row>
        <row r="86">
          <cell r="C86">
            <v>0.80720000000000003</v>
          </cell>
          <cell r="G86">
            <v>0.80720000000000003</v>
          </cell>
        </row>
        <row r="87">
          <cell r="C87">
            <v>0.51040000000000008</v>
          </cell>
        </row>
        <row r="89">
          <cell r="C89">
            <v>1.1905000000000001</v>
          </cell>
        </row>
        <row r="90">
          <cell r="C90">
            <v>3.0124999999999997</v>
          </cell>
        </row>
      </sheetData>
      <sheetData sheetId="4"/>
      <sheetData sheetId="5"/>
      <sheetData sheetId="6"/>
      <sheetData sheetId="7"/>
      <sheetData sheetId="8"/>
      <sheetData sheetId="9">
        <row r="60">
          <cell r="A60" t="str">
            <v>Contentor Incluido</v>
          </cell>
          <cell r="B60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Tema do Office">
  <a:themeElements>
    <a:clrScheme name="Balcão Envidraçado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9"/>
  <sheetViews>
    <sheetView topLeftCell="A9" zoomScale="91" zoomScaleNormal="91" workbookViewId="0">
      <selection activeCell="B19" sqref="B19:D27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5" bestFit="1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199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248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200" t="s">
        <v>121</v>
      </c>
      <c r="L16" s="118">
        <v>1000</v>
      </c>
      <c r="M16" s="116">
        <f>L16*D35</f>
        <v>1290</v>
      </c>
      <c r="N16" s="671"/>
      <c r="O16" s="672"/>
      <c r="P16" s="134" t="s">
        <v>153</v>
      </c>
      <c r="Q16" s="134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30.2</v>
      </c>
      <c r="F17" s="110">
        <v>302</v>
      </c>
      <c r="G17" s="114" t="s">
        <v>125</v>
      </c>
      <c r="H17" s="156">
        <f>'Base Preços MP'!G10</f>
        <v>0.01</v>
      </c>
      <c r="I17" s="114">
        <f>E20*20/100+E26*7/100</f>
        <v>0.29199999999999998</v>
      </c>
      <c r="J17" s="151">
        <f>F17*H17</f>
        <v>3.02</v>
      </c>
      <c r="K17" s="111"/>
      <c r="L17" s="676" t="str">
        <f t="shared" ref="L17:L30" si="0">B17</f>
        <v>Agua</v>
      </c>
      <c r="M17" s="677"/>
      <c r="N17" s="678"/>
      <c r="O17" s="117">
        <f>F17*M16/1000</f>
        <v>389.58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79" t="s">
        <v>172</v>
      </c>
      <c r="C18" s="680"/>
      <c r="D18" s="681"/>
      <c r="E18" s="101">
        <f t="shared" ref="E18:E30" si="1">F18/10</f>
        <v>0</v>
      </c>
      <c r="F18" s="83"/>
      <c r="G18" s="114" t="s">
        <v>69</v>
      </c>
      <c r="H18" s="157">
        <f>'Base Preços MP'!G46</f>
        <v>1.7</v>
      </c>
      <c r="I18" s="114">
        <f>E19*52/100</f>
        <v>0.69680000000000009</v>
      </c>
      <c r="J18" s="151">
        <f t="shared" ref="J18:J30" si="2">F18*H18</f>
        <v>0</v>
      </c>
      <c r="K18" s="111">
        <f t="shared" ref="K18:K27" si="3">I18*1.34*10</f>
        <v>9.3371200000000023</v>
      </c>
      <c r="L18" s="676" t="str">
        <f t="shared" si="0"/>
        <v>Ureia</v>
      </c>
      <c r="M18" s="677"/>
      <c r="N18" s="678"/>
      <c r="O18" s="117">
        <f>F18*M16/1000</f>
        <v>0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82" t="s">
        <v>242</v>
      </c>
      <c r="C19" s="680"/>
      <c r="D19" s="681"/>
      <c r="E19" s="101">
        <f t="shared" si="1"/>
        <v>1.34</v>
      </c>
      <c r="F19" s="83">
        <v>13.4</v>
      </c>
      <c r="G19" s="114" t="s">
        <v>110</v>
      </c>
      <c r="H19" s="157">
        <f>'Base Preços MP'!G15</f>
        <v>4.95</v>
      </c>
      <c r="I19" s="114">
        <f>E18*75.5/100+E25*60/100</f>
        <v>0</v>
      </c>
      <c r="J19" s="151">
        <f t="shared" si="2"/>
        <v>66.33</v>
      </c>
      <c r="K19" s="111">
        <f t="shared" si="3"/>
        <v>0</v>
      </c>
      <c r="L19" s="676" t="str">
        <f t="shared" si="0"/>
        <v>Acido Fosforico</v>
      </c>
      <c r="M19" s="677"/>
      <c r="N19" s="678"/>
      <c r="O19" s="117">
        <f>F19*M16/1000</f>
        <v>17.286000000000001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82" t="s">
        <v>113</v>
      </c>
      <c r="C20" s="680"/>
      <c r="D20" s="681"/>
      <c r="E20" s="101">
        <f t="shared" si="1"/>
        <v>1.46</v>
      </c>
      <c r="F20" s="83">
        <v>14.6</v>
      </c>
      <c r="G20" s="114" t="s">
        <v>106</v>
      </c>
      <c r="H20" s="158">
        <f>'Base Preços MP'!G46</f>
        <v>1.7</v>
      </c>
      <c r="I20" s="114">
        <f>E27*27/100</f>
        <v>0.21600000000000003</v>
      </c>
      <c r="J20" s="151">
        <f t="shared" si="2"/>
        <v>24.82</v>
      </c>
      <c r="K20" s="111">
        <f t="shared" si="3"/>
        <v>2.8944000000000001</v>
      </c>
      <c r="L20" s="676" t="str">
        <f t="shared" si="0"/>
        <v>UREIA</v>
      </c>
      <c r="M20" s="677"/>
      <c r="N20" s="678"/>
      <c r="O20" s="117">
        <f>F20*M16/1000</f>
        <v>18.834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683" t="s">
        <v>443</v>
      </c>
      <c r="C21" s="684"/>
      <c r="D21" s="685"/>
      <c r="E21" s="101">
        <f t="shared" si="1"/>
        <v>0</v>
      </c>
      <c r="F21" s="139"/>
      <c r="G21" s="114" t="s">
        <v>107</v>
      </c>
      <c r="H21" s="158">
        <f>'Base Preços MP'!G49</f>
        <v>0.81399999999999995</v>
      </c>
      <c r="I21" s="114">
        <f>E26*7/100</f>
        <v>0</v>
      </c>
      <c r="J21" s="151">
        <f t="shared" si="2"/>
        <v>0</v>
      </c>
      <c r="K21" s="111">
        <f t="shared" si="3"/>
        <v>0</v>
      </c>
      <c r="L21" s="686" t="str">
        <f t="shared" si="0"/>
        <v>Melaço liquido</v>
      </c>
      <c r="M21" s="686"/>
      <c r="N21" s="686"/>
      <c r="O21" s="117">
        <f>F21*M16/1000</f>
        <v>0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82" t="s">
        <v>455</v>
      </c>
      <c r="C22" s="680"/>
      <c r="D22" s="681"/>
      <c r="E22" s="101">
        <f t="shared" si="1"/>
        <v>56.2</v>
      </c>
      <c r="F22" s="139">
        <v>562</v>
      </c>
      <c r="G22" s="114" t="s">
        <v>108</v>
      </c>
      <c r="H22" s="158">
        <f>'Base Preços MP'!G50</f>
        <v>1.49</v>
      </c>
      <c r="I22" s="114">
        <f>E21*14/100</f>
        <v>0</v>
      </c>
      <c r="J22" s="151">
        <f t="shared" si="2"/>
        <v>837.38</v>
      </c>
      <c r="K22" s="111">
        <f t="shared" si="3"/>
        <v>0</v>
      </c>
      <c r="L22" s="687" t="str">
        <f t="shared" si="0"/>
        <v>melaço pó</v>
      </c>
      <c r="M22" s="687"/>
      <c r="N22" s="687"/>
      <c r="O22" s="117">
        <f>F22*M16/1000</f>
        <v>724.98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 t="s">
        <v>176</v>
      </c>
      <c r="C23" s="680"/>
      <c r="D23" s="681"/>
      <c r="E23" s="101">
        <f t="shared" si="1"/>
        <v>0</v>
      </c>
      <c r="F23" s="83"/>
      <c r="G23" s="114" t="s">
        <v>109</v>
      </c>
      <c r="H23" s="158">
        <f>'Base Preços MP'!G48</f>
        <v>9.8699999999999992</v>
      </c>
      <c r="I23" s="101">
        <f>E22*21/100</f>
        <v>11.802</v>
      </c>
      <c r="J23" s="151">
        <f t="shared" si="2"/>
        <v>0</v>
      </c>
      <c r="K23" s="111">
        <f t="shared" si="3"/>
        <v>158.14680000000001</v>
      </c>
      <c r="L23" s="687" t="str">
        <f t="shared" si="0"/>
        <v>antiespumante</v>
      </c>
      <c r="M23" s="687"/>
      <c r="N23" s="687"/>
      <c r="O23" s="117">
        <f>F23*M16/1000</f>
        <v>0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82" t="s">
        <v>444</v>
      </c>
      <c r="C24" s="680"/>
      <c r="D24" s="681"/>
      <c r="E24" s="101">
        <f t="shared" si="1"/>
        <v>10</v>
      </c>
      <c r="F24" s="83">
        <v>100</v>
      </c>
      <c r="G24" s="114" t="s">
        <v>111</v>
      </c>
      <c r="H24" s="158">
        <f>'Base Preços MP'!G79</f>
        <v>4.7</v>
      </c>
      <c r="I24" s="101">
        <f>E24*14/100</f>
        <v>1.4</v>
      </c>
      <c r="J24" s="151">
        <f t="shared" si="2"/>
        <v>470</v>
      </c>
      <c r="K24" s="111">
        <f t="shared" si="3"/>
        <v>18.759999999999998</v>
      </c>
      <c r="L24" s="687" t="str">
        <f t="shared" si="0"/>
        <v>Amino acid powder</v>
      </c>
      <c r="M24" s="687"/>
      <c r="N24" s="687"/>
      <c r="O24" s="117">
        <f>F24*M16/1000</f>
        <v>129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88" t="s">
        <v>456</v>
      </c>
      <c r="C25" s="689"/>
      <c r="D25" s="690"/>
      <c r="E25" s="101">
        <f t="shared" si="1"/>
        <v>0</v>
      </c>
      <c r="F25" s="83"/>
      <c r="G25" s="114" t="s">
        <v>112</v>
      </c>
      <c r="H25" s="158">
        <f>'Base Preços MP'!G30</f>
        <v>2.1</v>
      </c>
      <c r="I25" s="101">
        <f>E23*13/100</f>
        <v>0</v>
      </c>
      <c r="J25" s="151">
        <f t="shared" si="2"/>
        <v>0</v>
      </c>
      <c r="K25" s="111">
        <f t="shared" si="3"/>
        <v>0</v>
      </c>
      <c r="L25" s="687" t="str">
        <f t="shared" si="0"/>
        <v>Cloreto ferrico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82" t="s">
        <v>457</v>
      </c>
      <c r="C26" s="680"/>
      <c r="D26" s="681"/>
      <c r="E26" s="101">
        <f t="shared" si="1"/>
        <v>0</v>
      </c>
      <c r="F26" s="83"/>
      <c r="G26" s="114" t="s">
        <v>105</v>
      </c>
      <c r="H26" s="159">
        <f>'Base Preços MP'!G24</f>
        <v>4.3</v>
      </c>
      <c r="I26" s="141">
        <f>E28*17/100</f>
        <v>0</v>
      </c>
      <c r="J26" s="151">
        <f t="shared" si="2"/>
        <v>0</v>
      </c>
      <c r="K26" s="111">
        <f t="shared" si="3"/>
        <v>0</v>
      </c>
      <c r="L26" s="687" t="str">
        <f t="shared" si="0"/>
        <v>acido nitrico</v>
      </c>
      <c r="M26" s="687"/>
      <c r="N26" s="687"/>
      <c r="O26" s="117">
        <f>F26*M16/1000</f>
        <v>0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82" t="s">
        <v>532</v>
      </c>
      <c r="C27" s="680"/>
      <c r="D27" s="681"/>
      <c r="E27" s="101">
        <f t="shared" si="1"/>
        <v>0.8</v>
      </c>
      <c r="F27" s="83">
        <v>8</v>
      </c>
      <c r="G27" s="114" t="s">
        <v>122</v>
      </c>
      <c r="H27" s="159">
        <f>'Base Preços MP'!G41</f>
        <v>1.76</v>
      </c>
      <c r="I27" s="141">
        <f>E29*39/100</f>
        <v>0</v>
      </c>
      <c r="J27" s="151">
        <f t="shared" si="2"/>
        <v>14.08</v>
      </c>
      <c r="K27" s="111">
        <f t="shared" si="3"/>
        <v>0</v>
      </c>
      <c r="L27" s="687" t="str">
        <f t="shared" si="0"/>
        <v>fert mag</v>
      </c>
      <c r="M27" s="687"/>
      <c r="N27" s="687"/>
      <c r="O27" s="117">
        <f>F27*M16/1000</f>
        <v>10.32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/>
      <c r="C28" s="680"/>
      <c r="D28" s="681"/>
      <c r="E28" s="101">
        <f t="shared" si="1"/>
        <v>0</v>
      </c>
      <c r="F28" s="83"/>
      <c r="G28" s="1"/>
      <c r="H28" s="159">
        <f>'Base Preços MP'!G11</f>
        <v>3.4</v>
      </c>
      <c r="I28" s="1"/>
      <c r="J28" s="151">
        <f t="shared" si="2"/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/>
      <c r="C29" s="680"/>
      <c r="D29" s="681"/>
      <c r="E29" s="101">
        <f t="shared" si="1"/>
        <v>0</v>
      </c>
      <c r="F29" s="83"/>
      <c r="G29" s="1"/>
      <c r="H29" s="159">
        <f>'Base Preços MP'!G36</f>
        <v>6.5</v>
      </c>
      <c r="I29" s="1"/>
      <c r="J29" s="151">
        <f t="shared" si="2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/>
      <c r="C30" s="680"/>
      <c r="D30" s="681"/>
      <c r="E30" s="101">
        <f t="shared" si="1"/>
        <v>0</v>
      </c>
      <c r="F30" s="83"/>
      <c r="G30" s="1"/>
      <c r="H30" s="159">
        <f>'Base Preços MP'!G34</f>
        <v>7.75</v>
      </c>
      <c r="I30" s="1"/>
      <c r="J30" s="151">
        <f t="shared" si="2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235">
        <f>SUM(F17:F30)</f>
        <v>1000</v>
      </c>
      <c r="G31" s="103"/>
      <c r="H31" s="113"/>
      <c r="I31" s="103"/>
      <c r="J31" s="112"/>
      <c r="K31" s="103"/>
      <c r="L31" s="691" t="s">
        <v>43</v>
      </c>
      <c r="M31" s="692"/>
      <c r="N31" s="692"/>
      <c r="O31" s="193">
        <f>SUM(O17:O30)</f>
        <v>1290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1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491" t="s">
        <v>447</v>
      </c>
      <c r="M34" s="492" t="s">
        <v>448</v>
      </c>
      <c r="N34" s="491"/>
      <c r="O34" s="103"/>
      <c r="P34" s="114"/>
      <c r="Q34" s="103"/>
      <c r="R34" s="103"/>
    </row>
    <row r="35" spans="1:18" ht="15.75" thickBot="1" x14ac:dyDescent="0.3">
      <c r="A35" s="1"/>
      <c r="B35" s="3" t="s">
        <v>2</v>
      </c>
      <c r="C35" s="1"/>
      <c r="D35" s="82">
        <v>1.29</v>
      </c>
      <c r="E35" s="1"/>
      <c r="F35" s="1"/>
      <c r="G35" s="1"/>
      <c r="H35" s="17" t="s">
        <v>1</v>
      </c>
      <c r="I35" s="1"/>
      <c r="J35" s="194">
        <f>SUM(J17:J34)</f>
        <v>1415.6299999999999</v>
      </c>
      <c r="K35" s="103"/>
      <c r="L35" s="493" t="s">
        <v>449</v>
      </c>
      <c r="M35" s="494">
        <v>1</v>
      </c>
      <c r="N35" s="103"/>
      <c r="O35" s="103"/>
      <c r="P35" s="114"/>
      <c r="Q35" s="103"/>
      <c r="R35" s="103"/>
    </row>
    <row r="36" spans="1:18" ht="15.75" thickBot="1" x14ac:dyDescent="0.3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493" t="s">
        <v>450</v>
      </c>
      <c r="M36" s="494">
        <v>1</v>
      </c>
      <c r="N36" s="103"/>
      <c r="O36" s="103"/>
      <c r="P36" s="114"/>
      <c r="Q36" s="103"/>
      <c r="R36" s="103"/>
    </row>
    <row r="37" spans="1:18" ht="15" x14ac:dyDescent="0.25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493" t="s">
        <v>451</v>
      </c>
      <c r="M37" s="494">
        <v>1</v>
      </c>
      <c r="N37" s="103"/>
      <c r="O37" s="103"/>
      <c r="P37" s="114"/>
      <c r="Q37" s="103"/>
      <c r="R37" s="103"/>
    </row>
    <row r="38" spans="1:18" ht="15" x14ac:dyDescent="0.25">
      <c r="A38" s="1"/>
      <c r="B38" s="23" t="s">
        <v>15</v>
      </c>
      <c r="C38" s="1"/>
      <c r="D38" s="27"/>
      <c r="E38" s="23" t="s">
        <v>77</v>
      </c>
      <c r="F38" s="101"/>
      <c r="G38" s="1"/>
      <c r="H38" s="23"/>
      <c r="I38" s="27"/>
      <c r="J38" s="29" t="s">
        <v>78</v>
      </c>
      <c r="K38" s="103"/>
      <c r="L38" s="493" t="s">
        <v>452</v>
      </c>
      <c r="M38" s="494">
        <v>3.43</v>
      </c>
      <c r="N38" s="103"/>
      <c r="O38" s="103"/>
      <c r="P38" s="114"/>
      <c r="Q38" s="103"/>
      <c r="R38" s="103"/>
    </row>
    <row r="39" spans="1:18" ht="15" x14ac:dyDescent="0.25">
      <c r="A39" s="1"/>
      <c r="B39" s="3" t="s">
        <v>10</v>
      </c>
      <c r="C39" s="1"/>
      <c r="D39" s="520"/>
      <c r="E39" s="68">
        <f>J35/J36</f>
        <v>1.4156299999999999</v>
      </c>
      <c r="F39" s="102"/>
      <c r="G39" s="3" t="s">
        <v>16</v>
      </c>
      <c r="H39" s="1"/>
      <c r="I39" s="39"/>
      <c r="J39" s="68">
        <f>E39*D35</f>
        <v>1.8261627</v>
      </c>
      <c r="K39" s="103"/>
      <c r="L39" s="493" t="s">
        <v>453</v>
      </c>
      <c r="M39" s="494">
        <v>0.3</v>
      </c>
      <c r="N39" s="103"/>
      <c r="O39" s="103"/>
      <c r="P39" s="114"/>
      <c r="Q39" s="103"/>
      <c r="R39" s="103"/>
    </row>
    <row r="40" spans="1:18" ht="15" x14ac:dyDescent="0.25">
      <c r="A40" s="1"/>
      <c r="B40" s="19" t="s">
        <v>11</v>
      </c>
      <c r="C40" s="4"/>
      <c r="D40" s="521"/>
      <c r="E40" s="68">
        <v>0.1</v>
      </c>
      <c r="F40" s="16"/>
      <c r="G40" s="19" t="s">
        <v>17</v>
      </c>
      <c r="H40" s="4"/>
      <c r="I40" s="39"/>
      <c r="J40" s="68">
        <f>E40*D35</f>
        <v>0.129</v>
      </c>
      <c r="K40" s="103"/>
      <c r="L40" s="493" t="s">
        <v>445</v>
      </c>
      <c r="M40" s="494">
        <v>18</v>
      </c>
      <c r="N40" s="103"/>
      <c r="O40" s="103"/>
      <c r="P40" s="114"/>
      <c r="Q40" s="103"/>
      <c r="R40" s="103"/>
    </row>
    <row r="41" spans="1:18" ht="15" x14ac:dyDescent="0.25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v>0</v>
      </c>
      <c r="K41" s="103"/>
      <c r="L41" s="493" t="s">
        <v>446</v>
      </c>
      <c r="M41" s="494">
        <v>5</v>
      </c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495" t="s">
        <v>454</v>
      </c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1.51563</v>
      </c>
      <c r="F44" s="3"/>
      <c r="G44" s="3" t="s">
        <v>19</v>
      </c>
      <c r="H44" s="1"/>
      <c r="I44" s="33"/>
      <c r="J44" s="142">
        <f>J39+J40+J41+J42+J43</f>
        <v>1.9551627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103"/>
      <c r="M45" s="632"/>
      <c r="N45" s="632"/>
      <c r="O45" s="632"/>
      <c r="P45" s="632"/>
      <c r="Q45" s="632"/>
      <c r="R45" s="632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103"/>
      <c r="M46" s="632"/>
      <c r="N46" s="632"/>
      <c r="O46" s="632"/>
      <c r="P46" s="632"/>
      <c r="Q46" s="632"/>
      <c r="R46" s="632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103"/>
      <c r="M47" s="632"/>
      <c r="N47" s="632"/>
      <c r="O47" s="632"/>
      <c r="P47" s="632"/>
      <c r="Q47" s="632"/>
      <c r="R47" s="632"/>
    </row>
    <row r="48" spans="1:18" x14ac:dyDescent="0.2">
      <c r="A48" s="1"/>
      <c r="B48" s="22" t="s">
        <v>22</v>
      </c>
      <c r="C48" s="11"/>
      <c r="D48" s="279" t="s">
        <v>464</v>
      </c>
      <c r="E48" s="36">
        <f>'Base Preços MP'!C83/D35</f>
        <v>0</v>
      </c>
      <c r="F48" s="36">
        <v>0.56000000000000005</v>
      </c>
      <c r="G48" s="19"/>
      <c r="H48" s="26"/>
      <c r="I48" s="75"/>
      <c r="J48" s="32"/>
      <c r="K48" s="103"/>
      <c r="L48" s="103"/>
      <c r="M48" s="632"/>
      <c r="N48" s="632"/>
      <c r="O48" s="632"/>
      <c r="P48" s="632"/>
      <c r="Q48" s="632"/>
      <c r="R48" s="632"/>
    </row>
    <row r="49" spans="1:18" x14ac:dyDescent="0.2">
      <c r="A49" s="1"/>
      <c r="B49" s="1"/>
      <c r="C49" s="1"/>
      <c r="D49" s="24" t="s">
        <v>60</v>
      </c>
      <c r="E49" s="36">
        <f>F49/D35</f>
        <v>0.19448062015503875</v>
      </c>
      <c r="F49" s="36">
        <f>'Base Preços MP'!C85</f>
        <v>0.25087999999999999</v>
      </c>
      <c r="G49" s="4"/>
      <c r="H49" s="4"/>
      <c r="I49" s="6"/>
      <c r="J49" s="20"/>
      <c r="K49" s="103"/>
      <c r="L49" s="103"/>
      <c r="M49" s="632"/>
      <c r="N49" s="632"/>
      <c r="O49" s="632"/>
      <c r="P49" s="632"/>
      <c r="Q49" s="632"/>
      <c r="R49" s="632"/>
    </row>
    <row r="50" spans="1:18" x14ac:dyDescent="0.2">
      <c r="A50" s="1"/>
      <c r="B50" s="1"/>
      <c r="C50" s="1"/>
      <c r="D50" s="24" t="s">
        <v>82</v>
      </c>
      <c r="E50" s="36">
        <f>'Base Preços MP'!C84/D35</f>
        <v>0</v>
      </c>
      <c r="F50" s="36">
        <f>'Base Preços MP'!C84</f>
        <v>0</v>
      </c>
      <c r="G50" s="19" t="s">
        <v>86</v>
      </c>
      <c r="H50" s="4"/>
      <c r="I50" s="6"/>
      <c r="J50" s="20"/>
      <c r="K50" s="103"/>
      <c r="L50" s="103"/>
      <c r="M50" s="632"/>
      <c r="N50" s="632"/>
      <c r="O50" s="632"/>
      <c r="P50" s="632"/>
      <c r="Q50" s="632"/>
      <c r="R50" s="632"/>
    </row>
    <row r="51" spans="1:18" x14ac:dyDescent="0.2">
      <c r="A51" s="1"/>
      <c r="B51" s="1"/>
      <c r="C51" s="1"/>
      <c r="D51" s="24" t="s">
        <v>50</v>
      </c>
      <c r="E51" s="36">
        <f>F51/D35</f>
        <v>0.43023255813953493</v>
      </c>
      <c r="F51" s="36">
        <f>'Base Preços MP'!C86</f>
        <v>0.55500000000000005</v>
      </c>
      <c r="G51" s="19" t="s">
        <v>383</v>
      </c>
      <c r="H51" s="4"/>
      <c r="I51" s="6"/>
      <c r="J51" s="20"/>
      <c r="K51" s="103"/>
      <c r="L51" s="103"/>
      <c r="M51" s="632"/>
      <c r="N51" s="632"/>
      <c r="O51" s="632"/>
      <c r="P51" s="632"/>
      <c r="Q51" s="632"/>
      <c r="R51" s="632"/>
    </row>
    <row r="52" spans="1:18" x14ac:dyDescent="0.2">
      <c r="A52" s="1"/>
      <c r="B52" s="1"/>
      <c r="C52" s="5"/>
      <c r="D52" s="24" t="s">
        <v>50</v>
      </c>
      <c r="E52" s="36">
        <f>F52/D35</f>
        <v>0.66852713178294565</v>
      </c>
      <c r="F52" s="36">
        <f>'Base Preços MP'!C88</f>
        <v>0.86239999999999994</v>
      </c>
      <c r="G52" s="19" t="s">
        <v>382</v>
      </c>
      <c r="H52" s="4"/>
      <c r="I52" s="6"/>
      <c r="J52" s="20"/>
      <c r="K52" s="103"/>
      <c r="L52" s="103"/>
      <c r="M52" s="632"/>
      <c r="N52" s="632"/>
      <c r="O52" s="632"/>
      <c r="P52" s="632"/>
      <c r="Q52" s="632"/>
      <c r="R52" s="632"/>
    </row>
    <row r="53" spans="1:18" x14ac:dyDescent="0.2">
      <c r="A53" s="1"/>
      <c r="B53" s="1"/>
      <c r="C53" s="5"/>
      <c r="D53" s="24" t="s">
        <v>59</v>
      </c>
      <c r="E53" s="36">
        <f>F53/D35</f>
        <v>1.0251937984496124</v>
      </c>
      <c r="F53" s="36">
        <f>'Base Preços MP'!C91</f>
        <v>1.3225</v>
      </c>
      <c r="G53" s="1"/>
      <c r="H53" s="1"/>
      <c r="I53" s="6"/>
      <c r="J53" s="7"/>
      <c r="K53" s="103"/>
      <c r="L53" s="103"/>
      <c r="M53" s="632"/>
      <c r="N53" s="632"/>
      <c r="O53" s="632"/>
      <c r="P53" s="632"/>
      <c r="Q53" s="632"/>
      <c r="R53" s="632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2.4903100775193798</v>
      </c>
      <c r="F54" s="36">
        <f>'Base Preços MP'!C92</f>
        <v>3.2124999999999999</v>
      </c>
      <c r="G54" s="4"/>
      <c r="H54" s="4"/>
      <c r="I54" s="6"/>
      <c r="J54" s="20"/>
      <c r="K54" s="103"/>
      <c r="L54" s="103"/>
      <c r="M54" s="632"/>
      <c r="N54" s="632"/>
      <c r="O54" s="632"/>
      <c r="P54" s="632"/>
      <c r="Q54" s="632"/>
      <c r="R54" s="632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103"/>
      <c r="M55" s="632"/>
      <c r="N55" s="632"/>
      <c r="O55" s="632"/>
      <c r="P55" s="632"/>
      <c r="Q55" s="632"/>
      <c r="R55" s="632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03"/>
      <c r="M56" s="632"/>
      <c r="N56" s="632"/>
      <c r="O56" s="632"/>
      <c r="P56" s="632"/>
      <c r="Q56" s="632"/>
      <c r="R56" s="632"/>
    </row>
    <row r="57" spans="1:18" ht="13.5" thickBot="1" x14ac:dyDescent="0.25">
      <c r="A57" s="1"/>
      <c r="B57" s="1"/>
      <c r="C57" s="55" t="s">
        <v>458</v>
      </c>
      <c r="D57" s="1"/>
      <c r="E57" s="1"/>
      <c r="F57" s="19"/>
      <c r="G57" s="4"/>
      <c r="H57" s="56"/>
      <c r="I57" s="19"/>
      <c r="J57" s="20"/>
      <c r="K57" s="103"/>
      <c r="L57" s="103"/>
      <c r="M57" s="632"/>
      <c r="N57" s="632"/>
      <c r="O57" s="632"/>
      <c r="P57" s="632"/>
      <c r="Q57" s="632"/>
      <c r="R57" s="632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/>
      <c r="H58" s="419" t="s">
        <v>377</v>
      </c>
      <c r="I58" s="420"/>
      <c r="J58" s="41"/>
      <c r="K58" s="103"/>
      <c r="L58" s="103"/>
      <c r="M58" s="632"/>
      <c r="N58" s="632"/>
      <c r="O58" s="632"/>
      <c r="P58" s="632"/>
      <c r="Q58" s="632"/>
      <c r="R58" s="632"/>
    </row>
    <row r="59" spans="1:18" x14ac:dyDescent="0.2">
      <c r="A59" s="1"/>
      <c r="B59" s="1"/>
      <c r="C59" s="425" t="s">
        <v>464</v>
      </c>
      <c r="D59" s="426">
        <f>(E44/I46)+D41</f>
        <v>1.51563</v>
      </c>
      <c r="E59" s="426">
        <f>D59*D35</f>
        <v>1.9551627</v>
      </c>
      <c r="F59" s="427" t="s">
        <v>88</v>
      </c>
      <c r="G59" s="33" t="s">
        <v>378</v>
      </c>
      <c r="H59" s="421">
        <f>E63+0.2</f>
        <v>3.0175627000000005</v>
      </c>
      <c r="I59" s="422"/>
      <c r="J59" s="41"/>
      <c r="K59" s="103"/>
      <c r="L59" s="103"/>
      <c r="M59" s="632"/>
      <c r="N59" s="632"/>
      <c r="O59" s="632"/>
      <c r="P59" s="632"/>
      <c r="Q59" s="632"/>
      <c r="R59" s="632"/>
    </row>
    <row r="60" spans="1:18" x14ac:dyDescent="0.2">
      <c r="A60" s="670" t="str">
        <f>'FUEL BLACK 20% NÃO USAR'!A60:B60</f>
        <v>Contentor Incluido</v>
      </c>
      <c r="B60" s="694"/>
      <c r="C60" s="428">
        <v>1000</v>
      </c>
      <c r="D60" s="426">
        <f>(E44/I46)+D41+E49</f>
        <v>1.7101106201550387</v>
      </c>
      <c r="E60" s="426">
        <f>D60*D35</f>
        <v>2.2060426999999998</v>
      </c>
      <c r="F60" s="429" t="s">
        <v>89</v>
      </c>
      <c r="G60" s="33" t="s">
        <v>379</v>
      </c>
      <c r="H60" s="421">
        <f>(E63/0.97)+0.2</f>
        <v>3.1047038144329901</v>
      </c>
      <c r="I60" s="422"/>
      <c r="J60" s="41"/>
      <c r="K60" s="103"/>
      <c r="L60" s="103"/>
      <c r="M60" s="632"/>
      <c r="N60" s="632"/>
      <c r="O60" s="632"/>
      <c r="P60" s="632"/>
      <c r="Q60" s="632"/>
      <c r="R60" s="632"/>
    </row>
    <row r="61" spans="1:18" ht="13.5" thickBot="1" x14ac:dyDescent="0.25">
      <c r="A61" s="1"/>
      <c r="B61" s="1"/>
      <c r="C61" s="425">
        <v>50</v>
      </c>
      <c r="D61" s="426"/>
      <c r="E61" s="426"/>
      <c r="F61" s="429" t="s">
        <v>90</v>
      </c>
      <c r="G61" s="33" t="s">
        <v>380</v>
      </c>
      <c r="H61" s="423">
        <f>((E63/0.97)/0.97)+0.2</f>
        <v>3.1945400148793714</v>
      </c>
      <c r="I61" s="424"/>
      <c r="J61" s="1"/>
      <c r="K61" s="103"/>
      <c r="L61" s="103"/>
      <c r="M61" s="632"/>
      <c r="N61" s="632"/>
      <c r="O61" s="632"/>
      <c r="P61" s="632"/>
      <c r="Q61" s="632"/>
      <c r="R61" s="632"/>
    </row>
    <row r="62" spans="1:18" x14ac:dyDescent="0.2">
      <c r="A62" s="1"/>
      <c r="B62" s="1"/>
      <c r="C62" s="425">
        <v>25</v>
      </c>
      <c r="D62" s="426"/>
      <c r="E62" s="426"/>
      <c r="F62" s="429" t="s">
        <v>384</v>
      </c>
      <c r="G62" s="33"/>
      <c r="H62" s="7"/>
      <c r="I62" s="1"/>
      <c r="J62" s="1"/>
      <c r="K62" s="103"/>
      <c r="L62" s="103"/>
      <c r="M62" s="632"/>
      <c r="N62" s="632"/>
      <c r="O62" s="632"/>
      <c r="P62" s="632"/>
      <c r="Q62" s="632"/>
      <c r="R62" s="632"/>
    </row>
    <row r="63" spans="1:18" x14ac:dyDescent="0.2">
      <c r="A63" s="1"/>
      <c r="B63" s="1"/>
      <c r="C63" s="425">
        <v>25</v>
      </c>
      <c r="D63" s="426">
        <f>(E44/I46)+D41+E52</f>
        <v>2.1841571317829458</v>
      </c>
      <c r="E63" s="426">
        <f>D63*D35</f>
        <v>2.8175627000000003</v>
      </c>
      <c r="F63" s="429" t="s">
        <v>531</v>
      </c>
      <c r="G63" s="33">
        <f>E63/0.92</f>
        <v>3.0625681521739132</v>
      </c>
      <c r="H63" s="20">
        <f>E63/0.88</f>
        <v>3.2017757954545458</v>
      </c>
      <c r="I63" s="5">
        <f>H63+0.9</f>
        <v>4.1017757954545457</v>
      </c>
      <c r="J63" s="1"/>
      <c r="K63" s="103"/>
      <c r="L63" s="103"/>
      <c r="M63" s="632"/>
      <c r="N63" s="632"/>
      <c r="O63" s="632"/>
      <c r="P63" s="632"/>
      <c r="Q63" s="632"/>
      <c r="R63" s="632"/>
    </row>
    <row r="64" spans="1:18" x14ac:dyDescent="0.2">
      <c r="A64" s="1"/>
      <c r="B64" s="1"/>
      <c r="C64" s="425">
        <v>5</v>
      </c>
      <c r="D64" s="426">
        <f>(E44/I46)+D41+E53</f>
        <v>2.5408237984496127</v>
      </c>
      <c r="E64" s="426">
        <f>D64*D35</f>
        <v>3.2776627000000005</v>
      </c>
      <c r="F64" s="429" t="s">
        <v>94</v>
      </c>
      <c r="G64" s="39"/>
      <c r="H64" s="20">
        <f>E64/0.88</f>
        <v>3.724616704545455</v>
      </c>
      <c r="I64" s="5">
        <f>H64+0.9</f>
        <v>4.6246167045454554</v>
      </c>
      <c r="J64" s="1"/>
      <c r="K64" s="103"/>
      <c r="L64" s="103"/>
      <c r="M64" s="632"/>
      <c r="N64" s="632"/>
      <c r="O64" s="632"/>
      <c r="P64" s="632"/>
      <c r="Q64" s="632"/>
      <c r="R64" s="632"/>
    </row>
    <row r="65" spans="1:18" x14ac:dyDescent="0.2">
      <c r="A65" s="86"/>
      <c r="B65" s="86"/>
      <c r="C65" s="425">
        <v>1</v>
      </c>
      <c r="D65" s="426">
        <f>E44/I46+D41+E54</f>
        <v>4.0059400775193801</v>
      </c>
      <c r="E65" s="426">
        <f>D65*D35</f>
        <v>5.1676627000000002</v>
      </c>
      <c r="F65" s="429" t="s">
        <v>95</v>
      </c>
      <c r="G65" s="8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88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91"/>
      <c r="F68" s="92"/>
      <c r="G68" s="91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43">
    <mergeCell ref="A68:B68"/>
    <mergeCell ref="A69:B69"/>
    <mergeCell ref="A60:B60"/>
    <mergeCell ref="A66:B66"/>
    <mergeCell ref="A67:B67"/>
    <mergeCell ref="B30:D30"/>
    <mergeCell ref="L30:N30"/>
    <mergeCell ref="B31:D31"/>
    <mergeCell ref="L31:N31"/>
    <mergeCell ref="B27:D27"/>
    <mergeCell ref="L27:N27"/>
    <mergeCell ref="B28:D28"/>
    <mergeCell ref="L28:N28"/>
    <mergeCell ref="B29:D29"/>
    <mergeCell ref="L29:N29"/>
    <mergeCell ref="B24:D24"/>
    <mergeCell ref="L24:N24"/>
    <mergeCell ref="B25:D25"/>
    <mergeCell ref="L25:N25"/>
    <mergeCell ref="B26:D26"/>
    <mergeCell ref="L26:N26"/>
    <mergeCell ref="B21:D21"/>
    <mergeCell ref="L21:N21"/>
    <mergeCell ref="B22:D22"/>
    <mergeCell ref="L22:N22"/>
    <mergeCell ref="B23:D23"/>
    <mergeCell ref="L23:N23"/>
    <mergeCell ref="B18:D18"/>
    <mergeCell ref="L18:N18"/>
    <mergeCell ref="B19:D19"/>
    <mergeCell ref="L19:N19"/>
    <mergeCell ref="B20:D20"/>
    <mergeCell ref="L20:N20"/>
    <mergeCell ref="I10:J10"/>
    <mergeCell ref="L14:M14"/>
    <mergeCell ref="N16:O16"/>
    <mergeCell ref="B17:D17"/>
    <mergeCell ref="L17:N17"/>
    <mergeCell ref="I6:K6"/>
    <mergeCell ref="I7:J7"/>
    <mergeCell ref="I8:J8"/>
    <mergeCell ref="G9:H9"/>
    <mergeCell ref="I9:J9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9"/>
  <sheetViews>
    <sheetView topLeftCell="B24" zoomScaleNormal="100" workbookViewId="0">
      <selection activeCell="B27" sqref="B27:D27"/>
    </sheetView>
  </sheetViews>
  <sheetFormatPr defaultColWidth="11.42578125" defaultRowHeight="12.75" x14ac:dyDescent="0.2"/>
  <cols>
    <col min="1" max="1" width="4.28515625" customWidth="1"/>
    <col min="2" max="2" width="12.285156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6.8554687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270</v>
      </c>
      <c r="G7" s="24"/>
      <c r="H7" s="133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664" t="s">
        <v>135</v>
      </c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201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135" t="s">
        <v>121</v>
      </c>
      <c r="L16" s="118">
        <v>1000</v>
      </c>
      <c r="M16" s="116">
        <f>L16*D35</f>
        <v>1190</v>
      </c>
      <c r="N16" s="671"/>
      <c r="O16" s="672"/>
      <c r="P16" s="138" t="s">
        <v>152</v>
      </c>
      <c r="Q16" s="138" t="s">
        <v>154</v>
      </c>
      <c r="R16" s="103"/>
    </row>
    <row r="17" spans="1:18" x14ac:dyDescent="0.2">
      <c r="A17" s="1"/>
      <c r="B17" s="673" t="s">
        <v>49</v>
      </c>
      <c r="C17" s="674"/>
      <c r="D17" s="675"/>
      <c r="E17" s="101">
        <f>F17/10</f>
        <v>19.649999999999999</v>
      </c>
      <c r="F17" s="110">
        <v>196.5</v>
      </c>
      <c r="G17" s="114" t="s">
        <v>125</v>
      </c>
      <c r="H17" s="115">
        <f>'Base Preços MP'!G10</f>
        <v>0.01</v>
      </c>
      <c r="I17" s="114">
        <f>E20*21/100+E25*13/100+E26*7/100+E27*8/100</f>
        <v>0.52429999999999999</v>
      </c>
      <c r="J17" s="115">
        <f>F17*H17</f>
        <v>1.9650000000000001</v>
      </c>
      <c r="K17" s="111">
        <f>I17*1.34*10</f>
        <v>7.02562</v>
      </c>
      <c r="L17" s="676" t="str">
        <f t="shared" ref="L17:L30" si="0">B17</f>
        <v>Agua</v>
      </c>
      <c r="M17" s="677"/>
      <c r="N17" s="678"/>
      <c r="O17" s="117">
        <f>F17*M16/1000</f>
        <v>233.83500000000001</v>
      </c>
      <c r="P17" s="109">
        <v>7.0724400000000003</v>
      </c>
      <c r="Q17" s="138" t="s">
        <v>125</v>
      </c>
      <c r="R17" s="103"/>
    </row>
    <row r="18" spans="1:18" x14ac:dyDescent="0.2">
      <c r="A18" s="1"/>
      <c r="B18" s="679" t="s">
        <v>184</v>
      </c>
      <c r="C18" s="680"/>
      <c r="D18" s="681"/>
      <c r="E18" s="101">
        <f t="shared" ref="E18:E30" si="1">F18/10</f>
        <v>0</v>
      </c>
      <c r="F18" s="83"/>
      <c r="G18" s="114" t="s">
        <v>69</v>
      </c>
      <c r="H18" s="154">
        <f>'Base Preços MP'!G50</f>
        <v>1.49</v>
      </c>
      <c r="I18" s="114">
        <f>E19*60/100</f>
        <v>7.8119999999999994</v>
      </c>
      <c r="J18" s="149">
        <f>F18*H18</f>
        <v>0</v>
      </c>
      <c r="K18" s="111">
        <f t="shared" ref="K18:K27" si="2">I18*1.34*10</f>
        <v>104.6808</v>
      </c>
      <c r="L18" s="676" t="str">
        <f t="shared" si="0"/>
        <v>Melaço em po</v>
      </c>
      <c r="M18" s="677"/>
      <c r="N18" s="678"/>
      <c r="O18" s="117">
        <f>F18*M16/1000</f>
        <v>0</v>
      </c>
      <c r="P18" s="109">
        <v>1.7885999999999997</v>
      </c>
      <c r="Q18" s="138" t="s">
        <v>69</v>
      </c>
      <c r="R18" s="103"/>
    </row>
    <row r="19" spans="1:18" x14ac:dyDescent="0.2">
      <c r="A19" s="1"/>
      <c r="B19" s="679" t="s">
        <v>183</v>
      </c>
      <c r="C19" s="680"/>
      <c r="D19" s="681"/>
      <c r="E19" s="101">
        <f t="shared" si="1"/>
        <v>13.02</v>
      </c>
      <c r="F19" s="83">
        <v>130.19999999999999</v>
      </c>
      <c r="G19" s="114" t="s">
        <v>110</v>
      </c>
      <c r="H19" s="154">
        <f>'Base Preços MP'!G24</f>
        <v>4.3</v>
      </c>
      <c r="I19" s="114">
        <f>E18*72.15/100+E25*46/100</f>
        <v>0</v>
      </c>
      <c r="J19" s="149">
        <f>F19*H19</f>
        <v>559.8599999999999</v>
      </c>
      <c r="K19" s="111">
        <f t="shared" si="2"/>
        <v>0</v>
      </c>
      <c r="L19" s="676" t="str">
        <f t="shared" si="0"/>
        <v>Acido Nitrico 11.8 N%</v>
      </c>
      <c r="M19" s="677"/>
      <c r="N19" s="678"/>
      <c r="O19" s="117">
        <f>F19*M16/1000</f>
        <v>154.93799999999999</v>
      </c>
      <c r="P19" s="109">
        <v>5.9720309999999994</v>
      </c>
      <c r="Q19" s="138" t="s">
        <v>110</v>
      </c>
      <c r="R19" s="103"/>
    </row>
    <row r="20" spans="1:18" x14ac:dyDescent="0.2">
      <c r="A20" s="1"/>
      <c r="B20" s="679" t="s">
        <v>113</v>
      </c>
      <c r="C20" s="680"/>
      <c r="D20" s="681"/>
      <c r="E20" s="101">
        <f t="shared" si="1"/>
        <v>2.23</v>
      </c>
      <c r="F20" s="83">
        <v>22.3</v>
      </c>
      <c r="G20" s="114" t="s">
        <v>106</v>
      </c>
      <c r="H20" s="155">
        <f>'Base Preços MP'!G47</f>
        <v>20</v>
      </c>
      <c r="I20" s="114">
        <f>E27*11/100</f>
        <v>0</v>
      </c>
      <c r="J20" s="149">
        <f>H20*F20</f>
        <v>446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26.536999999999999</v>
      </c>
      <c r="P20" s="109">
        <v>4.3502400000000003</v>
      </c>
      <c r="Q20" s="138" t="s">
        <v>106</v>
      </c>
      <c r="R20" s="103"/>
    </row>
    <row r="21" spans="1:18" x14ac:dyDescent="0.2">
      <c r="A21" s="1"/>
      <c r="B21" s="747" t="s">
        <v>113</v>
      </c>
      <c r="C21" s="684"/>
      <c r="D21" s="685"/>
      <c r="E21" s="101">
        <f t="shared" si="1"/>
        <v>64.599999999999994</v>
      </c>
      <c r="F21" s="139">
        <v>646</v>
      </c>
      <c r="G21" s="114" t="s">
        <v>107</v>
      </c>
      <c r="H21" s="155">
        <f>'Base Preços MP'!G46</f>
        <v>1.7</v>
      </c>
      <c r="I21" s="114">
        <f>E26*7/100</f>
        <v>5.6000000000000008E-2</v>
      </c>
      <c r="J21" s="149">
        <f t="shared" ref="J21:J30" si="3">F21*H21</f>
        <v>1098.2</v>
      </c>
      <c r="K21" s="111">
        <f t="shared" si="2"/>
        <v>0.75040000000000007</v>
      </c>
      <c r="L21" s="686" t="str">
        <f t="shared" si="0"/>
        <v>UREIA</v>
      </c>
      <c r="M21" s="686"/>
      <c r="N21" s="686"/>
      <c r="O21" s="117">
        <f>F21*M16/1000</f>
        <v>768.74</v>
      </c>
      <c r="P21" s="161">
        <v>0.41426000000000002</v>
      </c>
      <c r="Q21" s="138" t="s">
        <v>107</v>
      </c>
      <c r="R21" s="103"/>
    </row>
    <row r="22" spans="1:18" x14ac:dyDescent="0.2">
      <c r="A22" s="1"/>
      <c r="B22" s="679" t="s">
        <v>200</v>
      </c>
      <c r="C22" s="680"/>
      <c r="D22" s="681"/>
      <c r="E22" s="101">
        <f t="shared" si="1"/>
        <v>0.25</v>
      </c>
      <c r="F22" s="139">
        <v>2.5</v>
      </c>
      <c r="G22" s="114" t="s">
        <v>108</v>
      </c>
      <c r="H22" s="155">
        <f>'Base Preços MP'!G17</f>
        <v>6.9</v>
      </c>
      <c r="I22" s="114">
        <f>E21*14/100</f>
        <v>9.0439999999999987</v>
      </c>
      <c r="J22" s="149">
        <f>F22*H22</f>
        <v>17.25</v>
      </c>
      <c r="K22" s="111">
        <f t="shared" si="2"/>
        <v>121.1896</v>
      </c>
      <c r="L22" s="687" t="str">
        <f t="shared" si="0"/>
        <v>Acido Fosforoso</v>
      </c>
      <c r="M22" s="687"/>
      <c r="N22" s="687"/>
      <c r="O22" s="117">
        <f>F22*M16/1000</f>
        <v>2.9750000000000001</v>
      </c>
      <c r="P22" s="161">
        <v>2.198E-2</v>
      </c>
      <c r="Q22" s="138" t="s">
        <v>108</v>
      </c>
      <c r="R22" s="103"/>
    </row>
    <row r="23" spans="1:18" x14ac:dyDescent="0.2">
      <c r="A23" s="1"/>
      <c r="B23" s="679" t="s">
        <v>173</v>
      </c>
      <c r="C23" s="680"/>
      <c r="D23" s="681"/>
      <c r="E23" s="101">
        <f t="shared" si="1"/>
        <v>0.25</v>
      </c>
      <c r="F23" s="83">
        <v>2.5</v>
      </c>
      <c r="G23" s="114" t="s">
        <v>109</v>
      </c>
      <c r="H23" s="155">
        <f>'Base Preços MP'!G48</f>
        <v>9.8699999999999992</v>
      </c>
      <c r="I23" s="101">
        <f>E22*21/100</f>
        <v>5.2499999999999998E-2</v>
      </c>
      <c r="J23" s="149">
        <f t="shared" si="3"/>
        <v>24.674999999999997</v>
      </c>
      <c r="K23" s="111">
        <f t="shared" si="2"/>
        <v>0.70350000000000001</v>
      </c>
      <c r="L23" s="687" t="str">
        <f t="shared" si="0"/>
        <v>Antiespumante</v>
      </c>
      <c r="M23" s="687"/>
      <c r="N23" s="687"/>
      <c r="O23" s="117">
        <f>F23*M16/1000</f>
        <v>2.9750000000000001</v>
      </c>
      <c r="P23" s="161">
        <v>1.4070000000000001E-2</v>
      </c>
      <c r="Q23" s="138" t="s">
        <v>109</v>
      </c>
      <c r="R23" s="103"/>
    </row>
    <row r="24" spans="1:18" x14ac:dyDescent="0.2">
      <c r="A24" s="1"/>
      <c r="B24" s="679" t="s">
        <v>130</v>
      </c>
      <c r="C24" s="680"/>
      <c r="D24" s="681"/>
      <c r="E24" s="101">
        <f t="shared" si="1"/>
        <v>0</v>
      </c>
      <c r="F24" s="83"/>
      <c r="G24" s="114" t="s">
        <v>111</v>
      </c>
      <c r="H24" s="155">
        <f>'Base Preços MP'!G29</f>
        <v>10.3</v>
      </c>
      <c r="I24" s="101">
        <f>E24*14/100</f>
        <v>0</v>
      </c>
      <c r="J24" s="149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138" t="s">
        <v>111</v>
      </c>
      <c r="R24" s="103"/>
    </row>
    <row r="25" spans="1:18" x14ac:dyDescent="0.2">
      <c r="A25" s="1"/>
      <c r="B25" s="688" t="s">
        <v>129</v>
      </c>
      <c r="C25" s="689"/>
      <c r="D25" s="690"/>
      <c r="E25" s="101">
        <f t="shared" si="1"/>
        <v>0</v>
      </c>
      <c r="F25" s="83"/>
      <c r="G25" s="114" t="s">
        <v>112</v>
      </c>
      <c r="H25" s="163">
        <f>'Base Preços MP'!G22</f>
        <v>3.64</v>
      </c>
      <c r="I25" s="101">
        <f>E23*13/100</f>
        <v>3.2500000000000001E-2</v>
      </c>
      <c r="J25" s="149">
        <f>F25*H25</f>
        <v>0</v>
      </c>
      <c r="K25" s="111">
        <f t="shared" si="2"/>
        <v>0.43550000000000005</v>
      </c>
      <c r="L25" s="687" t="str">
        <f t="shared" si="0"/>
        <v>Nitrato de Potasio 13-0-46 po</v>
      </c>
      <c r="M25" s="687"/>
      <c r="N25" s="687"/>
      <c r="O25" s="117">
        <f>F25*M16/1000</f>
        <v>0</v>
      </c>
      <c r="P25" s="161">
        <v>5.382E-2</v>
      </c>
      <c r="Q25" s="138" t="s">
        <v>112</v>
      </c>
      <c r="R25" s="103"/>
    </row>
    <row r="26" spans="1:18" x14ac:dyDescent="0.2">
      <c r="A26" s="1"/>
      <c r="B26" s="679" t="s">
        <v>128</v>
      </c>
      <c r="C26" s="680"/>
      <c r="D26" s="681"/>
      <c r="E26" s="101">
        <f t="shared" si="1"/>
        <v>0.8</v>
      </c>
      <c r="F26" s="83">
        <v>8</v>
      </c>
      <c r="G26" s="114" t="s">
        <v>105</v>
      </c>
      <c r="H26" s="149">
        <f>'Base Preços MP'!G41</f>
        <v>1.76</v>
      </c>
      <c r="I26" s="141">
        <f>E28*17/100</f>
        <v>0</v>
      </c>
      <c r="J26" s="149">
        <f>F26*H26</f>
        <v>14.08</v>
      </c>
      <c r="K26" s="111">
        <f t="shared" si="2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9.52</v>
      </c>
      <c r="P26" s="161">
        <v>9.3500000000000024E-3</v>
      </c>
      <c r="Q26" s="138" t="s">
        <v>105</v>
      </c>
      <c r="R26" s="103"/>
    </row>
    <row r="27" spans="1:18" x14ac:dyDescent="0.2">
      <c r="A27" s="1"/>
      <c r="B27" s="679" t="s">
        <v>127</v>
      </c>
      <c r="C27" s="680"/>
      <c r="D27" s="681"/>
      <c r="E27" s="101">
        <f t="shared" si="1"/>
        <v>0</v>
      </c>
      <c r="F27" s="83"/>
      <c r="G27" s="114" t="s">
        <v>122</v>
      </c>
      <c r="H27" s="149">
        <f>'Base Preços MP'!G39</f>
        <v>1.28</v>
      </c>
      <c r="I27" s="141">
        <f>E29*39/100</f>
        <v>0</v>
      </c>
      <c r="J27" s="149">
        <f t="shared" si="3"/>
        <v>0</v>
      </c>
      <c r="K27" s="111">
        <f t="shared" si="2"/>
        <v>0</v>
      </c>
      <c r="L27" s="687" t="str">
        <f t="shared" si="0"/>
        <v>Nitrato de Calcio liquido  (11 % Ca)</v>
      </c>
      <c r="M27" s="687"/>
      <c r="N27" s="687"/>
      <c r="O27" s="117">
        <f>F27*M16/1000</f>
        <v>0</v>
      </c>
      <c r="P27" s="161">
        <v>2.7300000000000002E-3</v>
      </c>
      <c r="Q27" s="138" t="s">
        <v>122</v>
      </c>
      <c r="R27" s="103"/>
    </row>
    <row r="28" spans="1:18" x14ac:dyDescent="0.2">
      <c r="A28" s="1"/>
      <c r="B28" s="679" t="s">
        <v>30</v>
      </c>
      <c r="C28" s="680"/>
      <c r="D28" s="681"/>
      <c r="E28" s="101">
        <f t="shared" si="1"/>
        <v>0</v>
      </c>
      <c r="F28" s="83"/>
      <c r="G28" s="1"/>
      <c r="H28" s="149">
        <f>'Base Preços MP'!G11</f>
        <v>3.4</v>
      </c>
      <c r="I28" s="1"/>
      <c r="J28" s="149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03"/>
    </row>
    <row r="29" spans="1:18" x14ac:dyDescent="0.2">
      <c r="A29" s="1"/>
      <c r="B29" s="679" t="s">
        <v>28</v>
      </c>
      <c r="C29" s="680"/>
      <c r="D29" s="681"/>
      <c r="E29" s="101">
        <f t="shared" si="1"/>
        <v>0</v>
      </c>
      <c r="F29" s="83"/>
      <c r="G29" s="1"/>
      <c r="H29" s="149">
        <f>'Base Preços MP'!G36</f>
        <v>6.5</v>
      </c>
      <c r="I29" s="1"/>
      <c r="J29" s="149">
        <f t="shared" si="3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03"/>
    </row>
    <row r="30" spans="1:18" x14ac:dyDescent="0.2">
      <c r="A30" s="1"/>
      <c r="B30" s="679" t="s">
        <v>68</v>
      </c>
      <c r="C30" s="680"/>
      <c r="D30" s="681"/>
      <c r="E30" s="101">
        <f t="shared" si="1"/>
        <v>0</v>
      </c>
      <c r="F30" s="83"/>
      <c r="G30" s="1"/>
      <c r="H30" s="149">
        <f>'Base Preços MP'!G34</f>
        <v>7.75</v>
      </c>
      <c r="I30" s="1"/>
      <c r="J30" s="149">
        <f t="shared" si="3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03"/>
    </row>
    <row r="31" spans="1:18" x14ac:dyDescent="0.2">
      <c r="A31" s="1"/>
      <c r="B31" s="659" t="s">
        <v>104</v>
      </c>
      <c r="C31" s="660"/>
      <c r="D31" s="661"/>
      <c r="E31" s="147">
        <f>SUM(E17:E30)</f>
        <v>100.8</v>
      </c>
      <c r="F31" s="140">
        <f>SUM(F17:F30)</f>
        <v>1008</v>
      </c>
      <c r="G31" s="103"/>
      <c r="H31" s="113"/>
      <c r="I31" s="103"/>
      <c r="J31" s="112"/>
      <c r="K31" s="103"/>
      <c r="L31" s="691" t="s">
        <v>43</v>
      </c>
      <c r="M31" s="692"/>
      <c r="N31" s="692"/>
      <c r="O31" s="121">
        <f>SUM(O17:O30)</f>
        <v>1199.5199999999998</v>
      </c>
      <c r="P31" s="103"/>
      <c r="Q31" s="103"/>
      <c r="R31" s="103"/>
    </row>
    <row r="32" spans="1:18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1.19</v>
      </c>
      <c r="E35" s="1"/>
      <c r="F35" s="1"/>
      <c r="G35" s="1"/>
      <c r="H35" s="17" t="s">
        <v>1</v>
      </c>
      <c r="I35" s="1"/>
      <c r="J35" s="25">
        <f>SUM(J17:J34)</f>
        <v>2162.0300000000002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03"/>
      <c r="N37" s="103"/>
      <c r="O37" s="103"/>
      <c r="P37" s="103"/>
      <c r="Q37" s="103"/>
      <c r="R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101"/>
      <c r="G38" s="1"/>
      <c r="H38" s="23"/>
      <c r="I38" s="27"/>
      <c r="J38" s="29" t="s">
        <v>78</v>
      </c>
      <c r="K38" s="103"/>
      <c r="L38" s="103"/>
      <c r="M38" s="103"/>
      <c r="N38" s="103"/>
      <c r="O38" s="103"/>
      <c r="P38" s="103"/>
      <c r="Q38" s="103"/>
      <c r="R38" s="103"/>
    </row>
    <row r="39" spans="1:18" x14ac:dyDescent="0.2">
      <c r="A39" s="1"/>
      <c r="B39" s="3" t="s">
        <v>10</v>
      </c>
      <c r="C39" s="1"/>
      <c r="D39" s="520"/>
      <c r="E39" s="68">
        <f>J35/J36</f>
        <v>2.1620300000000001</v>
      </c>
      <c r="F39" s="102"/>
      <c r="G39" s="3" t="s">
        <v>16</v>
      </c>
      <c r="H39" s="1"/>
      <c r="I39" s="39"/>
      <c r="J39" s="68">
        <f>E39*D35</f>
        <v>2.5728157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11</v>
      </c>
      <c r="C40" s="4"/>
      <c r="D40" s="521"/>
      <c r="E40" s="68">
        <v>0.09</v>
      </c>
      <c r="F40" s="16"/>
      <c r="G40" s="19" t="s">
        <v>17</v>
      </c>
      <c r="H40" s="4"/>
      <c r="I40" s="39"/>
      <c r="J40" s="68">
        <f>E40*D35</f>
        <v>0.10709999999999999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 t="s">
        <v>254</v>
      </c>
      <c r="M41" s="103" t="s">
        <v>259</v>
      </c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89" t="s">
        <v>256</v>
      </c>
      <c r="M42" s="189">
        <v>50</v>
      </c>
      <c r="N42" s="103"/>
      <c r="O42" s="103"/>
      <c r="P42" s="103"/>
      <c r="Q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 t="s">
        <v>105</v>
      </c>
      <c r="M43" s="103"/>
      <c r="N43" s="103"/>
      <c r="O43" s="103"/>
      <c r="P43" s="103"/>
      <c r="Q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2.25203</v>
      </c>
      <c r="F44" s="3"/>
      <c r="G44" s="3" t="s">
        <v>19</v>
      </c>
      <c r="H44" s="1"/>
      <c r="I44" s="33"/>
      <c r="J44" s="142">
        <f>J39+J40+J41+J42+J43</f>
        <v>2.6799157</v>
      </c>
      <c r="K44" s="103"/>
      <c r="L44" s="103" t="s">
        <v>257</v>
      </c>
      <c r="M44" s="103"/>
      <c r="N44" s="702"/>
      <c r="O44" s="697"/>
      <c r="P44" s="103"/>
      <c r="Q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263">
        <v>0</v>
      </c>
      <c r="K46" s="103"/>
      <c r="L46" s="299"/>
      <c r="M46" s="306"/>
      <c r="N46" s="702"/>
      <c r="O46" s="697"/>
      <c r="P46" s="748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749"/>
      <c r="M47" s="749"/>
      <c r="N47" s="749"/>
      <c r="O47" s="749"/>
      <c r="P47" s="749"/>
      <c r="Q47" s="749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26"/>
      <c r="I48" s="75"/>
      <c r="J48" s="32"/>
      <c r="K48" s="103"/>
      <c r="L48" s="749"/>
      <c r="M48" s="749"/>
      <c r="N48" s="749"/>
      <c r="O48" s="749"/>
      <c r="P48" s="749"/>
      <c r="Q48" s="749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0.21082352941176472</v>
      </c>
      <c r="F49" s="36">
        <f>'Base Preços MP'!C85</f>
        <v>0.25087999999999999</v>
      </c>
      <c r="G49" s="4"/>
      <c r="H49" s="4"/>
      <c r="I49" s="6"/>
      <c r="J49" s="20"/>
      <c r="K49" s="103"/>
      <c r="L49" s="749"/>
      <c r="M49" s="749"/>
      <c r="N49" s="749"/>
      <c r="O49" s="749"/>
      <c r="P49" s="749"/>
      <c r="Q49" s="749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'Base Preços MP'!#REF!</f>
        <v>#REF!</v>
      </c>
      <c r="G50" s="19" t="s">
        <v>86</v>
      </c>
      <c r="H50" s="4"/>
      <c r="I50" s="6"/>
      <c r="J50" s="20"/>
      <c r="K50" s="103"/>
      <c r="L50" s="749"/>
      <c r="M50" s="749"/>
      <c r="N50" s="749"/>
      <c r="O50" s="749"/>
      <c r="P50" s="749"/>
      <c r="Q50" s="749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0.21082352941176472</v>
      </c>
      <c r="F51" s="36">
        <f>'Base Preços MP'!C85</f>
        <v>0.25087999999999999</v>
      </c>
      <c r="G51" s="4"/>
      <c r="H51" s="4"/>
      <c r="I51" s="6"/>
      <c r="J51" s="20"/>
      <c r="K51" s="103"/>
      <c r="L51" s="749"/>
      <c r="M51" s="749"/>
      <c r="N51" s="749"/>
      <c r="O51" s="749"/>
      <c r="P51" s="749"/>
      <c r="Q51" s="749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0.46252100840336147</v>
      </c>
      <c r="F52" s="36">
        <f>'Base Preços MP'!C89</f>
        <v>0.55040000000000011</v>
      </c>
      <c r="G52" s="19" t="s">
        <v>86</v>
      </c>
      <c r="H52" s="4"/>
      <c r="I52" s="6" t="s">
        <v>300</v>
      </c>
      <c r="J52" s="20"/>
      <c r="K52" s="103"/>
      <c r="L52" s="749"/>
      <c r="M52" s="749"/>
      <c r="N52" s="749"/>
      <c r="O52" s="749"/>
      <c r="P52" s="749"/>
      <c r="Q52" s="749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1.1113445378151261</v>
      </c>
      <c r="F53" s="36">
        <f>'Base Preços MP'!C91</f>
        <v>1.3225</v>
      </c>
      <c r="G53" s="1"/>
      <c r="H53" s="1"/>
      <c r="I53" s="6" t="s">
        <v>301</v>
      </c>
      <c r="J53" s="7">
        <v>1.0840000000000001</v>
      </c>
      <c r="K53" s="103"/>
      <c r="L53" s="749"/>
      <c r="M53" s="749"/>
      <c r="N53" s="749"/>
      <c r="O53" s="749"/>
      <c r="P53" s="749"/>
      <c r="Q53" s="749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2.6995798319327733</v>
      </c>
      <c r="F54" s="36">
        <f>'Base Preços MP'!C92</f>
        <v>3.2124999999999999</v>
      </c>
      <c r="G54" s="4"/>
      <c r="H54" s="4"/>
      <c r="I54" s="6" t="s">
        <v>297</v>
      </c>
      <c r="J54" s="20">
        <v>1.07</v>
      </c>
      <c r="K54" s="103"/>
      <c r="L54" s="749"/>
      <c r="M54" s="749"/>
      <c r="N54" s="749"/>
      <c r="O54" s="749"/>
      <c r="P54" s="749"/>
      <c r="Q54" s="749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749"/>
      <c r="M55" s="749"/>
      <c r="N55" s="749"/>
      <c r="O55" s="749"/>
      <c r="P55" s="749"/>
      <c r="Q55" s="749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261</v>
      </c>
      <c r="D57" s="1"/>
      <c r="E57" s="1"/>
      <c r="F57" s="19"/>
      <c r="G57" s="4"/>
      <c r="H57" s="56" t="s">
        <v>293</v>
      </c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/>
      <c r="H58" s="56" t="s">
        <v>294</v>
      </c>
      <c r="I58" s="19" t="s">
        <v>298</v>
      </c>
      <c r="J58" s="307" t="s">
        <v>299</v>
      </c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2.25203</v>
      </c>
      <c r="E59" s="67">
        <f>J44/I46</f>
        <v>2.6799157</v>
      </c>
      <c r="F59" s="72" t="s">
        <v>88</v>
      </c>
      <c r="G59" s="33"/>
      <c r="H59" s="56" t="s">
        <v>296</v>
      </c>
      <c r="I59" s="40">
        <f>E63</f>
        <v>3.2303156999999998</v>
      </c>
      <c r="J59" s="308">
        <f>E64</f>
        <v>4.0024157000000002</v>
      </c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">
        <v>149</v>
      </c>
      <c r="B60" s="694"/>
      <c r="C60" s="74">
        <v>1000</v>
      </c>
      <c r="D60" s="70">
        <f>E44/I46+D41+E49</f>
        <v>2.4628535294117646</v>
      </c>
      <c r="E60" s="70">
        <f>D60*D35</f>
        <v>2.9307956999999996</v>
      </c>
      <c r="F60" s="61" t="s">
        <v>89</v>
      </c>
      <c r="G60" s="33"/>
      <c r="H60" s="56" t="s">
        <v>295</v>
      </c>
      <c r="I60" s="40">
        <f>E63*J53</f>
        <v>3.5016622187999999</v>
      </c>
      <c r="J60" s="308">
        <f>E64*J53</f>
        <v>4.3386186188000009</v>
      </c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310" t="s">
        <v>297</v>
      </c>
      <c r="I61" s="311">
        <f>E63*J54</f>
        <v>3.4564377990000001</v>
      </c>
      <c r="J61" s="309">
        <f>E64*J54</f>
        <v>4.2825847990000003</v>
      </c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2.7145510084033613</v>
      </c>
      <c r="E63" s="70">
        <f>D63*D35</f>
        <v>3.2303156999999998</v>
      </c>
      <c r="F63" s="51" t="s">
        <v>90</v>
      </c>
      <c r="G63" s="33"/>
      <c r="H63" s="4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3.3633745378151261</v>
      </c>
      <c r="E64" s="70">
        <f>D64*D35</f>
        <v>4.0024157000000002</v>
      </c>
      <c r="F64" s="61" t="s">
        <v>94</v>
      </c>
      <c r="G64" s="39"/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4.9516098319327728</v>
      </c>
      <c r="E65" s="70">
        <f>D65*D35</f>
        <v>5.892415699999999</v>
      </c>
      <c r="F65" s="61" t="s">
        <v>95</v>
      </c>
      <c r="G65" s="8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88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91"/>
      <c r="F68" s="92"/>
      <c r="G68" s="91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B19:D19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L19:N19"/>
    <mergeCell ref="B20:D20"/>
    <mergeCell ref="L20:N20"/>
    <mergeCell ref="L21:N21"/>
    <mergeCell ref="B22:D22"/>
    <mergeCell ref="L22:N22"/>
    <mergeCell ref="L27:N27"/>
    <mergeCell ref="B28:D28"/>
    <mergeCell ref="L28:N28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9:N29"/>
    <mergeCell ref="B30:D30"/>
    <mergeCell ref="L30:N30"/>
    <mergeCell ref="B31:D31"/>
    <mergeCell ref="L31:N31"/>
    <mergeCell ref="B29:D29"/>
    <mergeCell ref="P50:Q50"/>
    <mergeCell ref="L51:M51"/>
    <mergeCell ref="N51:O51"/>
    <mergeCell ref="P51:Q51"/>
    <mergeCell ref="N48:O48"/>
    <mergeCell ref="P48:Q48"/>
    <mergeCell ref="L49:M49"/>
    <mergeCell ref="N49:O49"/>
    <mergeCell ref="P49:Q49"/>
    <mergeCell ref="L48:M48"/>
    <mergeCell ref="L50:M50"/>
    <mergeCell ref="N50:O50"/>
    <mergeCell ref="P54:Q54"/>
    <mergeCell ref="L55:M55"/>
    <mergeCell ref="N55:O55"/>
    <mergeCell ref="P55:Q55"/>
    <mergeCell ref="L52:M52"/>
    <mergeCell ref="N52:O52"/>
    <mergeCell ref="P52:Q52"/>
    <mergeCell ref="L53:M53"/>
    <mergeCell ref="N53:O53"/>
    <mergeCell ref="P53:Q53"/>
    <mergeCell ref="L54:M54"/>
    <mergeCell ref="N54:O54"/>
    <mergeCell ref="L45:Q45"/>
    <mergeCell ref="N44:O44"/>
    <mergeCell ref="N46:O46"/>
    <mergeCell ref="P46:Q46"/>
    <mergeCell ref="L47:M47"/>
    <mergeCell ref="N47:O47"/>
    <mergeCell ref="P47:Q47"/>
    <mergeCell ref="A66:B66"/>
    <mergeCell ref="A67:B67"/>
    <mergeCell ref="A68:B68"/>
    <mergeCell ref="A69:B69"/>
    <mergeCell ref="B21:D21"/>
    <mergeCell ref="A60:B60"/>
  </mergeCells>
  <pageMargins left="0.78740157480314965" right="0.78740157480314965" top="0.98425196850393704" bottom="0.98425196850393704" header="0.51181102362204722" footer="0.51181102362204722"/>
  <pageSetup scale="70"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30" workbookViewId="0">
      <selection activeCell="C27" sqref="C27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6.25" customHeight="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23.25" customHeight="1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30" t="s">
        <v>319</v>
      </c>
      <c r="I7" s="722"/>
      <c r="J7" s="663"/>
      <c r="K7" s="103"/>
      <c r="L7" s="103"/>
      <c r="M7" s="103"/>
      <c r="N7" s="103"/>
      <c r="O7" s="103"/>
      <c r="P7" s="103"/>
      <c r="Q7" s="103"/>
      <c r="R7" s="103"/>
    </row>
    <row r="8" spans="1:18" ht="16.5" customHeight="1" x14ac:dyDescent="0.2">
      <c r="A8" s="1"/>
      <c r="B8" s="1"/>
      <c r="C8" s="1"/>
      <c r="D8" s="1"/>
      <c r="E8" s="1"/>
      <c r="F8" s="1"/>
      <c r="G8" s="24"/>
      <c r="H8" s="432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9" customHeight="1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9" customHeight="1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42559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ht="6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6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31" t="s">
        <v>67</v>
      </c>
      <c r="M17" s="431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1800</v>
      </c>
      <c r="N18" s="771" t="str">
        <f>'[5]Kicellum 2-0-32'!N18:O18</f>
        <v>Inserir Para Produzir</v>
      </c>
      <c r="O18" s="772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130.19999999999999</v>
      </c>
      <c r="G19" s="24"/>
      <c r="H19" s="387">
        <f>'Base Preços MP'!G10</f>
        <v>0.01</v>
      </c>
      <c r="I19" s="1"/>
      <c r="J19" s="69">
        <f>F19*H19</f>
        <v>1.3019999999999998</v>
      </c>
      <c r="K19" s="1"/>
      <c r="L19" s="759" t="str">
        <f>B19</f>
        <v>Agua</v>
      </c>
      <c r="M19" s="759"/>
      <c r="N19" s="759"/>
      <c r="O19" s="117">
        <f>F19*M18/1000</f>
        <v>234.35999999999996</v>
      </c>
      <c r="P19" s="103"/>
      <c r="Q19" s="103"/>
      <c r="R19" s="103"/>
    </row>
    <row r="20" spans="1:18" x14ac:dyDescent="0.2">
      <c r="A20" s="1"/>
      <c r="B20" s="683" t="s">
        <v>113</v>
      </c>
      <c r="C20" s="704"/>
      <c r="D20" s="705"/>
      <c r="E20" s="1"/>
      <c r="F20" s="83">
        <v>22.3</v>
      </c>
      <c r="G20" s="316">
        <f>F20*87.27/1000</f>
        <v>1.9461209999999998</v>
      </c>
      <c r="H20" s="229">
        <f>'Base Preços MP'!G16</f>
        <v>5.77</v>
      </c>
      <c r="I20" s="1"/>
      <c r="J20" s="234">
        <f>F20*H20</f>
        <v>128.67099999999999</v>
      </c>
      <c r="K20" s="1"/>
      <c r="L20" s="759" t="str">
        <f>B20</f>
        <v>UREIA</v>
      </c>
      <c r="M20" s="759"/>
      <c r="N20" s="759"/>
      <c r="O20" s="117">
        <f>F20*M18/1000</f>
        <v>40.14</v>
      </c>
      <c r="P20" s="103"/>
      <c r="Q20" s="103"/>
      <c r="R20" s="103"/>
    </row>
    <row r="21" spans="1:18" x14ac:dyDescent="0.2">
      <c r="A21" s="1"/>
      <c r="B21" s="683" t="s">
        <v>357</v>
      </c>
      <c r="C21" s="704"/>
      <c r="D21" s="705"/>
      <c r="E21" s="1"/>
      <c r="F21" s="83">
        <v>646</v>
      </c>
      <c r="G21" s="316"/>
      <c r="H21" s="388">
        <f>'Base Preços MP'!G61</f>
        <v>2.36</v>
      </c>
      <c r="I21" s="1"/>
      <c r="J21" s="234">
        <f>F21*H21</f>
        <v>1524.56</v>
      </c>
      <c r="K21" s="1"/>
      <c r="L21" s="760" t="str">
        <f>B21</f>
        <v>Sulfato de Ferro Monohidratado</v>
      </c>
      <c r="M21" s="761"/>
      <c r="N21" s="762"/>
      <c r="O21" s="117">
        <f>F21*M18/1000</f>
        <v>1162.8</v>
      </c>
      <c r="P21" s="103"/>
      <c r="Q21" s="103"/>
      <c r="R21" s="103"/>
    </row>
    <row r="22" spans="1:18" x14ac:dyDescent="0.2">
      <c r="A22" s="1"/>
      <c r="B22" s="763"/>
      <c r="C22" s="704"/>
      <c r="D22" s="705"/>
      <c r="E22" s="1"/>
      <c r="F22" s="83">
        <v>2.5</v>
      </c>
      <c r="G22" s="316">
        <f>F22*66.85/1000</f>
        <v>0.167125</v>
      </c>
      <c r="H22" s="51">
        <f>'Base Preços MP'!G23</f>
        <v>3.2</v>
      </c>
      <c r="I22" s="1"/>
      <c r="J22" s="234">
        <f>F22*H22</f>
        <v>8</v>
      </c>
      <c r="K22" s="1"/>
      <c r="L22" s="764">
        <f>B22</f>
        <v>0</v>
      </c>
      <c r="M22" s="765"/>
      <c r="N22" s="766"/>
      <c r="O22" s="233">
        <f>F22*M18/1000</f>
        <v>4.5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v>2.5</v>
      </c>
      <c r="G23" s="111"/>
      <c r="H23" s="113"/>
      <c r="I23" s="103"/>
      <c r="J23" s="112"/>
      <c r="K23" s="1"/>
      <c r="L23" s="703" t="s">
        <v>43</v>
      </c>
      <c r="M23" s="692"/>
      <c r="N23" s="692"/>
      <c r="O23" s="121">
        <f>SUM(O19:O22)</f>
        <v>1441.8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1.8</v>
      </c>
      <c r="E27" s="1"/>
      <c r="F27" s="1"/>
      <c r="G27" s="1"/>
      <c r="H27" s="17" t="s">
        <v>1</v>
      </c>
      <c r="I27" s="1"/>
      <c r="J27" s="25">
        <f>SUM(J20:J26)</f>
        <v>1661.231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1.6612309999999999</v>
      </c>
      <c r="F31" s="3"/>
      <c r="G31" s="3" t="s">
        <v>16</v>
      </c>
      <c r="H31" s="1"/>
      <c r="I31" s="39"/>
      <c r="J31" s="68">
        <f>E31*D27</f>
        <v>2.9902158000000001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0.25</v>
      </c>
      <c r="F32" s="19"/>
      <c r="G32" s="19" t="s">
        <v>17</v>
      </c>
      <c r="H32" s="4"/>
      <c r="I32" s="39"/>
      <c r="J32" s="68">
        <f>E32*D27</f>
        <v>0.45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>
        <v>0</v>
      </c>
      <c r="F34" s="3"/>
      <c r="G34" s="3" t="s">
        <v>80</v>
      </c>
      <c r="H34" s="1"/>
      <c r="I34" s="39"/>
      <c r="J34" s="320">
        <f>E34*D27</f>
        <v>0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1.9112309999999999</v>
      </c>
      <c r="F36" s="3"/>
      <c r="G36" s="3" t="s">
        <v>19</v>
      </c>
      <c r="H36" s="1"/>
      <c r="I36" s="39"/>
      <c r="J36" s="142">
        <f>J31+J32+J33+J34+J35</f>
        <v>3.4402158000000003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57" t="s">
        <v>220</v>
      </c>
      <c r="M38" s="758"/>
      <c r="N38" s="757" t="s">
        <v>221</v>
      </c>
      <c r="O38" s="758"/>
      <c r="P38" s="757" t="s">
        <v>222</v>
      </c>
      <c r="Q38" s="758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755"/>
      <c r="M39" s="755"/>
      <c r="N39" s="755"/>
      <c r="O39" s="755"/>
      <c r="P39" s="755"/>
      <c r="Q39" s="755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755"/>
      <c r="M40" s="755"/>
      <c r="N40" s="755"/>
      <c r="O40" s="755"/>
      <c r="P40" s="755"/>
      <c r="Q40" s="755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0.13937777777777777</v>
      </c>
      <c r="F41" s="36">
        <f>'Base Preços MP'!C85</f>
        <v>0.25087999999999999</v>
      </c>
      <c r="G41" s="4"/>
      <c r="H41" s="4"/>
      <c r="I41" s="6"/>
      <c r="J41" s="20"/>
      <c r="K41" s="1"/>
      <c r="L41" s="755"/>
      <c r="M41" s="755"/>
      <c r="N41" s="755"/>
      <c r="O41" s="755"/>
      <c r="P41" s="755"/>
      <c r="Q41" s="755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0.11988888888888888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755"/>
      <c r="M42" s="755"/>
      <c r="N42" s="755"/>
      <c r="O42" s="755"/>
      <c r="P42" s="755"/>
      <c r="Q42" s="755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0.30833333333333335</v>
      </c>
      <c r="F43" s="36">
        <f>'Base Preços MP'!C86</f>
        <v>0.55500000000000005</v>
      </c>
      <c r="G43" s="4" t="s">
        <v>388</v>
      </c>
      <c r="H43" s="4"/>
      <c r="I43" s="6"/>
      <c r="J43" s="20"/>
      <c r="K43" s="1"/>
      <c r="L43" s="755"/>
      <c r="M43" s="755"/>
      <c r="N43" s="755"/>
      <c r="O43" s="755"/>
      <c r="P43" s="755"/>
      <c r="Q43" s="755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0.30577777777777781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51"/>
      <c r="M44" s="751"/>
      <c r="N44" s="751"/>
      <c r="O44" s="751"/>
      <c r="P44" s="751"/>
      <c r="Q44" s="751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0.73472222222222217</v>
      </c>
      <c r="F45" s="36">
        <f>'Base Preços MP'!C91</f>
        <v>1.3225</v>
      </c>
      <c r="G45" s="1"/>
      <c r="H45" s="1"/>
      <c r="I45" s="6"/>
      <c r="J45" s="7"/>
      <c r="K45" s="1"/>
      <c r="L45" s="751"/>
      <c r="M45" s="751"/>
      <c r="N45" s="751"/>
      <c r="O45" s="751"/>
      <c r="P45" s="751"/>
      <c r="Q45" s="751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1.7847222222222221</v>
      </c>
      <c r="F46" s="36">
        <f>'Base Preços MP'!C92</f>
        <v>3.2124999999999999</v>
      </c>
      <c r="G46" s="4"/>
      <c r="H46" s="4"/>
      <c r="I46" s="6"/>
      <c r="J46" s="20"/>
      <c r="K46" s="1"/>
      <c r="L46" s="751"/>
      <c r="M46" s="751"/>
      <c r="N46" s="751"/>
      <c r="O46" s="751"/>
      <c r="P46" s="751"/>
      <c r="Q46" s="751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51"/>
      <c r="M47" s="751"/>
      <c r="N47" s="751"/>
      <c r="O47" s="751"/>
      <c r="P47" s="751"/>
      <c r="Q47" s="751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/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/>
      <c r="H50" s="56"/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66" t="s">
        <v>23</v>
      </c>
      <c r="D51" s="67">
        <f>E36/I38</f>
        <v>1.9112309999999999</v>
      </c>
      <c r="E51" s="67">
        <f>D51*D27</f>
        <v>3.4402157999999998</v>
      </c>
      <c r="F51" s="72" t="s">
        <v>88</v>
      </c>
      <c r="G51" s="33"/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E36/I38+E41+D33</f>
        <v>2.0506087777777777</v>
      </c>
      <c r="E52" s="70">
        <f>D52*D27</f>
        <v>3.6910957999999998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/>
      <c r="E54" s="70"/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E36/I38+D33+E44</f>
        <v>2.2170087777777776</v>
      </c>
      <c r="E55" s="70">
        <f>D55*D27</f>
        <v>3.9906157999999996</v>
      </c>
      <c r="F55" s="51" t="s">
        <v>90</v>
      </c>
      <c r="G55" s="33"/>
      <c r="H55" s="4"/>
      <c r="I55" s="1"/>
      <c r="J55" s="1"/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E36/I38+D33+E45</f>
        <v>2.645953222222222</v>
      </c>
      <c r="E56" s="70">
        <f>D56*D27</f>
        <v>4.7627157999999996</v>
      </c>
      <c r="F56" s="61" t="s">
        <v>89</v>
      </c>
      <c r="G56" s="33"/>
      <c r="H56" s="7"/>
      <c r="I56" s="1"/>
      <c r="J56" s="1"/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E36/I38+D33+E46</f>
        <v>3.6959532222222222</v>
      </c>
      <c r="E57" s="70">
        <f>D57*D27</f>
        <v>6.6527158000000002</v>
      </c>
      <c r="F57" s="61" t="s">
        <v>89</v>
      </c>
      <c r="G57" s="33"/>
      <c r="H57" s="4"/>
      <c r="I57" s="1"/>
      <c r="J57" s="1"/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39"/>
      <c r="H58" s="4"/>
      <c r="I58" s="4"/>
      <c r="J58" s="1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:E6"/>
    <mergeCell ref="I6:K6"/>
    <mergeCell ref="I7:J7"/>
    <mergeCell ref="I8:J8"/>
    <mergeCell ref="G9:H9"/>
    <mergeCell ref="I9:J9"/>
    <mergeCell ref="I11:J11"/>
    <mergeCell ref="L16:M16"/>
    <mergeCell ref="B17:D17"/>
    <mergeCell ref="N18:O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L37:Q37"/>
    <mergeCell ref="L38:M38"/>
    <mergeCell ref="N38:O38"/>
    <mergeCell ref="P38:Q38"/>
    <mergeCell ref="L39:M39"/>
    <mergeCell ref="N39:O39"/>
    <mergeCell ref="P39:Q39"/>
    <mergeCell ref="L40:M40"/>
    <mergeCell ref="N40:O40"/>
    <mergeCell ref="P40:Q40"/>
    <mergeCell ref="L41:M41"/>
    <mergeCell ref="N41:O41"/>
    <mergeCell ref="P41:Q41"/>
    <mergeCell ref="L42:M42"/>
    <mergeCell ref="N42:O42"/>
    <mergeCell ref="P42:Q42"/>
    <mergeCell ref="L43:M43"/>
    <mergeCell ref="N43:O43"/>
    <mergeCell ref="P43:Q43"/>
    <mergeCell ref="L44:M44"/>
    <mergeCell ref="N44:O44"/>
    <mergeCell ref="P44:Q44"/>
    <mergeCell ref="L45:M45"/>
    <mergeCell ref="N45:O45"/>
    <mergeCell ref="P45:Q45"/>
    <mergeCell ref="L46:M46"/>
    <mergeCell ref="N46:O46"/>
    <mergeCell ref="P46:Q46"/>
    <mergeCell ref="A62:B62"/>
    <mergeCell ref="A63:B63"/>
    <mergeCell ref="L47:M47"/>
    <mergeCell ref="N47:O47"/>
    <mergeCell ref="P47:Q47"/>
    <mergeCell ref="E49:F49"/>
    <mergeCell ref="A60:B60"/>
    <mergeCell ref="A61:B6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21" workbookViewId="0">
      <selection activeCell="C27" sqref="C27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ht="15" customHeight="1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3.5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33" t="s">
        <v>319</v>
      </c>
      <c r="I7" s="722"/>
      <c r="J7" s="781"/>
      <c r="K7" s="103"/>
      <c r="L7" s="103"/>
      <c r="M7" s="103"/>
      <c r="N7" s="103"/>
      <c r="O7" s="103"/>
      <c r="P7" s="103"/>
      <c r="Q7" s="103"/>
      <c r="R7" s="103"/>
    </row>
    <row r="8" spans="1:18" x14ac:dyDescent="0.2">
      <c r="A8" s="1"/>
      <c r="B8" s="1"/>
      <c r="C8" s="1"/>
      <c r="D8" s="1"/>
      <c r="E8" s="1"/>
      <c r="F8" s="1"/>
      <c r="G8" s="24"/>
      <c r="H8" s="435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782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437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15.75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42583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7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34" t="s">
        <v>67</v>
      </c>
      <c r="M17" s="434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1210</v>
      </c>
      <c r="N18" s="771" t="str">
        <f>'[5]Kicellum 2-0-32'!N18:O18</f>
        <v>Inserir Para Produzir</v>
      </c>
      <c r="O18" s="715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130.19999999999999</v>
      </c>
      <c r="G19" s="24"/>
      <c r="H19" s="387">
        <f>'Base Preços MP'!G10</f>
        <v>0.01</v>
      </c>
      <c r="I19" s="1"/>
      <c r="J19" s="69">
        <f>F19*H19</f>
        <v>1.3019999999999998</v>
      </c>
      <c r="K19" s="1"/>
      <c r="L19" s="778" t="str">
        <f>B19</f>
        <v>Agua</v>
      </c>
      <c r="M19" s="779"/>
      <c r="N19" s="780"/>
      <c r="O19" s="117">
        <f>F19*M18/1000</f>
        <v>157.542</v>
      </c>
      <c r="P19" s="103"/>
      <c r="Q19" s="103"/>
      <c r="R19" s="103"/>
    </row>
    <row r="20" spans="1:18" x14ac:dyDescent="0.2">
      <c r="A20" s="1"/>
      <c r="B20" s="683" t="s">
        <v>113</v>
      </c>
      <c r="C20" s="726"/>
      <c r="D20" s="727"/>
      <c r="E20" s="1"/>
      <c r="F20" s="83">
        <v>22.3</v>
      </c>
      <c r="G20" s="316">
        <f>F20*87.27/1000</f>
        <v>1.9461209999999998</v>
      </c>
      <c r="H20" s="229">
        <f>'Base Preços MP'!G20</f>
        <v>2.82</v>
      </c>
      <c r="I20" s="1"/>
      <c r="J20" s="234">
        <f>F20*H20</f>
        <v>62.885999999999996</v>
      </c>
      <c r="K20" s="1"/>
      <c r="L20" s="778" t="str">
        <f>B20</f>
        <v>UREIA</v>
      </c>
      <c r="M20" s="779"/>
      <c r="N20" s="780"/>
      <c r="O20" s="117">
        <f>F20*M18/1000</f>
        <v>26.983000000000001</v>
      </c>
      <c r="P20" s="103"/>
      <c r="Q20" s="103"/>
      <c r="R20" s="103"/>
    </row>
    <row r="21" spans="1:18" x14ac:dyDescent="0.2">
      <c r="A21" s="1"/>
      <c r="B21" s="763" t="s">
        <v>406</v>
      </c>
      <c r="C21" s="704"/>
      <c r="D21" s="705"/>
      <c r="E21" s="1"/>
      <c r="F21" s="83">
        <v>646</v>
      </c>
      <c r="G21" s="316"/>
      <c r="H21" s="388">
        <f>'Base Preços MP'!G19</f>
        <v>3.5</v>
      </c>
      <c r="I21" s="1"/>
      <c r="J21" s="234">
        <f>F21*H21</f>
        <v>2261</v>
      </c>
      <c r="K21" s="1"/>
      <c r="L21" s="760" t="str">
        <f>B21</f>
        <v>MAP 11-52</v>
      </c>
      <c r="M21" s="761"/>
      <c r="N21" s="762"/>
      <c r="O21" s="117">
        <f>F21*M18/1000</f>
        <v>781.66</v>
      </c>
      <c r="P21" s="103"/>
      <c r="Q21" s="103"/>
      <c r="R21" s="103"/>
    </row>
    <row r="22" spans="1:18" x14ac:dyDescent="0.2">
      <c r="A22" s="1"/>
      <c r="B22" s="763" t="s">
        <v>398</v>
      </c>
      <c r="C22" s="704"/>
      <c r="D22" s="705"/>
      <c r="E22" s="1"/>
      <c r="F22" s="83">
        <v>2.5</v>
      </c>
      <c r="G22" s="316">
        <f>F22*66.85/1000</f>
        <v>0.167125</v>
      </c>
      <c r="H22" s="51">
        <f>'Base Preços MP'!G21</f>
        <v>4.34</v>
      </c>
      <c r="I22" s="1"/>
      <c r="J22" s="234">
        <f>F22*H22</f>
        <v>10.85</v>
      </c>
      <c r="K22" s="1"/>
      <c r="L22" s="764" t="str">
        <f>B22</f>
        <v>SODA CAUSTICA</v>
      </c>
      <c r="M22" s="765"/>
      <c r="N22" s="766"/>
      <c r="O22" s="233">
        <f>F22*M18/1000</f>
        <v>3.0249999999999999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v>2.5</v>
      </c>
      <c r="G23" s="111"/>
      <c r="H23" s="113"/>
      <c r="I23" s="103"/>
      <c r="J23" s="112"/>
      <c r="K23" s="1"/>
      <c r="L23" s="703" t="s">
        <v>43</v>
      </c>
      <c r="M23" s="703"/>
      <c r="N23" s="703"/>
      <c r="O23" s="121">
        <f>SUM(O19:O22)</f>
        <v>969.20999999999992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1.21</v>
      </c>
      <c r="E27" s="1"/>
      <c r="F27" s="1"/>
      <c r="G27" s="1"/>
      <c r="H27" s="17" t="s">
        <v>1</v>
      </c>
      <c r="I27" s="1"/>
      <c r="J27" s="25">
        <f>SUM(J20:J26)</f>
        <v>2334.7359999999999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2.3347359999999999</v>
      </c>
      <c r="F31" s="3"/>
      <c r="G31" s="3" t="s">
        <v>16</v>
      </c>
      <c r="H31" s="1"/>
      <c r="I31" s="39"/>
      <c r="J31" s="68">
        <f>E31*D27</f>
        <v>2.8250305599999996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0.3</v>
      </c>
      <c r="F32" s="19"/>
      <c r="G32" s="19" t="s">
        <v>17</v>
      </c>
      <c r="H32" s="4"/>
      <c r="I32" s="39"/>
      <c r="J32" s="68">
        <f>E32*D27</f>
        <v>0.36299999999999999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/>
      <c r="F34" s="3"/>
      <c r="G34" s="3" t="s">
        <v>80</v>
      </c>
      <c r="H34" s="1"/>
      <c r="I34" s="39"/>
      <c r="J34" s="320">
        <f>E34*D27</f>
        <v>0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2.6347359999999997</v>
      </c>
      <c r="F36" s="3"/>
      <c r="G36" s="3" t="s">
        <v>19</v>
      </c>
      <c r="H36" s="1"/>
      <c r="I36" s="39"/>
      <c r="J36" s="142">
        <f>J31+J32+J33+J34+J35</f>
        <v>3.1880305599999996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14" t="s">
        <v>220</v>
      </c>
      <c r="M38" s="777"/>
      <c r="N38" s="714" t="s">
        <v>221</v>
      </c>
      <c r="O38" s="777"/>
      <c r="P38" s="714" t="s">
        <v>222</v>
      </c>
      <c r="Q38" s="777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668"/>
      <c r="M39" s="663"/>
      <c r="N39" s="668"/>
      <c r="O39" s="663"/>
      <c r="P39" s="668"/>
      <c r="Q39" s="663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668"/>
      <c r="M40" s="663"/>
      <c r="N40" s="668"/>
      <c r="O40" s="663"/>
      <c r="P40" s="668"/>
      <c r="Q40" s="663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0.20733884297520661</v>
      </c>
      <c r="F41" s="36">
        <f>'Base Preços MP'!C85</f>
        <v>0.25087999999999999</v>
      </c>
      <c r="G41" s="4"/>
      <c r="H41" s="4"/>
      <c r="I41" s="6"/>
      <c r="J41" s="20"/>
      <c r="K41" s="1"/>
      <c r="L41" s="668"/>
      <c r="M41" s="663"/>
      <c r="N41" s="668"/>
      <c r="O41" s="663"/>
      <c r="P41" s="668"/>
      <c r="Q41" s="663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0.17834710743801652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668"/>
      <c r="M42" s="663"/>
      <c r="N42" s="668"/>
      <c r="O42" s="663"/>
      <c r="P42" s="668"/>
      <c r="Q42" s="663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0.45867768595041325</v>
      </c>
      <c r="F43" s="36">
        <f>'Base Preços MP'!C86</f>
        <v>0.55500000000000005</v>
      </c>
      <c r="G43" s="4" t="s">
        <v>388</v>
      </c>
      <c r="H43" s="4"/>
      <c r="I43" s="6"/>
      <c r="J43" s="20"/>
      <c r="K43" s="1"/>
      <c r="L43" s="668"/>
      <c r="M43" s="663"/>
      <c r="N43" s="668"/>
      <c r="O43" s="663"/>
      <c r="P43" s="668"/>
      <c r="Q43" s="663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0.45487603305785135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75"/>
      <c r="M44" s="776"/>
      <c r="N44" s="775"/>
      <c r="O44" s="776"/>
      <c r="P44" s="775"/>
      <c r="Q44" s="776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1.0929752066115703</v>
      </c>
      <c r="F45" s="36">
        <f>'Base Preços MP'!C91</f>
        <v>1.3225</v>
      </c>
      <c r="G45" s="1"/>
      <c r="H45" s="1"/>
      <c r="I45" s="6"/>
      <c r="J45" s="7"/>
      <c r="K45" s="1"/>
      <c r="L45" s="775"/>
      <c r="M45" s="776"/>
      <c r="N45" s="775"/>
      <c r="O45" s="776"/>
      <c r="P45" s="775"/>
      <c r="Q45" s="776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2.6549586776859506</v>
      </c>
      <c r="F46" s="36">
        <f>'Base Preços MP'!C92</f>
        <v>3.2124999999999999</v>
      </c>
      <c r="G46" s="4"/>
      <c r="H46" s="4"/>
      <c r="I46" s="6"/>
      <c r="J46" s="20"/>
      <c r="K46" s="1"/>
      <c r="L46" s="775"/>
      <c r="M46" s="776"/>
      <c r="N46" s="775"/>
      <c r="O46" s="776"/>
      <c r="P46" s="775"/>
      <c r="Q46" s="776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75"/>
      <c r="M47" s="776"/>
      <c r="N47" s="775"/>
      <c r="O47" s="776"/>
      <c r="P47" s="775"/>
      <c r="Q47" s="776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407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 t="s">
        <v>399</v>
      </c>
      <c r="H50" s="56"/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66" t="s">
        <v>23</v>
      </c>
      <c r="D51" s="67">
        <f>E36/I38+D34</f>
        <v>2.6347359999999997</v>
      </c>
      <c r="E51" s="67">
        <f>D51*D27</f>
        <v>3.1880305599999996</v>
      </c>
      <c r="F51" s="72" t="s">
        <v>88</v>
      </c>
      <c r="G51" s="438">
        <f>E51/0.93</f>
        <v>3.4279898494623651</v>
      </c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E36/I38+D34+E41</f>
        <v>2.8420748429752063</v>
      </c>
      <c r="E52" s="70">
        <f>D52*D27</f>
        <v>3.4389105599999996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/>
      <c r="D53" s="70"/>
      <c r="E53" s="70"/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/>
      <c r="D54" s="70"/>
      <c r="E54" s="70"/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E36/I38+D34+E44</f>
        <v>3.0896120330578509</v>
      </c>
      <c r="E55" s="70">
        <f>D55*D27</f>
        <v>3.7384305599999994</v>
      </c>
      <c r="F55" s="51" t="s">
        <v>90</v>
      </c>
      <c r="G55" s="33"/>
      <c r="H55" s="4"/>
      <c r="I55" s="1"/>
      <c r="J55" s="1"/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E36/I38+D34+E45</f>
        <v>3.7277112066115698</v>
      </c>
      <c r="E56" s="70">
        <f>D56*D27</f>
        <v>4.5105305599999994</v>
      </c>
      <c r="F56" s="61" t="s">
        <v>89</v>
      </c>
      <c r="G56" s="33"/>
      <c r="H56" s="7"/>
      <c r="I56" s="1"/>
      <c r="J56" s="1"/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E36/I38+D34+E46</f>
        <v>5.2896946776859508</v>
      </c>
      <c r="E57" s="70">
        <f>D57*D27</f>
        <v>6.40053056</v>
      </c>
      <c r="F57" s="61" t="s">
        <v>89</v>
      </c>
      <c r="G57" s="33"/>
      <c r="H57" s="4"/>
      <c r="I57" s="1"/>
      <c r="J57" s="1"/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39"/>
      <c r="H58" s="4"/>
      <c r="I58" s="4"/>
      <c r="J58" s="1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:E6"/>
    <mergeCell ref="I6:K6"/>
    <mergeCell ref="I7:J7"/>
    <mergeCell ref="I8:J8"/>
    <mergeCell ref="G9:H9"/>
    <mergeCell ref="I9:J9"/>
    <mergeCell ref="I11:J11"/>
    <mergeCell ref="L16:M16"/>
    <mergeCell ref="B17:D17"/>
    <mergeCell ref="N18:O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L37:Q37"/>
    <mergeCell ref="L38:M38"/>
    <mergeCell ref="N38:O38"/>
    <mergeCell ref="P38:Q38"/>
    <mergeCell ref="L39:M39"/>
    <mergeCell ref="N39:O39"/>
    <mergeCell ref="P39:Q39"/>
    <mergeCell ref="L40:M40"/>
    <mergeCell ref="N40:O40"/>
    <mergeCell ref="P40:Q40"/>
    <mergeCell ref="L41:M41"/>
    <mergeCell ref="N41:O41"/>
    <mergeCell ref="P41:Q41"/>
    <mergeCell ref="L42:M42"/>
    <mergeCell ref="N42:O42"/>
    <mergeCell ref="P42:Q42"/>
    <mergeCell ref="L43:M43"/>
    <mergeCell ref="N43:O43"/>
    <mergeCell ref="P43:Q43"/>
    <mergeCell ref="L44:M44"/>
    <mergeCell ref="N44:O44"/>
    <mergeCell ref="P44:Q44"/>
    <mergeCell ref="L45:M45"/>
    <mergeCell ref="N45:O45"/>
    <mergeCell ref="P45:Q45"/>
    <mergeCell ref="L46:M46"/>
    <mergeCell ref="N46:O46"/>
    <mergeCell ref="P46:Q46"/>
    <mergeCell ref="A62:B62"/>
    <mergeCell ref="A63:B63"/>
    <mergeCell ref="L47:M47"/>
    <mergeCell ref="N47:O47"/>
    <mergeCell ref="P47:Q47"/>
    <mergeCell ref="E49:F49"/>
    <mergeCell ref="A60:B60"/>
    <mergeCell ref="A61:B6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42" workbookViewId="0">
      <selection activeCell="J48" sqref="J48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ht="15" customHeight="1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3.5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33" t="s">
        <v>319</v>
      </c>
      <c r="I7" s="722"/>
      <c r="J7" s="781"/>
      <c r="K7" s="103"/>
      <c r="L7" s="103"/>
      <c r="M7" s="103"/>
      <c r="N7" s="103"/>
      <c r="O7" s="103"/>
      <c r="P7" s="103"/>
      <c r="Q7" s="103"/>
      <c r="R7" s="103"/>
    </row>
    <row r="8" spans="1:18" x14ac:dyDescent="0.2">
      <c r="A8" s="1"/>
      <c r="B8" s="1"/>
      <c r="C8" s="1"/>
      <c r="D8" s="1"/>
      <c r="E8" s="1"/>
      <c r="F8" s="1"/>
      <c r="G8" s="24"/>
      <c r="H8" s="435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782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15.75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42521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7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34" t="s">
        <v>67</v>
      </c>
      <c r="M17" s="434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1280</v>
      </c>
      <c r="N18" s="771" t="str">
        <f>'[5]Kicellum 2-0-32'!N18:O18</f>
        <v>Inserir Para Produzir</v>
      </c>
      <c r="O18" s="715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460.8</v>
      </c>
      <c r="G19" s="24"/>
      <c r="H19" s="387">
        <f>'Base Preços MP'!G10</f>
        <v>0.01</v>
      </c>
      <c r="I19" s="1"/>
      <c r="J19" s="69">
        <f>F19*H19</f>
        <v>4.6080000000000005</v>
      </c>
      <c r="K19" s="1"/>
      <c r="L19" s="778" t="str">
        <f>B19</f>
        <v>Agua</v>
      </c>
      <c r="M19" s="779"/>
      <c r="N19" s="780"/>
      <c r="O19" s="117">
        <f>F19*M18/1000</f>
        <v>589.82399999999996</v>
      </c>
      <c r="P19" s="103"/>
      <c r="Q19" s="103"/>
      <c r="R19" s="103"/>
    </row>
    <row r="20" spans="1:18" x14ac:dyDescent="0.2">
      <c r="A20" s="1"/>
      <c r="B20" s="683" t="s">
        <v>408</v>
      </c>
      <c r="C20" s="726"/>
      <c r="D20" s="727"/>
      <c r="E20" s="1"/>
      <c r="F20" s="83">
        <v>211.8</v>
      </c>
      <c r="G20" s="316">
        <f>F20*87.27/1000</f>
        <v>18.483785999999998</v>
      </c>
      <c r="H20" s="229">
        <f>'Base Preços MP'!G15</f>
        <v>4.95</v>
      </c>
      <c r="I20" s="1"/>
      <c r="J20" s="234">
        <f>F20*H20</f>
        <v>1048.4100000000001</v>
      </c>
      <c r="K20" s="1"/>
      <c r="L20" s="778" t="str">
        <f>B20</f>
        <v>ACIDO FOSFORICO</v>
      </c>
      <c r="M20" s="779"/>
      <c r="N20" s="780"/>
      <c r="O20" s="117">
        <f>F20*M18/1000</f>
        <v>271.10399999999998</v>
      </c>
      <c r="P20" s="103"/>
      <c r="Q20" s="103"/>
      <c r="R20" s="103"/>
    </row>
    <row r="21" spans="1:18" x14ac:dyDescent="0.2">
      <c r="A21" s="1"/>
      <c r="B21" s="763" t="s">
        <v>472</v>
      </c>
      <c r="C21" s="704"/>
      <c r="D21" s="705"/>
      <c r="E21" s="1"/>
      <c r="F21" s="83">
        <v>282.89999999999998</v>
      </c>
      <c r="G21" s="316"/>
      <c r="H21" s="388">
        <f>'Base Preços MP'!G19</f>
        <v>3.5</v>
      </c>
      <c r="I21" s="1"/>
      <c r="J21" s="234">
        <f>F21*H21</f>
        <v>990.14999999999986</v>
      </c>
      <c r="K21" s="1"/>
      <c r="L21" s="760" t="str">
        <f>B21</f>
        <v>MAP CRISTALINO</v>
      </c>
      <c r="M21" s="761"/>
      <c r="N21" s="762"/>
      <c r="O21" s="117">
        <f>F21*M18/1000</f>
        <v>362.11200000000002</v>
      </c>
      <c r="P21" s="103"/>
      <c r="Q21" s="103"/>
      <c r="R21" s="103"/>
    </row>
    <row r="22" spans="1:18" x14ac:dyDescent="0.2">
      <c r="A22" s="1"/>
      <c r="B22" s="763" t="s">
        <v>214</v>
      </c>
      <c r="C22" s="704"/>
      <c r="D22" s="705"/>
      <c r="E22" s="1"/>
      <c r="F22" s="83">
        <v>44.5</v>
      </c>
      <c r="G22" s="316">
        <f>F22*66.85/1000</f>
        <v>2.9748249999999996</v>
      </c>
      <c r="H22" s="51">
        <f>'Base Preços MP'!G38</f>
        <v>0.9</v>
      </c>
      <c r="I22" s="1"/>
      <c r="J22" s="234">
        <f>F22*H22</f>
        <v>40.050000000000004</v>
      </c>
      <c r="K22" s="1"/>
      <c r="L22" s="764" t="str">
        <f>B22</f>
        <v>NITREX</v>
      </c>
      <c r="M22" s="765"/>
      <c r="N22" s="766"/>
      <c r="O22" s="233">
        <f>F22*M18/1000</f>
        <v>56.96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f>SUM(F19:F22)</f>
        <v>1000</v>
      </c>
      <c r="G23" s="111"/>
      <c r="H23" s="113"/>
      <c r="I23" s="103"/>
      <c r="J23" s="112"/>
      <c r="K23" s="1"/>
      <c r="L23" s="703" t="s">
        <v>43</v>
      </c>
      <c r="M23" s="703"/>
      <c r="N23" s="703"/>
      <c r="O23" s="121">
        <f>SUM(O19:O22)</f>
        <v>1280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1.28</v>
      </c>
      <c r="E27" s="1"/>
      <c r="F27" s="1"/>
      <c r="G27" s="1"/>
      <c r="H27" s="17" t="s">
        <v>1</v>
      </c>
      <c r="I27" s="1"/>
      <c r="J27" s="25">
        <f>SUM(J20:J26)</f>
        <v>2078.61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2.0786100000000003</v>
      </c>
      <c r="F31" s="3"/>
      <c r="G31" s="3" t="s">
        <v>16</v>
      </c>
      <c r="H31" s="1"/>
      <c r="I31" s="39"/>
      <c r="J31" s="68">
        <f>E31*D27</f>
        <v>2.6606208000000002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0.3</v>
      </c>
      <c r="F32" s="19"/>
      <c r="G32" s="19" t="s">
        <v>17</v>
      </c>
      <c r="H32" s="4"/>
      <c r="I32" s="39"/>
      <c r="J32" s="68">
        <f>E32*D27</f>
        <v>0.38400000000000001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/>
      <c r="F34" s="3"/>
      <c r="G34" s="3" t="s">
        <v>80</v>
      </c>
      <c r="H34" s="1"/>
      <c r="I34" s="39"/>
      <c r="J34" s="320">
        <f>E34*D27</f>
        <v>0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2.3786100000000001</v>
      </c>
      <c r="F36" s="3"/>
      <c r="G36" s="3" t="s">
        <v>19</v>
      </c>
      <c r="H36" s="1"/>
      <c r="I36" s="39"/>
      <c r="J36" s="142">
        <f>J31+J32+J33+J34+J35</f>
        <v>3.0446208000000001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14" t="s">
        <v>220</v>
      </c>
      <c r="M38" s="777"/>
      <c r="N38" s="714" t="s">
        <v>221</v>
      </c>
      <c r="O38" s="777"/>
      <c r="P38" s="714" t="s">
        <v>222</v>
      </c>
      <c r="Q38" s="777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668"/>
      <c r="M39" s="663"/>
      <c r="N39" s="668"/>
      <c r="O39" s="663"/>
      <c r="P39" s="668"/>
      <c r="Q39" s="663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668"/>
      <c r="M40" s="663"/>
      <c r="N40" s="668"/>
      <c r="O40" s="663"/>
      <c r="P40" s="668"/>
      <c r="Q40" s="663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0.19599999999999998</v>
      </c>
      <c r="F41" s="36">
        <f>'Base Preços MP'!C85</f>
        <v>0.25087999999999999</v>
      </c>
      <c r="G41" s="4"/>
      <c r="H41" s="4"/>
      <c r="I41" s="6"/>
      <c r="J41" s="20"/>
      <c r="K41" s="1"/>
      <c r="L41" s="668"/>
      <c r="M41" s="663"/>
      <c r="N41" s="668"/>
      <c r="O41" s="663"/>
      <c r="P41" s="668"/>
      <c r="Q41" s="663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0.16859374999999999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668"/>
      <c r="M42" s="663"/>
      <c r="N42" s="668"/>
      <c r="O42" s="663"/>
      <c r="P42" s="668"/>
      <c r="Q42" s="663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0.43359375000000006</v>
      </c>
      <c r="F43" s="36">
        <f>'Base Preços MP'!C86</f>
        <v>0.55500000000000005</v>
      </c>
      <c r="G43" s="4" t="s">
        <v>388</v>
      </c>
      <c r="H43" s="4"/>
      <c r="I43" s="6"/>
      <c r="J43" s="20"/>
      <c r="K43" s="1"/>
      <c r="L43" s="668"/>
      <c r="M43" s="663"/>
      <c r="N43" s="668"/>
      <c r="O43" s="663"/>
      <c r="P43" s="668"/>
      <c r="Q43" s="663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0.4300000000000001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75"/>
      <c r="M44" s="776"/>
      <c r="N44" s="775"/>
      <c r="O44" s="776"/>
      <c r="P44" s="775"/>
      <c r="Q44" s="776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1.033203125</v>
      </c>
      <c r="F45" s="36">
        <f>'Base Preços MP'!C91</f>
        <v>1.3225</v>
      </c>
      <c r="G45" s="1"/>
      <c r="H45" s="1"/>
      <c r="I45" s="6"/>
      <c r="J45" s="7"/>
      <c r="K45" s="1"/>
      <c r="L45" s="775"/>
      <c r="M45" s="776"/>
      <c r="N45" s="775"/>
      <c r="O45" s="776"/>
      <c r="P45" s="775"/>
      <c r="Q45" s="776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2.509765625</v>
      </c>
      <c r="F46" s="36">
        <f>'Base Preços MP'!C92</f>
        <v>3.2124999999999999</v>
      </c>
      <c r="G46" s="4"/>
      <c r="H46" s="4"/>
      <c r="I46" s="6"/>
      <c r="J46" s="20"/>
      <c r="K46" s="1"/>
      <c r="L46" s="775"/>
      <c r="M46" s="776"/>
      <c r="N46" s="775"/>
      <c r="O46" s="776"/>
      <c r="P46" s="775"/>
      <c r="Q46" s="776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75"/>
      <c r="M47" s="776"/>
      <c r="N47" s="775"/>
      <c r="O47" s="776"/>
      <c r="P47" s="775"/>
      <c r="Q47" s="776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600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601" t="s">
        <v>399</v>
      </c>
      <c r="H50" s="465"/>
      <c r="I50" s="465"/>
      <c r="J50" s="602" t="s">
        <v>529</v>
      </c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240" t="s">
        <v>23</v>
      </c>
      <c r="D51" s="241">
        <f>E36/I38+D34</f>
        <v>2.3786100000000001</v>
      </c>
      <c r="E51" s="241">
        <f>D51*D27</f>
        <v>3.0446208000000001</v>
      </c>
      <c r="F51" s="280" t="s">
        <v>88</v>
      </c>
      <c r="G51" s="465">
        <f>E51/0.93</f>
        <v>3.2737858064516128</v>
      </c>
      <c r="H51" s="465"/>
      <c r="I51" s="465"/>
      <c r="J51" s="603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E36/I38+D34+E41</f>
        <v>2.5746100000000003</v>
      </c>
      <c r="E52" s="70">
        <f>D52*D27</f>
        <v>3.2955008000000006</v>
      </c>
      <c r="F52" s="61" t="s">
        <v>89</v>
      </c>
      <c r="G52" s="465"/>
      <c r="H52" s="465"/>
      <c r="I52" s="465"/>
      <c r="J52" s="603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465"/>
      <c r="H53" s="465"/>
      <c r="I53" s="604"/>
      <c r="J53" s="604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/>
      <c r="E54" s="70"/>
      <c r="F54" s="61" t="s">
        <v>89</v>
      </c>
      <c r="G54" s="465"/>
      <c r="H54" s="504" t="s">
        <v>528</v>
      </c>
      <c r="I54" s="604"/>
      <c r="J54" s="604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E36/I38+D34+E44</f>
        <v>2.8086100000000003</v>
      </c>
      <c r="E55" s="70">
        <f>D55*D27</f>
        <v>3.5950208000000003</v>
      </c>
      <c r="F55" s="51" t="s">
        <v>90</v>
      </c>
      <c r="G55" s="465">
        <f>E55/0.88</f>
        <v>4.0852509090909095</v>
      </c>
      <c r="H55" s="605">
        <f>G55</f>
        <v>4.0852509090909095</v>
      </c>
      <c r="I55" s="604"/>
      <c r="J55" s="606">
        <f>E55/0.88+(0.85*D27)</f>
        <v>5.1732509090909096</v>
      </c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E36/I38+D34+E45</f>
        <v>3.4118131250000001</v>
      </c>
      <c r="E56" s="70">
        <f>D56*D27</f>
        <v>4.3671208000000004</v>
      </c>
      <c r="F56" s="61" t="s">
        <v>89</v>
      </c>
      <c r="G56" s="465">
        <f>E56/0.88</f>
        <v>4.9626372727272727</v>
      </c>
      <c r="H56" s="605">
        <f>G56</f>
        <v>4.9626372727272727</v>
      </c>
      <c r="I56" s="604"/>
      <c r="J56" s="606">
        <f>E56/0.88+(0.85*D27)</f>
        <v>6.0506372727272728</v>
      </c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E36/I38+D34+E46</f>
        <v>4.8883756250000001</v>
      </c>
      <c r="E57" s="70">
        <f>D57*D27</f>
        <v>6.2571208</v>
      </c>
      <c r="F57" s="61" t="s">
        <v>89</v>
      </c>
      <c r="G57" s="465"/>
      <c r="H57" s="504"/>
      <c r="I57" s="604"/>
      <c r="J57" s="606">
        <f>E57/0.88+(0.85*D27)</f>
        <v>8.1983645454545453</v>
      </c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465"/>
      <c r="H58" s="504"/>
      <c r="I58" s="504"/>
      <c r="J58" s="604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465"/>
      <c r="H59" s="504"/>
      <c r="I59" s="504"/>
      <c r="J59" s="604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504"/>
      <c r="H60" s="504"/>
      <c r="I60" s="604"/>
      <c r="J60" s="604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B21:D21"/>
    <mergeCell ref="L21:N21"/>
    <mergeCell ref="B22:D22"/>
    <mergeCell ref="L22:N22"/>
    <mergeCell ref="B20:D20"/>
    <mergeCell ref="L20:N20"/>
    <mergeCell ref="A6:E6"/>
    <mergeCell ref="I6:K6"/>
    <mergeCell ref="I7:J7"/>
    <mergeCell ref="I8:J8"/>
    <mergeCell ref="G9:H9"/>
    <mergeCell ref="I9:J9"/>
    <mergeCell ref="I11:J11"/>
    <mergeCell ref="L16:M16"/>
    <mergeCell ref="B17:D17"/>
    <mergeCell ref="N18:O18"/>
    <mergeCell ref="B19:D19"/>
    <mergeCell ref="L19:N19"/>
    <mergeCell ref="B23:D23"/>
    <mergeCell ref="L23:N23"/>
    <mergeCell ref="L37:Q37"/>
    <mergeCell ref="L38:M38"/>
    <mergeCell ref="N38:O38"/>
    <mergeCell ref="P38:Q38"/>
    <mergeCell ref="L39:M39"/>
    <mergeCell ref="N39:O39"/>
    <mergeCell ref="P39:Q39"/>
    <mergeCell ref="L40:M40"/>
    <mergeCell ref="N40:O40"/>
    <mergeCell ref="P40:Q40"/>
    <mergeCell ref="L41:M41"/>
    <mergeCell ref="N41:O41"/>
    <mergeCell ref="P41:Q41"/>
    <mergeCell ref="L42:M42"/>
    <mergeCell ref="N42:O42"/>
    <mergeCell ref="P42:Q42"/>
    <mergeCell ref="L43:M43"/>
    <mergeCell ref="N43:O43"/>
    <mergeCell ref="P43:Q43"/>
    <mergeCell ref="L44:M44"/>
    <mergeCell ref="N44:O44"/>
    <mergeCell ref="P44:Q44"/>
    <mergeCell ref="L45:M45"/>
    <mergeCell ref="N45:O45"/>
    <mergeCell ref="P45:Q45"/>
    <mergeCell ref="L46:M46"/>
    <mergeCell ref="N46:O46"/>
    <mergeCell ref="P46:Q46"/>
    <mergeCell ref="A62:B62"/>
    <mergeCell ref="A63:B63"/>
    <mergeCell ref="L47:M47"/>
    <mergeCell ref="N47:O47"/>
    <mergeCell ref="P47:Q47"/>
    <mergeCell ref="E49:F49"/>
    <mergeCell ref="A60:B60"/>
    <mergeCell ref="A61:B6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21" workbookViewId="0">
      <selection activeCell="C27" sqref="C27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ht="15" customHeight="1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3.5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33" t="s">
        <v>319</v>
      </c>
      <c r="I7" s="722"/>
      <c r="J7" s="781"/>
      <c r="K7" s="103"/>
      <c r="L7" s="103"/>
      <c r="M7" s="103"/>
      <c r="N7" s="103"/>
      <c r="O7" s="103"/>
      <c r="P7" s="103"/>
      <c r="Q7" s="103"/>
      <c r="R7" s="103"/>
    </row>
    <row r="8" spans="1:18" x14ac:dyDescent="0.2">
      <c r="A8" s="1"/>
      <c r="B8" s="1"/>
      <c r="C8" s="1"/>
      <c r="D8" s="1"/>
      <c r="E8" s="1"/>
      <c r="F8" s="1"/>
      <c r="G8" s="24"/>
      <c r="H8" s="435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782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15.75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42521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7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34" t="s">
        <v>67</v>
      </c>
      <c r="M17" s="434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1270</v>
      </c>
      <c r="N18" s="771" t="str">
        <f>'[5]Kicellum 2-0-32'!N18:O18</f>
        <v>Inserir Para Produzir</v>
      </c>
      <c r="O18" s="715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130.19999999999999</v>
      </c>
      <c r="G19" s="24"/>
      <c r="H19" s="387">
        <f>'Base Preços MP'!G10</f>
        <v>0.01</v>
      </c>
      <c r="I19" s="1"/>
      <c r="J19" s="69">
        <f>F19*H19</f>
        <v>1.3019999999999998</v>
      </c>
      <c r="K19" s="1"/>
      <c r="L19" s="778" t="str">
        <f>B19</f>
        <v>Agua</v>
      </c>
      <c r="M19" s="779"/>
      <c r="N19" s="780"/>
      <c r="O19" s="117">
        <f>F19*M18/1000</f>
        <v>165.35400000000001</v>
      </c>
      <c r="P19" s="103"/>
      <c r="Q19" s="103"/>
      <c r="R19" s="103"/>
    </row>
    <row r="20" spans="1:18" x14ac:dyDescent="0.2">
      <c r="A20" s="1"/>
      <c r="B20" s="683" t="s">
        <v>113</v>
      </c>
      <c r="C20" s="726"/>
      <c r="D20" s="727"/>
      <c r="E20" s="1"/>
      <c r="F20" s="83">
        <v>22.3</v>
      </c>
      <c r="G20" s="316">
        <f>F20*87.27/1000</f>
        <v>1.9461209999999998</v>
      </c>
      <c r="H20" s="229">
        <f>'Base Preços MP'!G15</f>
        <v>4.95</v>
      </c>
      <c r="I20" s="1"/>
      <c r="J20" s="234">
        <f>F20*H20</f>
        <v>110.38500000000001</v>
      </c>
      <c r="K20" s="1"/>
      <c r="L20" s="778" t="str">
        <f>B20</f>
        <v>UREIA</v>
      </c>
      <c r="M20" s="779"/>
      <c r="N20" s="780"/>
      <c r="O20" s="117">
        <f>F20*M18/1000</f>
        <v>28.321000000000002</v>
      </c>
      <c r="P20" s="103"/>
      <c r="Q20" s="103"/>
      <c r="R20" s="103"/>
    </row>
    <row r="21" spans="1:18" x14ac:dyDescent="0.2">
      <c r="A21" s="1"/>
      <c r="B21" s="763" t="s">
        <v>385</v>
      </c>
      <c r="C21" s="704"/>
      <c r="D21" s="705"/>
      <c r="E21" s="1"/>
      <c r="F21" s="83">
        <v>646</v>
      </c>
      <c r="G21" s="316"/>
      <c r="H21" s="388">
        <f>'Base Preços MP'!G18</f>
        <v>1.63</v>
      </c>
      <c r="I21" s="1"/>
      <c r="J21" s="234">
        <f>F21*H21</f>
        <v>1052.98</v>
      </c>
      <c r="K21" s="1"/>
      <c r="L21" s="760" t="str">
        <f>B21</f>
        <v>Map granulado 11%N 52% P2O5</v>
      </c>
      <c r="M21" s="761"/>
      <c r="N21" s="762"/>
      <c r="O21" s="117">
        <f>F21*M18/1000</f>
        <v>820.42</v>
      </c>
      <c r="P21" s="103"/>
      <c r="Q21" s="103"/>
      <c r="R21" s="103"/>
    </row>
    <row r="22" spans="1:18" x14ac:dyDescent="0.2">
      <c r="A22" s="1"/>
      <c r="B22" s="763"/>
      <c r="C22" s="704"/>
      <c r="D22" s="705"/>
      <c r="E22" s="1"/>
      <c r="F22" s="83">
        <v>2.5</v>
      </c>
      <c r="G22" s="316">
        <f>F22*66.85/1000</f>
        <v>0.167125</v>
      </c>
      <c r="H22" s="51">
        <f>'Base Preços MP'!G23</f>
        <v>3.2</v>
      </c>
      <c r="I22" s="1"/>
      <c r="J22" s="234">
        <f>F22*H22</f>
        <v>8</v>
      </c>
      <c r="K22" s="1"/>
      <c r="L22" s="764">
        <f>B22</f>
        <v>0</v>
      </c>
      <c r="M22" s="765"/>
      <c r="N22" s="766"/>
      <c r="O22" s="233">
        <f>F22*M18/1000</f>
        <v>3.1749999999999998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v>2.5</v>
      </c>
      <c r="G23" s="111"/>
      <c r="H23" s="113"/>
      <c r="I23" s="103"/>
      <c r="J23" s="112"/>
      <c r="K23" s="1"/>
      <c r="L23" s="703" t="s">
        <v>43</v>
      </c>
      <c r="M23" s="703"/>
      <c r="N23" s="703"/>
      <c r="O23" s="121">
        <f>SUM(O19:O22)</f>
        <v>1017.27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1.27</v>
      </c>
      <c r="E27" s="1"/>
      <c r="F27" s="1"/>
      <c r="G27" s="1"/>
      <c r="H27" s="17" t="s">
        <v>1</v>
      </c>
      <c r="I27" s="1"/>
      <c r="J27" s="25">
        <f>SUM(J20:J26)</f>
        <v>1171.365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1.171365</v>
      </c>
      <c r="F31" s="3"/>
      <c r="G31" s="3" t="s">
        <v>16</v>
      </c>
      <c r="H31" s="1"/>
      <c r="I31" s="39"/>
      <c r="J31" s="68">
        <f>E31*D27</f>
        <v>1.48763355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0.2</v>
      </c>
      <c r="F32" s="19"/>
      <c r="G32" s="19" t="s">
        <v>17</v>
      </c>
      <c r="H32" s="4"/>
      <c r="I32" s="39"/>
      <c r="J32" s="68">
        <f>E32*D27</f>
        <v>0.254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>
        <v>0.3</v>
      </c>
      <c r="F34" s="3"/>
      <c r="G34" s="3" t="s">
        <v>80</v>
      </c>
      <c r="H34" s="1"/>
      <c r="I34" s="39"/>
      <c r="J34" s="320">
        <f>E34*D27</f>
        <v>0.38100000000000001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1.671365</v>
      </c>
      <c r="F36" s="3"/>
      <c r="G36" s="3" t="s">
        <v>19</v>
      </c>
      <c r="H36" s="1"/>
      <c r="I36" s="39"/>
      <c r="J36" s="142">
        <f>J31+J32+J33+J34+J35</f>
        <v>2.1226335499999998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14" t="s">
        <v>220</v>
      </c>
      <c r="M38" s="777"/>
      <c r="N38" s="714" t="s">
        <v>221</v>
      </c>
      <c r="O38" s="777"/>
      <c r="P38" s="714" t="s">
        <v>222</v>
      </c>
      <c r="Q38" s="777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668"/>
      <c r="M39" s="663"/>
      <c r="N39" s="668"/>
      <c r="O39" s="663"/>
      <c r="P39" s="668"/>
      <c r="Q39" s="663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668"/>
      <c r="M40" s="663"/>
      <c r="N40" s="668"/>
      <c r="O40" s="663"/>
      <c r="P40" s="668"/>
      <c r="Q40" s="663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0.19754330708661416</v>
      </c>
      <c r="F41" s="36">
        <f>'Base Preços MP'!C85</f>
        <v>0.25087999999999999</v>
      </c>
      <c r="G41" s="4"/>
      <c r="H41" s="4"/>
      <c r="I41" s="6"/>
      <c r="J41" s="20"/>
      <c r="K41" s="1"/>
      <c r="L41" s="668"/>
      <c r="M41" s="663"/>
      <c r="N41" s="668"/>
      <c r="O41" s="663"/>
      <c r="P41" s="668"/>
      <c r="Q41" s="663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0.16992125984251968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668"/>
      <c r="M42" s="663"/>
      <c r="N42" s="668"/>
      <c r="O42" s="663"/>
      <c r="P42" s="668"/>
      <c r="Q42" s="663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0.43700787401574809</v>
      </c>
      <c r="F43" s="36">
        <f>'Base Preços MP'!C86</f>
        <v>0.55500000000000005</v>
      </c>
      <c r="G43" s="4" t="s">
        <v>388</v>
      </c>
      <c r="H43" s="4"/>
      <c r="I43" s="6"/>
      <c r="J43" s="20"/>
      <c r="K43" s="1"/>
      <c r="L43" s="668"/>
      <c r="M43" s="663"/>
      <c r="N43" s="668"/>
      <c r="O43" s="663"/>
      <c r="P43" s="668"/>
      <c r="Q43" s="663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0.4333858267716536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75"/>
      <c r="M44" s="776"/>
      <c r="N44" s="775"/>
      <c r="O44" s="776"/>
      <c r="P44" s="775"/>
      <c r="Q44" s="776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1.0413385826771653</v>
      </c>
      <c r="F45" s="36">
        <f>'Base Preços MP'!C91</f>
        <v>1.3225</v>
      </c>
      <c r="G45" s="1"/>
      <c r="H45" s="1"/>
      <c r="I45" s="6"/>
      <c r="J45" s="7"/>
      <c r="K45" s="1"/>
      <c r="L45" s="775"/>
      <c r="M45" s="776"/>
      <c r="N45" s="775"/>
      <c r="O45" s="776"/>
      <c r="P45" s="775"/>
      <c r="Q45" s="776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2.5295275590551181</v>
      </c>
      <c r="F46" s="36">
        <f>'Base Preços MP'!C92</f>
        <v>3.2124999999999999</v>
      </c>
      <c r="G46" s="4"/>
      <c r="H46" s="4"/>
      <c r="I46" s="6"/>
      <c r="J46" s="20"/>
      <c r="K46" s="1"/>
      <c r="L46" s="775"/>
      <c r="M46" s="776"/>
      <c r="N46" s="775"/>
      <c r="O46" s="776"/>
      <c r="P46" s="775"/>
      <c r="Q46" s="776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75"/>
      <c r="M47" s="776"/>
      <c r="N47" s="775"/>
      <c r="O47" s="776"/>
      <c r="P47" s="775"/>
      <c r="Q47" s="776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389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 t="s">
        <v>400</v>
      </c>
      <c r="H50" s="56"/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240" t="s">
        <v>23</v>
      </c>
      <c r="D51" s="241">
        <f>E36/I38+D33</f>
        <v>1.671365</v>
      </c>
      <c r="E51" s="241">
        <f>D51*D27</f>
        <v>2.1226335500000002</v>
      </c>
      <c r="F51" s="280" t="s">
        <v>88</v>
      </c>
      <c r="G51" s="33">
        <f>E51/0.93</f>
        <v>2.2824016666666669</v>
      </c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E36/I38+D33+E41</f>
        <v>1.8689083070866142</v>
      </c>
      <c r="E52" s="70">
        <f>(J36+F41)/I38</f>
        <v>2.3735135499999997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/>
      <c r="E54" s="70"/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E36/I38+D33+E44</f>
        <v>2.1047508267716535</v>
      </c>
      <c r="E55" s="70">
        <f>D55*D27</f>
        <v>2.67303355</v>
      </c>
      <c r="F55" s="51" t="s">
        <v>90</v>
      </c>
      <c r="G55" s="33"/>
      <c r="H55" s="4"/>
      <c r="I55" s="1"/>
      <c r="J55" s="1"/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E36/I38+D33+E45</f>
        <v>2.7127035826771655</v>
      </c>
      <c r="E56" s="70">
        <f>D56*D27</f>
        <v>3.4451335500000004</v>
      </c>
      <c r="F56" s="61" t="s">
        <v>89</v>
      </c>
      <c r="G56" s="33"/>
      <c r="H56" s="7"/>
      <c r="I56" s="1"/>
      <c r="J56" s="1"/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E36/I38+D33+E46</f>
        <v>4.2008925590551183</v>
      </c>
      <c r="E57" s="70">
        <f>D57*D27</f>
        <v>5.3351335500000001</v>
      </c>
      <c r="F57" s="61" t="s">
        <v>89</v>
      </c>
      <c r="G57" s="33"/>
      <c r="H57" s="4"/>
      <c r="I57" s="1"/>
      <c r="J57" s="1"/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39"/>
      <c r="H58" s="4"/>
      <c r="I58" s="4"/>
      <c r="J58" s="1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2:B62"/>
    <mergeCell ref="A63:B63"/>
    <mergeCell ref="L47:M47"/>
    <mergeCell ref="N47:O47"/>
    <mergeCell ref="P47:Q47"/>
    <mergeCell ref="E49:F49"/>
    <mergeCell ref="A60:B60"/>
    <mergeCell ref="A61:B61"/>
    <mergeCell ref="L45:M45"/>
    <mergeCell ref="N45:O45"/>
    <mergeCell ref="P45:Q45"/>
    <mergeCell ref="L46:M46"/>
    <mergeCell ref="N46:O46"/>
    <mergeCell ref="P46:Q46"/>
    <mergeCell ref="L43:M43"/>
    <mergeCell ref="N43:O43"/>
    <mergeCell ref="P43:Q43"/>
    <mergeCell ref="L44:M44"/>
    <mergeCell ref="N44:O44"/>
    <mergeCell ref="P44:Q44"/>
    <mergeCell ref="L41:M41"/>
    <mergeCell ref="N41:O41"/>
    <mergeCell ref="P41:Q41"/>
    <mergeCell ref="L42:M42"/>
    <mergeCell ref="N42:O42"/>
    <mergeCell ref="P42:Q42"/>
    <mergeCell ref="L39:M39"/>
    <mergeCell ref="N39:O39"/>
    <mergeCell ref="P39:Q39"/>
    <mergeCell ref="L40:M40"/>
    <mergeCell ref="N40:O40"/>
    <mergeCell ref="P40:Q40"/>
    <mergeCell ref="B23:D23"/>
    <mergeCell ref="L23:N23"/>
    <mergeCell ref="L37:Q37"/>
    <mergeCell ref="L38:M38"/>
    <mergeCell ref="N38:O38"/>
    <mergeCell ref="P38:Q38"/>
    <mergeCell ref="B20:D20"/>
    <mergeCell ref="L20:N20"/>
    <mergeCell ref="B21:D21"/>
    <mergeCell ref="L21:N21"/>
    <mergeCell ref="B22:D22"/>
    <mergeCell ref="L22:N22"/>
    <mergeCell ref="I11:J11"/>
    <mergeCell ref="L16:M16"/>
    <mergeCell ref="B17:D17"/>
    <mergeCell ref="N18:O18"/>
    <mergeCell ref="B19:D19"/>
    <mergeCell ref="L19:N19"/>
    <mergeCell ref="A6:E6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R87"/>
  <sheetViews>
    <sheetView topLeftCell="A29" workbookViewId="0">
      <selection activeCell="H21" sqref="H21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6.25" customHeight="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23.25" customHeight="1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14" t="s">
        <v>319</v>
      </c>
      <c r="I7" s="722"/>
      <c r="J7" s="663"/>
      <c r="K7" s="103"/>
      <c r="L7" s="103"/>
      <c r="M7" s="103"/>
      <c r="N7" s="103"/>
      <c r="O7" s="103"/>
      <c r="P7" s="103"/>
      <c r="Q7" s="103"/>
      <c r="R7" s="103"/>
    </row>
    <row r="8" spans="1:18" ht="16.5" customHeight="1" x14ac:dyDescent="0.2">
      <c r="A8" s="1"/>
      <c r="B8" s="1"/>
      <c r="C8" s="1"/>
      <c r="D8" s="1"/>
      <c r="E8" s="1"/>
      <c r="F8" s="1"/>
      <c r="G8" s="24"/>
      <c r="H8" s="416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9" customHeight="1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9" customHeight="1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42348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ht="6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6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15" t="s">
        <v>67</v>
      </c>
      <c r="M17" s="415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1720</v>
      </c>
      <c r="N18" s="771" t="str">
        <f>'[5]Kicellum 2-0-32'!N18:O18</f>
        <v>Inserir Para Produzir</v>
      </c>
      <c r="O18" s="772"/>
      <c r="P18" s="103"/>
      <c r="Q18" s="103"/>
      <c r="R18" s="103"/>
    </row>
    <row r="19" spans="1:18" x14ac:dyDescent="0.2">
      <c r="A19" s="1"/>
      <c r="B19" s="710"/>
      <c r="C19" s="711"/>
      <c r="D19" s="712"/>
      <c r="E19" s="1"/>
      <c r="F19" s="376"/>
      <c r="G19" s="24"/>
      <c r="H19" s="387">
        <f>'Base Preços MP'!G10</f>
        <v>0.01</v>
      </c>
      <c r="I19" s="1"/>
      <c r="J19" s="69">
        <f>F19*H19</f>
        <v>0</v>
      </c>
      <c r="K19" s="1"/>
      <c r="L19" s="759">
        <f>B19</f>
        <v>0</v>
      </c>
      <c r="M19" s="759"/>
      <c r="N19" s="759"/>
      <c r="O19" s="117">
        <f>F19*M18/1000</f>
        <v>0</v>
      </c>
      <c r="P19" s="103"/>
      <c r="Q19" s="103"/>
      <c r="R19" s="103"/>
    </row>
    <row r="20" spans="1:18" x14ac:dyDescent="0.2">
      <c r="A20" s="1"/>
      <c r="B20" s="683" t="s">
        <v>408</v>
      </c>
      <c r="C20" s="704"/>
      <c r="D20" s="705"/>
      <c r="E20" s="1"/>
      <c r="F20" s="83">
        <v>1000</v>
      </c>
      <c r="G20" s="316">
        <f>F20*87.27/1000</f>
        <v>87.27</v>
      </c>
      <c r="H20" s="229">
        <f>'Base Preços MP'!G15</f>
        <v>4.95</v>
      </c>
      <c r="I20" s="1"/>
      <c r="J20" s="234">
        <f>F20*H20</f>
        <v>4950</v>
      </c>
      <c r="K20" s="1"/>
      <c r="L20" s="759" t="str">
        <f>B20</f>
        <v>ACIDO FOSFORICO</v>
      </c>
      <c r="M20" s="759"/>
      <c r="N20" s="759"/>
      <c r="O20" s="117">
        <f>F20*M18/1000</f>
        <v>1720</v>
      </c>
      <c r="P20" s="103"/>
      <c r="Q20" s="103"/>
      <c r="R20" s="103"/>
    </row>
    <row r="21" spans="1:18" x14ac:dyDescent="0.2">
      <c r="A21" s="1"/>
      <c r="B21" s="763"/>
      <c r="C21" s="704"/>
      <c r="D21" s="705"/>
      <c r="E21" s="1"/>
      <c r="F21" s="83"/>
      <c r="G21" s="316"/>
      <c r="H21" s="388">
        <f>'Base Preços MP'!G72</f>
        <v>58.9</v>
      </c>
      <c r="I21" s="1"/>
      <c r="J21" s="234">
        <f>F21*H21</f>
        <v>0</v>
      </c>
      <c r="K21" s="1"/>
      <c r="L21" s="760">
        <f>B21</f>
        <v>0</v>
      </c>
      <c r="M21" s="761"/>
      <c r="N21" s="762"/>
      <c r="O21" s="117">
        <f>F21*M18/1000</f>
        <v>0</v>
      </c>
      <c r="P21" s="103"/>
      <c r="Q21" s="103"/>
      <c r="R21" s="103"/>
    </row>
    <row r="22" spans="1:18" x14ac:dyDescent="0.2">
      <c r="A22" s="1"/>
      <c r="B22" s="763"/>
      <c r="C22" s="704"/>
      <c r="D22" s="705"/>
      <c r="E22" s="1"/>
      <c r="F22" s="83"/>
      <c r="G22" s="316">
        <f>F22*66.85/1000</f>
        <v>0</v>
      </c>
      <c r="H22" s="51">
        <f>'Base Preços MP'!G23</f>
        <v>3.2</v>
      </c>
      <c r="I22" s="1"/>
      <c r="J22" s="234">
        <f>F22*H22</f>
        <v>0</v>
      </c>
      <c r="K22" s="1"/>
      <c r="L22" s="764">
        <f>B22</f>
        <v>0</v>
      </c>
      <c r="M22" s="765"/>
      <c r="N22" s="766"/>
      <c r="O22" s="233">
        <f>F22*M18/1000</f>
        <v>0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/>
      <c r="G23" s="111"/>
      <c r="H23" s="113"/>
      <c r="I23" s="103"/>
      <c r="J23" s="112"/>
      <c r="K23" s="1"/>
      <c r="L23" s="703" t="s">
        <v>43</v>
      </c>
      <c r="M23" s="692"/>
      <c r="N23" s="692"/>
      <c r="O23" s="121">
        <f>SUM(O19:O22)</f>
        <v>1720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1.72</v>
      </c>
      <c r="E27" s="1"/>
      <c r="F27" s="1"/>
      <c r="G27" s="1"/>
      <c r="H27" s="17" t="s">
        <v>1</v>
      </c>
      <c r="I27" s="1"/>
      <c r="J27" s="25">
        <f>SUM(J20:J26)/0.93</f>
        <v>5322.5806451612898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71"/>
      <c r="E31" s="68">
        <f>J27/J28</f>
        <v>5.32258064516129</v>
      </c>
      <c r="F31" s="3"/>
      <c r="G31" s="3" t="s">
        <v>16</v>
      </c>
      <c r="H31" s="1"/>
      <c r="I31" s="39"/>
      <c r="J31" s="68">
        <f>E31*D27</f>
        <v>9.1548387096774189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71"/>
      <c r="E32" s="68">
        <v>0.25</v>
      </c>
      <c r="F32" s="19"/>
      <c r="G32" s="19" t="s">
        <v>17</v>
      </c>
      <c r="H32" s="4"/>
      <c r="I32" s="39"/>
      <c r="J32" s="68">
        <f>E32*D27</f>
        <v>0.43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7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71"/>
      <c r="E34" s="320">
        <v>0.2</v>
      </c>
      <c r="F34" s="3"/>
      <c r="G34" s="3" t="s">
        <v>80</v>
      </c>
      <c r="H34" s="1"/>
      <c r="I34" s="39"/>
      <c r="J34" s="320">
        <f>E34*D27</f>
        <v>0.34400000000000003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7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71"/>
      <c r="E36" s="142">
        <f>E31+E32+E33+E34+E35</f>
        <v>5.7725806451612902</v>
      </c>
      <c r="F36" s="3"/>
      <c r="G36" s="3" t="s">
        <v>19</v>
      </c>
      <c r="H36" s="1"/>
      <c r="I36" s="39"/>
      <c r="J36" s="142">
        <f>J31+J32+J33+J34+J35</f>
        <v>9.928838709677418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57" t="s">
        <v>220</v>
      </c>
      <c r="M38" s="758"/>
      <c r="N38" s="757" t="s">
        <v>221</v>
      </c>
      <c r="O38" s="758"/>
      <c r="P38" s="757" t="s">
        <v>222</v>
      </c>
      <c r="Q38" s="758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755"/>
      <c r="M39" s="755"/>
      <c r="N39" s="755"/>
      <c r="O39" s="755"/>
      <c r="P39" s="755"/>
      <c r="Q39" s="755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755"/>
      <c r="M40" s="755"/>
      <c r="N40" s="755"/>
      <c r="O40" s="755"/>
      <c r="P40" s="755"/>
      <c r="Q40" s="755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0.14586046511627906</v>
      </c>
      <c r="F41" s="36">
        <f>'Base Preços MP'!C85</f>
        <v>0.25087999999999999</v>
      </c>
      <c r="G41" s="4"/>
      <c r="H41" s="4"/>
      <c r="I41" s="6"/>
      <c r="J41" s="20"/>
      <c r="K41" s="1"/>
      <c r="L41" s="755"/>
      <c r="M41" s="755"/>
      <c r="N41" s="755"/>
      <c r="O41" s="755"/>
      <c r="P41" s="755"/>
      <c r="Q41" s="755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0.12546511627906975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755"/>
      <c r="M42" s="755"/>
      <c r="N42" s="755"/>
      <c r="O42" s="755"/>
      <c r="P42" s="755"/>
      <c r="Q42" s="755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0.32267441860465118</v>
      </c>
      <c r="F43" s="36">
        <f>'Base Preços MP'!C86</f>
        <v>0.55500000000000005</v>
      </c>
      <c r="G43" s="4"/>
      <c r="H43" s="4"/>
      <c r="I43" s="6"/>
      <c r="J43" s="20"/>
      <c r="K43" s="1"/>
      <c r="L43" s="755"/>
      <c r="M43" s="755"/>
      <c r="N43" s="755"/>
      <c r="O43" s="755"/>
      <c r="P43" s="755"/>
      <c r="Q43" s="755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0.32000000000000006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51"/>
      <c r="M44" s="751"/>
      <c r="N44" s="751"/>
      <c r="O44" s="751"/>
      <c r="P44" s="751"/>
      <c r="Q44" s="751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0.76889534883720934</v>
      </c>
      <c r="F45" s="36">
        <f>'Base Preços MP'!C91</f>
        <v>1.3225</v>
      </c>
      <c r="G45" s="1"/>
      <c r="H45" s="1"/>
      <c r="I45" s="6"/>
      <c r="J45" s="7"/>
      <c r="K45" s="1"/>
      <c r="L45" s="751"/>
      <c r="M45" s="751"/>
      <c r="N45" s="751"/>
      <c r="O45" s="751"/>
      <c r="P45" s="751"/>
      <c r="Q45" s="751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1.8677325581395348</v>
      </c>
      <c r="F46" s="36">
        <f>'Base Preços MP'!C92</f>
        <v>3.2124999999999999</v>
      </c>
      <c r="G46" s="4"/>
      <c r="H46" s="4"/>
      <c r="I46" s="6"/>
      <c r="J46" s="20"/>
      <c r="K46" s="1"/>
      <c r="L46" s="751"/>
      <c r="M46" s="751"/>
      <c r="N46" s="751"/>
      <c r="O46" s="751"/>
      <c r="P46" s="751"/>
      <c r="Q46" s="751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51"/>
      <c r="M47" s="751"/>
      <c r="N47" s="751"/>
      <c r="O47" s="751"/>
      <c r="P47" s="751"/>
      <c r="Q47" s="751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403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/>
      <c r="H50" s="56"/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66" t="s">
        <v>23</v>
      </c>
      <c r="D51" s="67">
        <f>E36/I38</f>
        <v>5.7725806451612902</v>
      </c>
      <c r="E51" s="67">
        <f>J36/I38</f>
        <v>9.928838709677418</v>
      </c>
      <c r="F51" s="72" t="s">
        <v>88</v>
      </c>
      <c r="G51" s="33"/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(E36+E41)/I38</f>
        <v>5.9184411102775689</v>
      </c>
      <c r="E52" s="70">
        <f>(J36+F41)/I38</f>
        <v>10.179718709677418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>
        <f>(E36+E42)/I38</f>
        <v>5.8980457614403603</v>
      </c>
      <c r="E53" s="70">
        <f>(J36+F42)/I38</f>
        <v>10.144638709677418</v>
      </c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>
        <f>(E36+E43)/I38</f>
        <v>6.0952550637659417</v>
      </c>
      <c r="E54" s="70">
        <f>(J36+F43)/I38</f>
        <v>10.483838709677418</v>
      </c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(E36+E44)/I38</f>
        <v>6.0925806451612905</v>
      </c>
      <c r="E55" s="70">
        <f>(J36+F44)/I38</f>
        <v>10.479238709677418</v>
      </c>
      <c r="F55" s="51" t="s">
        <v>90</v>
      </c>
      <c r="G55" s="33"/>
      <c r="H55" s="4"/>
      <c r="I55" s="1"/>
      <c r="J55" s="1"/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(E36+E45)/I38</f>
        <v>6.5414759939984997</v>
      </c>
      <c r="E56" s="70">
        <f>(J36+F45)/I38</f>
        <v>11.251338709677418</v>
      </c>
      <c r="F56" s="61" t="s">
        <v>89</v>
      </c>
      <c r="G56" s="33"/>
      <c r="H56" s="7"/>
      <c r="I56" s="1"/>
      <c r="J56" s="1"/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E57/D27</f>
        <v>7.640313203300825</v>
      </c>
      <c r="E57" s="70">
        <f>(J36+F46)/I38</f>
        <v>13.141338709677418</v>
      </c>
      <c r="F57" s="61" t="s">
        <v>89</v>
      </c>
      <c r="G57" s="33"/>
      <c r="H57" s="4"/>
      <c r="I57" s="1"/>
      <c r="J57" s="1"/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39"/>
      <c r="H58" s="4"/>
      <c r="I58" s="4"/>
      <c r="J58" s="1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2:B62"/>
    <mergeCell ref="A63:B63"/>
    <mergeCell ref="L47:M47"/>
    <mergeCell ref="N47:O47"/>
    <mergeCell ref="P47:Q47"/>
    <mergeCell ref="E49:F49"/>
    <mergeCell ref="A60:B60"/>
    <mergeCell ref="A61:B61"/>
    <mergeCell ref="L45:M45"/>
    <mergeCell ref="N45:O45"/>
    <mergeCell ref="P45:Q45"/>
    <mergeCell ref="L46:M46"/>
    <mergeCell ref="N46:O46"/>
    <mergeCell ref="P46:Q46"/>
    <mergeCell ref="L43:M43"/>
    <mergeCell ref="N43:O43"/>
    <mergeCell ref="P43:Q43"/>
    <mergeCell ref="L44:M44"/>
    <mergeCell ref="N44:O44"/>
    <mergeCell ref="P44:Q44"/>
    <mergeCell ref="L41:M41"/>
    <mergeCell ref="N41:O41"/>
    <mergeCell ref="P41:Q41"/>
    <mergeCell ref="L42:M42"/>
    <mergeCell ref="N42:O42"/>
    <mergeCell ref="P42:Q42"/>
    <mergeCell ref="L39:M39"/>
    <mergeCell ref="N39:O39"/>
    <mergeCell ref="P39:Q39"/>
    <mergeCell ref="L40:M40"/>
    <mergeCell ref="N40:O40"/>
    <mergeCell ref="P40:Q40"/>
    <mergeCell ref="B23:D23"/>
    <mergeCell ref="L23:N23"/>
    <mergeCell ref="L37:Q37"/>
    <mergeCell ref="L38:M38"/>
    <mergeCell ref="N38:O38"/>
    <mergeCell ref="P38:Q38"/>
    <mergeCell ref="B20:D20"/>
    <mergeCell ref="L20:N20"/>
    <mergeCell ref="B21:D21"/>
    <mergeCell ref="L21:N21"/>
    <mergeCell ref="B22:D22"/>
    <mergeCell ref="L22:N22"/>
    <mergeCell ref="I11:J11"/>
    <mergeCell ref="L16:M16"/>
    <mergeCell ref="B17:D17"/>
    <mergeCell ref="N18:O18"/>
    <mergeCell ref="B19:D19"/>
    <mergeCell ref="L19:N19"/>
    <mergeCell ref="A6:E6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B18" workbookViewId="0">
      <selection activeCell="C27" sqref="C27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ht="15" customHeight="1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3.5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46" t="s">
        <v>319</v>
      </c>
      <c r="I7" s="722"/>
      <c r="J7" s="781"/>
      <c r="K7" s="103"/>
      <c r="L7" s="103"/>
      <c r="M7" s="103"/>
      <c r="N7" s="103"/>
      <c r="O7" s="103"/>
      <c r="P7" s="103"/>
      <c r="Q7" s="103"/>
      <c r="R7" s="103"/>
    </row>
    <row r="8" spans="1:18" x14ac:dyDescent="0.2">
      <c r="A8" s="1"/>
      <c r="B8" s="1"/>
      <c r="C8" s="1"/>
      <c r="D8" s="1"/>
      <c r="E8" s="1"/>
      <c r="F8" s="1"/>
      <c r="G8" s="24"/>
      <c r="H8" s="449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782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15.75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42521</v>
      </c>
      <c r="D13" s="447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7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48" t="s">
        <v>67</v>
      </c>
      <c r="M17" s="448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1290</v>
      </c>
      <c r="N18" s="771" t="str">
        <f>'[5]Kicellum 2-0-32'!N18:O18</f>
        <v>Inserir Para Produzir</v>
      </c>
      <c r="O18" s="715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130.19999999999999</v>
      </c>
      <c r="G19" s="24"/>
      <c r="H19" s="387">
        <f>'Base Preços MP'!G10</f>
        <v>0.01</v>
      </c>
      <c r="I19" s="1"/>
      <c r="J19" s="69">
        <f>F19*H19</f>
        <v>1.3019999999999998</v>
      </c>
      <c r="K19" s="1"/>
      <c r="L19" s="778" t="str">
        <f>B19</f>
        <v>Agua</v>
      </c>
      <c r="M19" s="779"/>
      <c r="N19" s="780"/>
      <c r="O19" s="117">
        <f>F19*M18/1000</f>
        <v>167.95799999999997</v>
      </c>
      <c r="P19" s="103"/>
      <c r="Q19" s="103"/>
      <c r="R19" s="103"/>
    </row>
    <row r="20" spans="1:18" x14ac:dyDescent="0.2">
      <c r="A20" s="1"/>
      <c r="B20" s="683" t="s">
        <v>113</v>
      </c>
      <c r="C20" s="726"/>
      <c r="D20" s="727"/>
      <c r="E20" s="1"/>
      <c r="F20" s="83">
        <v>22.3</v>
      </c>
      <c r="G20" s="316">
        <f>F20*87.27/1000</f>
        <v>1.9461209999999998</v>
      </c>
      <c r="H20" s="229">
        <f>'Base Preços MP'!G21</f>
        <v>4.34</v>
      </c>
      <c r="I20" s="1"/>
      <c r="J20" s="234">
        <f>F20*H20</f>
        <v>96.781999999999996</v>
      </c>
      <c r="K20" s="1"/>
      <c r="L20" s="778" t="str">
        <f>B20</f>
        <v>UREIA</v>
      </c>
      <c r="M20" s="779"/>
      <c r="N20" s="780"/>
      <c r="O20" s="117">
        <f>F20*M18/1000</f>
        <v>28.766999999999999</v>
      </c>
      <c r="P20" s="103"/>
      <c r="Q20" s="103"/>
      <c r="R20" s="103"/>
    </row>
    <row r="21" spans="1:18" x14ac:dyDescent="0.2">
      <c r="A21" s="1"/>
      <c r="B21" s="763" t="s">
        <v>385</v>
      </c>
      <c r="C21" s="704"/>
      <c r="D21" s="705"/>
      <c r="E21" s="1"/>
      <c r="F21" s="83">
        <v>646</v>
      </c>
      <c r="G21" s="316"/>
      <c r="H21" s="388">
        <f>'Base Preços MP'!G18</f>
        <v>1.63</v>
      </c>
      <c r="I21" s="1"/>
      <c r="J21" s="234">
        <f>F21*H21</f>
        <v>1052.98</v>
      </c>
      <c r="K21" s="1"/>
      <c r="L21" s="760" t="str">
        <f>B21</f>
        <v>Map granulado 11%N 52% P2O5</v>
      </c>
      <c r="M21" s="761"/>
      <c r="N21" s="762"/>
      <c r="O21" s="117">
        <f>F21*M18/1000</f>
        <v>833.34</v>
      </c>
      <c r="P21" s="103"/>
      <c r="Q21" s="103"/>
      <c r="R21" s="103"/>
    </row>
    <row r="22" spans="1:18" x14ac:dyDescent="0.2">
      <c r="A22" s="1"/>
      <c r="B22" s="763" t="s">
        <v>411</v>
      </c>
      <c r="C22" s="704"/>
      <c r="D22" s="705"/>
      <c r="E22" s="1"/>
      <c r="F22" s="83">
        <v>2.5</v>
      </c>
      <c r="G22" s="316">
        <f>F22*66.85/1000</f>
        <v>0.167125</v>
      </c>
      <c r="H22" s="51">
        <f>'Base Preços MP'!G23</f>
        <v>3.2</v>
      </c>
      <c r="I22" s="1"/>
      <c r="J22" s="234">
        <f>F22*H22</f>
        <v>8</v>
      </c>
      <c r="K22" s="1"/>
      <c r="L22" s="764" t="str">
        <f>B22</f>
        <v>SODA</v>
      </c>
      <c r="M22" s="765"/>
      <c r="N22" s="766"/>
      <c r="O22" s="233">
        <f>F22*M18/1000</f>
        <v>3.2250000000000001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v>2.5</v>
      </c>
      <c r="G23" s="111"/>
      <c r="H23" s="113"/>
      <c r="I23" s="103"/>
      <c r="J23" s="112"/>
      <c r="K23" s="1"/>
      <c r="L23" s="703" t="s">
        <v>43</v>
      </c>
      <c r="M23" s="703"/>
      <c r="N23" s="703"/>
      <c r="O23" s="121">
        <f>SUM(O19:O22)</f>
        <v>1033.29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1.29</v>
      </c>
      <c r="E27" s="1"/>
      <c r="F27" s="1"/>
      <c r="G27" s="1"/>
      <c r="H27" s="17" t="s">
        <v>1</v>
      </c>
      <c r="I27" s="1"/>
      <c r="J27" s="25">
        <f>SUM(J20:J26)</f>
        <v>1157.7619999999999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1.157762</v>
      </c>
      <c r="F31" s="3"/>
      <c r="G31" s="3" t="s">
        <v>16</v>
      </c>
      <c r="H31" s="1"/>
      <c r="I31" s="39"/>
      <c r="J31" s="68">
        <f>E31*D27</f>
        <v>1.49351298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0.3</v>
      </c>
      <c r="F32" s="19"/>
      <c r="G32" s="19" t="s">
        <v>17</v>
      </c>
      <c r="H32" s="4"/>
      <c r="I32" s="39"/>
      <c r="J32" s="68">
        <f>E32*D27</f>
        <v>0.38700000000000001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>
        <v>0.3</v>
      </c>
      <c r="F34" s="3"/>
      <c r="G34" s="3" t="s">
        <v>80</v>
      </c>
      <c r="H34" s="1"/>
      <c r="I34" s="39"/>
      <c r="J34" s="320">
        <f>E34*D27</f>
        <v>0.38700000000000001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1.757762</v>
      </c>
      <c r="F36" s="3"/>
      <c r="G36" s="3" t="s">
        <v>19</v>
      </c>
      <c r="H36" s="1"/>
      <c r="I36" s="39"/>
      <c r="J36" s="142">
        <f>J31+J32+J33+J34+J35</f>
        <v>2.2675129800000002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14" t="s">
        <v>220</v>
      </c>
      <c r="M38" s="777"/>
      <c r="N38" s="714" t="s">
        <v>221</v>
      </c>
      <c r="O38" s="777"/>
      <c r="P38" s="714" t="s">
        <v>222</v>
      </c>
      <c r="Q38" s="777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668"/>
      <c r="M39" s="663"/>
      <c r="N39" s="668"/>
      <c r="O39" s="663"/>
      <c r="P39" s="668"/>
      <c r="Q39" s="663"/>
      <c r="R39" s="103"/>
    </row>
    <row r="40" spans="1:18" x14ac:dyDescent="0.2">
      <c r="A40" s="1"/>
      <c r="B40" s="22" t="s">
        <v>22</v>
      </c>
      <c r="C40" s="11"/>
      <c r="D40" s="447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668"/>
      <c r="M40" s="663"/>
      <c r="N40" s="668"/>
      <c r="O40" s="663"/>
      <c r="P40" s="668"/>
      <c r="Q40" s="663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0.19448062015503875</v>
      </c>
      <c r="F41" s="36">
        <f>'Base Preços MP'!C85</f>
        <v>0.25087999999999999</v>
      </c>
      <c r="G41" s="4"/>
      <c r="H41" s="4"/>
      <c r="I41" s="6"/>
      <c r="J41" s="20"/>
      <c r="K41" s="1"/>
      <c r="L41" s="668"/>
      <c r="M41" s="663"/>
      <c r="N41" s="668"/>
      <c r="O41" s="663"/>
      <c r="P41" s="668"/>
      <c r="Q41" s="663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0.16728682170542636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668"/>
      <c r="M42" s="663"/>
      <c r="N42" s="668"/>
      <c r="O42" s="663"/>
      <c r="P42" s="668"/>
      <c r="Q42" s="663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0.43023255813953493</v>
      </c>
      <c r="F43" s="36">
        <f>'Base Preços MP'!C86</f>
        <v>0.55500000000000005</v>
      </c>
      <c r="G43" s="4" t="s">
        <v>388</v>
      </c>
      <c r="H43" s="4"/>
      <c r="I43" s="6"/>
      <c r="J43" s="20"/>
      <c r="K43" s="1"/>
      <c r="L43" s="668"/>
      <c r="M43" s="663"/>
      <c r="N43" s="668"/>
      <c r="O43" s="663"/>
      <c r="P43" s="668"/>
      <c r="Q43" s="663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0.42666666666666675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75"/>
      <c r="M44" s="776"/>
      <c r="N44" s="775"/>
      <c r="O44" s="776"/>
      <c r="P44" s="775"/>
      <c r="Q44" s="776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1.0251937984496124</v>
      </c>
      <c r="F45" s="36">
        <f>'Base Preços MP'!C91</f>
        <v>1.3225</v>
      </c>
      <c r="G45" s="1"/>
      <c r="H45" s="1"/>
      <c r="I45" s="6"/>
      <c r="J45" s="7"/>
      <c r="K45" s="1"/>
      <c r="L45" s="775"/>
      <c r="M45" s="776"/>
      <c r="N45" s="775"/>
      <c r="O45" s="776"/>
      <c r="P45" s="775"/>
      <c r="Q45" s="776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2.4903100775193798</v>
      </c>
      <c r="F46" s="36">
        <f>'Base Preços MP'!C92</f>
        <v>3.2124999999999999</v>
      </c>
      <c r="G46" s="4"/>
      <c r="H46" s="4"/>
      <c r="I46" s="6"/>
      <c r="J46" s="20"/>
      <c r="K46" s="1"/>
      <c r="L46" s="775"/>
      <c r="M46" s="776"/>
      <c r="N46" s="775"/>
      <c r="O46" s="776"/>
      <c r="P46" s="775"/>
      <c r="Q46" s="776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75"/>
      <c r="M47" s="776"/>
      <c r="N47" s="775"/>
      <c r="O47" s="776"/>
      <c r="P47" s="775"/>
      <c r="Q47" s="776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412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 t="s">
        <v>400</v>
      </c>
      <c r="H50" s="56"/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240" t="s">
        <v>23</v>
      </c>
      <c r="D51" s="241">
        <f>E36/I38+D33</f>
        <v>1.757762</v>
      </c>
      <c r="E51" s="241">
        <f>D51*D27</f>
        <v>2.2675129800000002</v>
      </c>
      <c r="F51" s="280" t="s">
        <v>88</v>
      </c>
      <c r="G51" s="33">
        <f>E51/0.93</f>
        <v>2.438186</v>
      </c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E36/I38+D33+E41</f>
        <v>1.9522426201550389</v>
      </c>
      <c r="E52" s="70">
        <f>D52*D27</f>
        <v>2.5183929800000002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/>
      <c r="E54" s="70"/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E36/I38+D33+E44</f>
        <v>2.1844286666666668</v>
      </c>
      <c r="E55" s="70">
        <f>D55*D27</f>
        <v>2.8179129800000005</v>
      </c>
      <c r="F55" s="51" t="s">
        <v>90</v>
      </c>
      <c r="G55" s="33"/>
      <c r="H55" s="4"/>
      <c r="I55" s="1"/>
      <c r="J55" s="1"/>
      <c r="K55" s="1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E36/I38+D33+E45</f>
        <v>2.7829557984496125</v>
      </c>
      <c r="E56" s="70">
        <f>D56*D27</f>
        <v>3.59001298</v>
      </c>
      <c r="F56" s="61" t="s">
        <v>89</v>
      </c>
      <c r="G56" s="33"/>
      <c r="H56" s="7"/>
      <c r="I56" s="1"/>
      <c r="J56" s="1"/>
      <c r="K56" s="1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E36/I38+D33+E46</f>
        <v>4.2480720775193799</v>
      </c>
      <c r="E57" s="70">
        <f>D57*D27</f>
        <v>5.4800129800000006</v>
      </c>
      <c r="F57" s="61" t="s">
        <v>89</v>
      </c>
      <c r="G57" s="33"/>
      <c r="H57" s="4"/>
      <c r="I57" s="1"/>
      <c r="J57" s="1"/>
      <c r="K57" s="1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39"/>
      <c r="H58" s="4"/>
      <c r="I58" s="4"/>
      <c r="J58" s="1"/>
      <c r="K58" s="1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447"/>
      <c r="F62" s="73"/>
      <c r="G62" s="447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447"/>
      <c r="F63" s="73"/>
      <c r="G63" s="447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2:B62"/>
    <mergeCell ref="A63:B63"/>
    <mergeCell ref="L47:M47"/>
    <mergeCell ref="N47:O47"/>
    <mergeCell ref="P47:Q47"/>
    <mergeCell ref="E49:F49"/>
    <mergeCell ref="A60:B60"/>
    <mergeCell ref="A61:B61"/>
    <mergeCell ref="L45:M45"/>
    <mergeCell ref="N45:O45"/>
    <mergeCell ref="P45:Q45"/>
    <mergeCell ref="L46:M46"/>
    <mergeCell ref="N46:O46"/>
    <mergeCell ref="P46:Q46"/>
    <mergeCell ref="L43:M43"/>
    <mergeCell ref="N43:O43"/>
    <mergeCell ref="P43:Q43"/>
    <mergeCell ref="L44:M44"/>
    <mergeCell ref="N44:O44"/>
    <mergeCell ref="P44:Q44"/>
    <mergeCell ref="L41:M41"/>
    <mergeCell ref="N41:O41"/>
    <mergeCell ref="P41:Q41"/>
    <mergeCell ref="L42:M42"/>
    <mergeCell ref="N42:O42"/>
    <mergeCell ref="P42:Q42"/>
    <mergeCell ref="L39:M39"/>
    <mergeCell ref="N39:O39"/>
    <mergeCell ref="P39:Q39"/>
    <mergeCell ref="L40:M40"/>
    <mergeCell ref="N40:O40"/>
    <mergeCell ref="P40:Q40"/>
    <mergeCell ref="B23:D23"/>
    <mergeCell ref="L23:N23"/>
    <mergeCell ref="L37:Q37"/>
    <mergeCell ref="L38:M38"/>
    <mergeCell ref="N38:O38"/>
    <mergeCell ref="P38:Q38"/>
    <mergeCell ref="B20:D20"/>
    <mergeCell ref="L20:N20"/>
    <mergeCell ref="B21:D21"/>
    <mergeCell ref="L21:N21"/>
    <mergeCell ref="B22:D22"/>
    <mergeCell ref="L22:N22"/>
    <mergeCell ref="I11:J11"/>
    <mergeCell ref="L16:M16"/>
    <mergeCell ref="B17:D17"/>
    <mergeCell ref="N18:O18"/>
    <mergeCell ref="B19:D19"/>
    <mergeCell ref="L19:N19"/>
    <mergeCell ref="A6:E6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18" workbookViewId="0">
      <selection activeCell="C27" sqref="C27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6.25" customHeight="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23.25" customHeight="1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57" t="s">
        <v>319</v>
      </c>
      <c r="I7" s="722"/>
      <c r="J7" s="663"/>
      <c r="K7" s="103"/>
      <c r="L7" s="103"/>
      <c r="M7" s="103"/>
      <c r="N7" s="103"/>
      <c r="O7" s="103"/>
      <c r="P7" s="103"/>
      <c r="Q7" s="103"/>
      <c r="R7" s="103"/>
    </row>
    <row r="8" spans="1:18" ht="16.5" customHeight="1" x14ac:dyDescent="0.2">
      <c r="A8" s="1"/>
      <c r="B8" s="1"/>
      <c r="C8" s="1"/>
      <c r="D8" s="1"/>
      <c r="E8" s="1"/>
      <c r="F8" s="1"/>
      <c r="G8" s="24"/>
      <c r="H8" s="460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508</v>
      </c>
      <c r="D9" s="222"/>
      <c r="E9" s="222"/>
      <c r="F9" s="222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9" customHeight="1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>
        <v>43118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9" customHeight="1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42348</v>
      </c>
      <c r="D13" s="458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ht="6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6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59" t="s">
        <v>67</v>
      </c>
      <c r="M17" s="459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1280</v>
      </c>
      <c r="N18" s="771" t="str">
        <f>'[5]Kicellum 2-0-32'!N18:O18</f>
        <v>Inserir Para Produzir</v>
      </c>
      <c r="O18" s="772"/>
      <c r="P18" s="103"/>
      <c r="Q18" s="103"/>
      <c r="R18" s="103"/>
    </row>
    <row r="19" spans="1:18" x14ac:dyDescent="0.2">
      <c r="A19" s="1"/>
      <c r="B19" s="710" t="s">
        <v>49</v>
      </c>
      <c r="C19" s="711"/>
      <c r="D19" s="712"/>
      <c r="E19" s="1"/>
      <c r="F19" s="376">
        <v>130.19999999999999</v>
      </c>
      <c r="G19" s="24"/>
      <c r="H19" s="387">
        <f>'Base Preços MP'!G10</f>
        <v>0.01</v>
      </c>
      <c r="I19" s="1"/>
      <c r="J19" s="69">
        <f>F19*H19</f>
        <v>1.3019999999999998</v>
      </c>
      <c r="K19" s="1"/>
      <c r="L19" s="759" t="str">
        <f>B19</f>
        <v>Agua</v>
      </c>
      <c r="M19" s="759"/>
      <c r="N19" s="759"/>
      <c r="O19" s="117">
        <f>F19*M18/1000</f>
        <v>166.65600000000001</v>
      </c>
      <c r="P19" s="103"/>
      <c r="Q19" s="103"/>
      <c r="R19" s="103"/>
    </row>
    <row r="20" spans="1:18" x14ac:dyDescent="0.2">
      <c r="A20" s="1"/>
      <c r="B20" s="763" t="s">
        <v>113</v>
      </c>
      <c r="C20" s="704"/>
      <c r="D20" s="705"/>
      <c r="E20" s="1"/>
      <c r="F20" s="83">
        <v>22.3</v>
      </c>
      <c r="G20" s="316">
        <f>F20*87.27/1000</f>
        <v>1.9461209999999998</v>
      </c>
      <c r="H20" s="229">
        <f>'Base Preços MP'!G16</f>
        <v>5.77</v>
      </c>
      <c r="I20" s="1"/>
      <c r="J20" s="234">
        <f>F20*H20</f>
        <v>128.67099999999999</v>
      </c>
      <c r="K20" s="1"/>
      <c r="L20" s="759" t="str">
        <f>B20</f>
        <v>UREIA</v>
      </c>
      <c r="M20" s="759"/>
      <c r="N20" s="759"/>
      <c r="O20" s="117">
        <f>F20*M18/1000</f>
        <v>28.544</v>
      </c>
      <c r="P20" s="103"/>
      <c r="Q20" s="103"/>
      <c r="R20" s="103"/>
    </row>
    <row r="21" spans="1:18" x14ac:dyDescent="0.2">
      <c r="A21" s="1"/>
      <c r="B21" s="763" t="s">
        <v>396</v>
      </c>
      <c r="C21" s="704"/>
      <c r="D21" s="705"/>
      <c r="E21" s="1"/>
      <c r="F21" s="83">
        <v>646</v>
      </c>
      <c r="G21" s="316"/>
      <c r="H21" s="388">
        <f>'Base Preços MP'!G74</f>
        <v>1.83</v>
      </c>
      <c r="I21" s="1"/>
      <c r="J21" s="234">
        <f>F21*H21</f>
        <v>1182.18</v>
      </c>
      <c r="K21" s="1"/>
      <c r="L21" s="760" t="str">
        <f>B21</f>
        <v>AQUAMONIA  N 10%</v>
      </c>
      <c r="M21" s="761"/>
      <c r="N21" s="762"/>
      <c r="O21" s="117">
        <f>F21*M18/1000</f>
        <v>826.88</v>
      </c>
      <c r="P21" s="103"/>
      <c r="Q21" s="103"/>
      <c r="R21" s="103"/>
    </row>
    <row r="22" spans="1:18" x14ac:dyDescent="0.2">
      <c r="A22" s="1"/>
      <c r="B22" s="763" t="s">
        <v>334</v>
      </c>
      <c r="C22" s="704"/>
      <c r="D22" s="705"/>
      <c r="E22" s="1"/>
      <c r="F22" s="83">
        <v>2.5</v>
      </c>
      <c r="G22" s="316">
        <f>F22*66.85/1000</f>
        <v>0.167125</v>
      </c>
      <c r="H22" s="51">
        <f>'Base Preços MP'!G23</f>
        <v>3.2</v>
      </c>
      <c r="I22" s="1"/>
      <c r="J22" s="234">
        <f>F22*H22</f>
        <v>8</v>
      </c>
      <c r="K22" s="1"/>
      <c r="L22" s="764" t="str">
        <f>B22</f>
        <v>ACIDO NITRICO</v>
      </c>
      <c r="M22" s="765"/>
      <c r="N22" s="766"/>
      <c r="O22" s="233">
        <f>F22*M18/1000</f>
        <v>3.2</v>
      </c>
      <c r="P22" s="103"/>
      <c r="Q22" s="103"/>
      <c r="R22" s="103"/>
    </row>
    <row r="23" spans="1:18" x14ac:dyDescent="0.2">
      <c r="A23" s="1"/>
      <c r="B23" s="698" t="s">
        <v>346</v>
      </c>
      <c r="C23" s="699"/>
      <c r="D23" s="700"/>
      <c r="E23" s="1"/>
      <c r="F23" s="389">
        <v>2.5</v>
      </c>
      <c r="G23" s="111"/>
      <c r="H23" s="113"/>
      <c r="I23" s="103"/>
      <c r="J23" s="112"/>
      <c r="K23" s="1"/>
      <c r="L23" s="703" t="s">
        <v>43</v>
      </c>
      <c r="M23" s="692"/>
      <c r="N23" s="692"/>
      <c r="O23" s="121">
        <f>SUM(O19:O22)</f>
        <v>1025.28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4"/>
      <c r="G24" s="103"/>
      <c r="H24" s="108"/>
      <c r="I24" s="103"/>
      <c r="J24" s="108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1.28</v>
      </c>
      <c r="E27" s="1"/>
      <c r="F27" s="1"/>
      <c r="G27" s="1"/>
      <c r="H27" s="17" t="s">
        <v>1</v>
      </c>
      <c r="I27" s="1"/>
      <c r="J27" s="25">
        <f>SUM(J20:J26)</f>
        <v>1318.8510000000001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1.3188510000000002</v>
      </c>
      <c r="F31" s="3"/>
      <c r="G31" s="3" t="s">
        <v>16</v>
      </c>
      <c r="H31" s="1"/>
      <c r="I31" s="39"/>
      <c r="J31" s="68">
        <f>E31*D27</f>
        <v>1.6881292800000003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0.3</v>
      </c>
      <c r="F32" s="19"/>
      <c r="G32" s="19" t="s">
        <v>17</v>
      </c>
      <c r="H32" s="4"/>
      <c r="I32" s="39"/>
      <c r="J32" s="68">
        <f>E32*D27</f>
        <v>0.38400000000000001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>
        <v>0.3</v>
      </c>
      <c r="F34" s="3"/>
      <c r="G34" s="3" t="s">
        <v>80</v>
      </c>
      <c r="H34" s="1"/>
      <c r="I34" s="39"/>
      <c r="J34" s="320">
        <f>E34*D27</f>
        <v>0.38400000000000001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1.9188510000000003</v>
      </c>
      <c r="F36" s="3"/>
      <c r="G36" s="3" t="s">
        <v>19</v>
      </c>
      <c r="H36" s="1"/>
      <c r="I36" s="39"/>
      <c r="J36" s="142">
        <f>J31+J32+J33+J34+J35</f>
        <v>2.4561292800000003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57" t="s">
        <v>220</v>
      </c>
      <c r="M38" s="758"/>
      <c r="N38" s="757" t="s">
        <v>221</v>
      </c>
      <c r="O38" s="758"/>
      <c r="P38" s="757" t="s">
        <v>222</v>
      </c>
      <c r="Q38" s="758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755"/>
      <c r="M39" s="755"/>
      <c r="N39" s="755"/>
      <c r="O39" s="755"/>
      <c r="P39" s="755"/>
      <c r="Q39" s="755"/>
      <c r="R39" s="103"/>
    </row>
    <row r="40" spans="1:18" x14ac:dyDescent="0.2">
      <c r="A40" s="1"/>
      <c r="B40" s="22" t="s">
        <v>22</v>
      </c>
      <c r="C40" s="11"/>
      <c r="D40" s="458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755"/>
      <c r="M40" s="755"/>
      <c r="N40" s="755"/>
      <c r="O40" s="755"/>
      <c r="P40" s="755"/>
      <c r="Q40" s="755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0.19599999999999998</v>
      </c>
      <c r="F41" s="36">
        <f>'Base Preços MP'!C85</f>
        <v>0.25087999999999999</v>
      </c>
      <c r="G41" s="4"/>
      <c r="H41" s="4"/>
      <c r="I41" s="6"/>
      <c r="J41" s="20"/>
      <c r="K41" s="1"/>
      <c r="L41" s="755"/>
      <c r="M41" s="755"/>
      <c r="N41" s="755"/>
      <c r="O41" s="755"/>
      <c r="P41" s="755"/>
      <c r="Q41" s="755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0.16859374999999999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755"/>
      <c r="M42" s="755"/>
      <c r="N42" s="755"/>
      <c r="O42" s="755"/>
      <c r="P42" s="755"/>
      <c r="Q42" s="755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0.43359375000000006</v>
      </c>
      <c r="F43" s="36">
        <f>'Base Preços MP'!C86</f>
        <v>0.55500000000000005</v>
      </c>
      <c r="G43" s="4"/>
      <c r="H43" s="4"/>
      <c r="I43" s="6"/>
      <c r="J43" s="20"/>
      <c r="K43" s="1"/>
      <c r="L43" s="755"/>
      <c r="M43" s="755"/>
      <c r="N43" s="755"/>
      <c r="O43" s="755"/>
      <c r="P43" s="755"/>
      <c r="Q43" s="755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0.4300000000000001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51"/>
      <c r="M44" s="751"/>
      <c r="N44" s="751"/>
      <c r="O44" s="751"/>
      <c r="P44" s="751"/>
      <c r="Q44" s="751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1.033203125</v>
      </c>
      <c r="F45" s="36">
        <f>'Base Preços MP'!C91</f>
        <v>1.3225</v>
      </c>
      <c r="G45" s="1"/>
      <c r="H45" s="1"/>
      <c r="I45" s="6"/>
      <c r="J45" s="7"/>
      <c r="K45" s="1"/>
      <c r="L45" s="751"/>
      <c r="M45" s="751"/>
      <c r="N45" s="751"/>
      <c r="O45" s="751"/>
      <c r="P45" s="751"/>
      <c r="Q45" s="751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2.509765625</v>
      </c>
      <c r="F46" s="36">
        <f>'Base Preços MP'!C92</f>
        <v>3.2124999999999999</v>
      </c>
      <c r="G46" s="4"/>
      <c r="H46" s="4"/>
      <c r="I46" s="6"/>
      <c r="J46" s="20"/>
      <c r="K46" s="1"/>
      <c r="L46" s="751"/>
      <c r="M46" s="751"/>
      <c r="N46" s="751"/>
      <c r="O46" s="751"/>
      <c r="P46" s="751"/>
      <c r="Q46" s="751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51"/>
      <c r="M47" s="751"/>
      <c r="N47" s="751"/>
      <c r="O47" s="751"/>
      <c r="P47" s="751"/>
      <c r="Q47" s="751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/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415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 t="s">
        <v>401</v>
      </c>
      <c r="H50" s="56" t="s">
        <v>414</v>
      </c>
      <c r="I50" s="19"/>
      <c r="J50" s="41"/>
      <c r="K50" s="1"/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240" t="s">
        <v>23</v>
      </c>
      <c r="D51" s="241">
        <f>E36/I38+D33</f>
        <v>1.9188510000000003</v>
      </c>
      <c r="E51" s="241">
        <f>D51*D27</f>
        <v>2.4561292800000003</v>
      </c>
      <c r="F51" s="280" t="s">
        <v>88</v>
      </c>
      <c r="G51" s="33"/>
      <c r="H51" s="56"/>
      <c r="I51" s="19"/>
      <c r="J51" s="41"/>
      <c r="K51" s="1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E36/I38+D33+E41</f>
        <v>2.1148510000000003</v>
      </c>
      <c r="E52" s="70">
        <f>D52*D27</f>
        <v>2.7070092800000003</v>
      </c>
      <c r="F52" s="61" t="s">
        <v>89</v>
      </c>
      <c r="G52" s="33"/>
      <c r="H52" s="56"/>
      <c r="I52" s="19"/>
      <c r="J52" s="41"/>
      <c r="K52" s="1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33"/>
      <c r="H53" s="56"/>
      <c r="I53" s="1"/>
      <c r="J53" s="1"/>
      <c r="K53" s="1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/>
      <c r="E54" s="70"/>
      <c r="F54" s="61" t="s">
        <v>89</v>
      </c>
      <c r="G54" s="33"/>
      <c r="H54" s="7"/>
      <c r="I54" s="1"/>
      <c r="J54" s="1"/>
      <c r="K54" s="1"/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E36/I38+D33+E44</f>
        <v>2.3488510000000002</v>
      </c>
      <c r="E55" s="70">
        <f>D55*D27</f>
        <v>3.0065292800000005</v>
      </c>
      <c r="F55" s="51" t="s">
        <v>90</v>
      </c>
      <c r="G55" s="33">
        <f>E55/0.88</f>
        <v>3.4165105454545461</v>
      </c>
      <c r="H55" s="20">
        <f>G55+0.5</f>
        <v>3.9165105454545461</v>
      </c>
      <c r="I55" s="1"/>
      <c r="J55" s="1"/>
      <c r="K55" s="1"/>
      <c r="L55" s="103"/>
      <c r="M55" s="103">
        <v>448</v>
      </c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E36/I38+D33+E45</f>
        <v>2.9520541250000001</v>
      </c>
      <c r="E56" s="70">
        <f>D56*D27</f>
        <v>3.7786292800000001</v>
      </c>
      <c r="F56" s="61" t="s">
        <v>89</v>
      </c>
      <c r="G56" s="39">
        <f>E56/0.88</f>
        <v>4.2938969090909094</v>
      </c>
      <c r="H56" s="7">
        <f>G56+0.5</f>
        <v>4.7938969090909094</v>
      </c>
      <c r="I56" s="1"/>
      <c r="J56" s="1"/>
      <c r="K56" s="1"/>
      <c r="L56" s="103"/>
      <c r="M56" s="103">
        <v>480</v>
      </c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E36/I38+D33+E46</f>
        <v>4.4286166250000001</v>
      </c>
      <c r="E57" s="70">
        <f>D57*D27</f>
        <v>5.6686292800000002</v>
      </c>
      <c r="F57" s="61" t="s">
        <v>89</v>
      </c>
      <c r="G57" s="87">
        <f>E57/0.88</f>
        <v>6.4416241818181819</v>
      </c>
      <c r="H57" s="7">
        <f>G57+0.5</f>
        <v>6.9416241818181819</v>
      </c>
      <c r="I57" s="1"/>
      <c r="J57" s="1"/>
      <c r="K57" s="1"/>
      <c r="L57" s="103"/>
      <c r="M57" s="103">
        <v>160</v>
      </c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86"/>
      <c r="H58" s="7"/>
      <c r="I58" s="4"/>
      <c r="J58" s="1"/>
      <c r="K58" s="1"/>
      <c r="L58" s="103"/>
      <c r="M58" s="103">
        <f>SUM(M55:M57)</f>
        <v>1088</v>
      </c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1"/>
      <c r="K59" s="1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458"/>
      <c r="F62" s="73"/>
      <c r="G62" s="458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458"/>
      <c r="F63" s="73"/>
      <c r="G63" s="458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A6:E6"/>
    <mergeCell ref="I6:K6"/>
    <mergeCell ref="I7:J7"/>
    <mergeCell ref="I8:J8"/>
    <mergeCell ref="G9:H9"/>
    <mergeCell ref="I9:J9"/>
    <mergeCell ref="I11:J11"/>
    <mergeCell ref="L16:M16"/>
    <mergeCell ref="B17:D17"/>
    <mergeCell ref="N18:O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L37:Q37"/>
    <mergeCell ref="L38:M38"/>
    <mergeCell ref="N38:O38"/>
    <mergeCell ref="P38:Q38"/>
    <mergeCell ref="L39:M39"/>
    <mergeCell ref="N39:O39"/>
    <mergeCell ref="P39:Q39"/>
    <mergeCell ref="L40:M40"/>
    <mergeCell ref="N40:O40"/>
    <mergeCell ref="P40:Q40"/>
    <mergeCell ref="L41:M41"/>
    <mergeCell ref="N41:O41"/>
    <mergeCell ref="P41:Q41"/>
    <mergeCell ref="L42:M42"/>
    <mergeCell ref="N42:O42"/>
    <mergeCell ref="P42:Q42"/>
    <mergeCell ref="L43:M43"/>
    <mergeCell ref="N43:O43"/>
    <mergeCell ref="P43:Q43"/>
    <mergeCell ref="L44:M44"/>
    <mergeCell ref="N44:O44"/>
    <mergeCell ref="P44:Q44"/>
    <mergeCell ref="L45:M45"/>
    <mergeCell ref="N45:O45"/>
    <mergeCell ref="P45:Q45"/>
    <mergeCell ref="L46:M46"/>
    <mergeCell ref="N46:O46"/>
    <mergeCell ref="P46:Q46"/>
    <mergeCell ref="A62:B62"/>
    <mergeCell ref="A63:B63"/>
    <mergeCell ref="L47:M47"/>
    <mergeCell ref="N47:O47"/>
    <mergeCell ref="P47:Q47"/>
    <mergeCell ref="E49:F49"/>
    <mergeCell ref="A60:B60"/>
    <mergeCell ref="A61:B6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87"/>
  <sheetViews>
    <sheetView topLeftCell="A16" workbookViewId="0">
      <selection activeCell="F36" sqref="F36"/>
    </sheetView>
  </sheetViews>
  <sheetFormatPr defaultColWidth="11.42578125" defaultRowHeight="12.75" x14ac:dyDescent="0.2"/>
  <cols>
    <col min="1" max="1" width="4.28515625" customWidth="1"/>
    <col min="2" max="2" width="11.42578125" customWidth="1"/>
    <col min="3" max="3" width="13.85546875" customWidth="1"/>
    <col min="4" max="4" width="12.42578125" customWidth="1"/>
    <col min="5" max="5" width="15.140625" customWidth="1"/>
    <col min="6" max="6" width="13.5703125" customWidth="1"/>
    <col min="7" max="7" width="12.85546875" customWidth="1"/>
    <col min="8" max="8" width="16" customWidth="1"/>
    <col min="9" max="9" width="7.42578125" customWidth="1"/>
    <col min="10" max="10" width="12.28515625" customWidth="1"/>
    <col min="11" max="11" width="15" customWidth="1"/>
    <col min="12" max="14" width="9.140625" customWidth="1"/>
    <col min="15" max="15" width="20.7109375" customWidth="1"/>
    <col min="257" max="257" width="4.28515625" customWidth="1"/>
    <col min="258" max="258" width="11.42578125" customWidth="1"/>
    <col min="259" max="259" width="13.85546875" customWidth="1"/>
    <col min="260" max="260" width="12.42578125" customWidth="1"/>
    <col min="261" max="261" width="15.140625" customWidth="1"/>
    <col min="262" max="262" width="13.5703125" customWidth="1"/>
    <col min="263" max="263" width="12.85546875" customWidth="1"/>
    <col min="264" max="264" width="16" customWidth="1"/>
    <col min="265" max="265" width="7.42578125" customWidth="1"/>
    <col min="266" max="266" width="12.28515625" customWidth="1"/>
    <col min="267" max="267" width="15" customWidth="1"/>
    <col min="268" max="270" width="9.140625" customWidth="1"/>
    <col min="271" max="271" width="20.7109375" customWidth="1"/>
    <col min="513" max="513" width="4.28515625" customWidth="1"/>
    <col min="514" max="514" width="11.42578125" customWidth="1"/>
    <col min="515" max="515" width="13.85546875" customWidth="1"/>
    <col min="516" max="516" width="12.42578125" customWidth="1"/>
    <col min="517" max="517" width="15.140625" customWidth="1"/>
    <col min="518" max="518" width="13.5703125" customWidth="1"/>
    <col min="519" max="519" width="12.85546875" customWidth="1"/>
    <col min="520" max="520" width="16" customWidth="1"/>
    <col min="521" max="521" width="7.42578125" customWidth="1"/>
    <col min="522" max="522" width="12.28515625" customWidth="1"/>
    <col min="523" max="523" width="15" customWidth="1"/>
    <col min="524" max="526" width="9.140625" customWidth="1"/>
    <col min="527" max="527" width="20.7109375" customWidth="1"/>
    <col min="769" max="769" width="4.28515625" customWidth="1"/>
    <col min="770" max="770" width="11.42578125" customWidth="1"/>
    <col min="771" max="771" width="13.85546875" customWidth="1"/>
    <col min="772" max="772" width="12.42578125" customWidth="1"/>
    <col min="773" max="773" width="15.140625" customWidth="1"/>
    <col min="774" max="774" width="13.5703125" customWidth="1"/>
    <col min="775" max="775" width="12.85546875" customWidth="1"/>
    <col min="776" max="776" width="16" customWidth="1"/>
    <col min="777" max="777" width="7.42578125" customWidth="1"/>
    <col min="778" max="778" width="12.28515625" customWidth="1"/>
    <col min="779" max="779" width="15" customWidth="1"/>
    <col min="780" max="782" width="9.140625" customWidth="1"/>
    <col min="783" max="783" width="20.7109375" customWidth="1"/>
    <col min="1025" max="1025" width="4.28515625" customWidth="1"/>
    <col min="1026" max="1026" width="11.42578125" customWidth="1"/>
    <col min="1027" max="1027" width="13.85546875" customWidth="1"/>
    <col min="1028" max="1028" width="12.42578125" customWidth="1"/>
    <col min="1029" max="1029" width="15.140625" customWidth="1"/>
    <col min="1030" max="1030" width="13.5703125" customWidth="1"/>
    <col min="1031" max="1031" width="12.85546875" customWidth="1"/>
    <col min="1032" max="1032" width="16" customWidth="1"/>
    <col min="1033" max="1033" width="7.42578125" customWidth="1"/>
    <col min="1034" max="1034" width="12.28515625" customWidth="1"/>
    <col min="1035" max="1035" width="15" customWidth="1"/>
    <col min="1036" max="1038" width="9.140625" customWidth="1"/>
    <col min="1039" max="1039" width="20.7109375" customWidth="1"/>
    <col min="1281" max="1281" width="4.28515625" customWidth="1"/>
    <col min="1282" max="1282" width="11.42578125" customWidth="1"/>
    <col min="1283" max="1283" width="13.85546875" customWidth="1"/>
    <col min="1284" max="1284" width="12.42578125" customWidth="1"/>
    <col min="1285" max="1285" width="15.140625" customWidth="1"/>
    <col min="1286" max="1286" width="13.5703125" customWidth="1"/>
    <col min="1287" max="1287" width="12.85546875" customWidth="1"/>
    <col min="1288" max="1288" width="16" customWidth="1"/>
    <col min="1289" max="1289" width="7.42578125" customWidth="1"/>
    <col min="1290" max="1290" width="12.28515625" customWidth="1"/>
    <col min="1291" max="1291" width="15" customWidth="1"/>
    <col min="1292" max="1294" width="9.140625" customWidth="1"/>
    <col min="1295" max="1295" width="20.7109375" customWidth="1"/>
    <col min="1537" max="1537" width="4.28515625" customWidth="1"/>
    <col min="1538" max="1538" width="11.42578125" customWidth="1"/>
    <col min="1539" max="1539" width="13.85546875" customWidth="1"/>
    <col min="1540" max="1540" width="12.42578125" customWidth="1"/>
    <col min="1541" max="1541" width="15.140625" customWidth="1"/>
    <col min="1542" max="1542" width="13.5703125" customWidth="1"/>
    <col min="1543" max="1543" width="12.85546875" customWidth="1"/>
    <col min="1544" max="1544" width="16" customWidth="1"/>
    <col min="1545" max="1545" width="7.42578125" customWidth="1"/>
    <col min="1546" max="1546" width="12.28515625" customWidth="1"/>
    <col min="1547" max="1547" width="15" customWidth="1"/>
    <col min="1548" max="1550" width="9.140625" customWidth="1"/>
    <col min="1551" max="1551" width="20.7109375" customWidth="1"/>
    <col min="1793" max="1793" width="4.28515625" customWidth="1"/>
    <col min="1794" max="1794" width="11.42578125" customWidth="1"/>
    <col min="1795" max="1795" width="13.85546875" customWidth="1"/>
    <col min="1796" max="1796" width="12.42578125" customWidth="1"/>
    <col min="1797" max="1797" width="15.140625" customWidth="1"/>
    <col min="1798" max="1798" width="13.5703125" customWidth="1"/>
    <col min="1799" max="1799" width="12.85546875" customWidth="1"/>
    <col min="1800" max="1800" width="16" customWidth="1"/>
    <col min="1801" max="1801" width="7.42578125" customWidth="1"/>
    <col min="1802" max="1802" width="12.28515625" customWidth="1"/>
    <col min="1803" max="1803" width="15" customWidth="1"/>
    <col min="1804" max="1806" width="9.140625" customWidth="1"/>
    <col min="1807" max="1807" width="20.7109375" customWidth="1"/>
    <col min="2049" max="2049" width="4.28515625" customWidth="1"/>
    <col min="2050" max="2050" width="11.42578125" customWidth="1"/>
    <col min="2051" max="2051" width="13.85546875" customWidth="1"/>
    <col min="2052" max="2052" width="12.42578125" customWidth="1"/>
    <col min="2053" max="2053" width="15.140625" customWidth="1"/>
    <col min="2054" max="2054" width="13.5703125" customWidth="1"/>
    <col min="2055" max="2055" width="12.85546875" customWidth="1"/>
    <col min="2056" max="2056" width="16" customWidth="1"/>
    <col min="2057" max="2057" width="7.42578125" customWidth="1"/>
    <col min="2058" max="2058" width="12.28515625" customWidth="1"/>
    <col min="2059" max="2059" width="15" customWidth="1"/>
    <col min="2060" max="2062" width="9.140625" customWidth="1"/>
    <col min="2063" max="2063" width="20.7109375" customWidth="1"/>
    <col min="2305" max="2305" width="4.28515625" customWidth="1"/>
    <col min="2306" max="2306" width="11.42578125" customWidth="1"/>
    <col min="2307" max="2307" width="13.85546875" customWidth="1"/>
    <col min="2308" max="2308" width="12.42578125" customWidth="1"/>
    <col min="2309" max="2309" width="15.140625" customWidth="1"/>
    <col min="2310" max="2310" width="13.5703125" customWidth="1"/>
    <col min="2311" max="2311" width="12.85546875" customWidth="1"/>
    <col min="2312" max="2312" width="16" customWidth="1"/>
    <col min="2313" max="2313" width="7.42578125" customWidth="1"/>
    <col min="2314" max="2314" width="12.28515625" customWidth="1"/>
    <col min="2315" max="2315" width="15" customWidth="1"/>
    <col min="2316" max="2318" width="9.140625" customWidth="1"/>
    <col min="2319" max="2319" width="20.7109375" customWidth="1"/>
    <col min="2561" max="2561" width="4.28515625" customWidth="1"/>
    <col min="2562" max="2562" width="11.42578125" customWidth="1"/>
    <col min="2563" max="2563" width="13.85546875" customWidth="1"/>
    <col min="2564" max="2564" width="12.42578125" customWidth="1"/>
    <col min="2565" max="2565" width="15.140625" customWidth="1"/>
    <col min="2566" max="2566" width="13.5703125" customWidth="1"/>
    <col min="2567" max="2567" width="12.85546875" customWidth="1"/>
    <col min="2568" max="2568" width="16" customWidth="1"/>
    <col min="2569" max="2569" width="7.42578125" customWidth="1"/>
    <col min="2570" max="2570" width="12.28515625" customWidth="1"/>
    <col min="2571" max="2571" width="15" customWidth="1"/>
    <col min="2572" max="2574" width="9.140625" customWidth="1"/>
    <col min="2575" max="2575" width="20.7109375" customWidth="1"/>
    <col min="2817" max="2817" width="4.28515625" customWidth="1"/>
    <col min="2818" max="2818" width="11.42578125" customWidth="1"/>
    <col min="2819" max="2819" width="13.85546875" customWidth="1"/>
    <col min="2820" max="2820" width="12.42578125" customWidth="1"/>
    <col min="2821" max="2821" width="15.140625" customWidth="1"/>
    <col min="2822" max="2822" width="13.5703125" customWidth="1"/>
    <col min="2823" max="2823" width="12.85546875" customWidth="1"/>
    <col min="2824" max="2824" width="16" customWidth="1"/>
    <col min="2825" max="2825" width="7.42578125" customWidth="1"/>
    <col min="2826" max="2826" width="12.28515625" customWidth="1"/>
    <col min="2827" max="2827" width="15" customWidth="1"/>
    <col min="2828" max="2830" width="9.140625" customWidth="1"/>
    <col min="2831" max="2831" width="20.7109375" customWidth="1"/>
    <col min="3073" max="3073" width="4.28515625" customWidth="1"/>
    <col min="3074" max="3074" width="11.42578125" customWidth="1"/>
    <col min="3075" max="3075" width="13.85546875" customWidth="1"/>
    <col min="3076" max="3076" width="12.42578125" customWidth="1"/>
    <col min="3077" max="3077" width="15.140625" customWidth="1"/>
    <col min="3078" max="3078" width="13.5703125" customWidth="1"/>
    <col min="3079" max="3079" width="12.85546875" customWidth="1"/>
    <col min="3080" max="3080" width="16" customWidth="1"/>
    <col min="3081" max="3081" width="7.42578125" customWidth="1"/>
    <col min="3082" max="3082" width="12.28515625" customWidth="1"/>
    <col min="3083" max="3083" width="15" customWidth="1"/>
    <col min="3084" max="3086" width="9.140625" customWidth="1"/>
    <col min="3087" max="3087" width="20.7109375" customWidth="1"/>
    <col min="3329" max="3329" width="4.28515625" customWidth="1"/>
    <col min="3330" max="3330" width="11.42578125" customWidth="1"/>
    <col min="3331" max="3331" width="13.85546875" customWidth="1"/>
    <col min="3332" max="3332" width="12.42578125" customWidth="1"/>
    <col min="3333" max="3333" width="15.140625" customWidth="1"/>
    <col min="3334" max="3334" width="13.5703125" customWidth="1"/>
    <col min="3335" max="3335" width="12.85546875" customWidth="1"/>
    <col min="3336" max="3336" width="16" customWidth="1"/>
    <col min="3337" max="3337" width="7.42578125" customWidth="1"/>
    <col min="3338" max="3338" width="12.28515625" customWidth="1"/>
    <col min="3339" max="3339" width="15" customWidth="1"/>
    <col min="3340" max="3342" width="9.140625" customWidth="1"/>
    <col min="3343" max="3343" width="20.7109375" customWidth="1"/>
    <col min="3585" max="3585" width="4.28515625" customWidth="1"/>
    <col min="3586" max="3586" width="11.42578125" customWidth="1"/>
    <col min="3587" max="3587" width="13.85546875" customWidth="1"/>
    <col min="3588" max="3588" width="12.42578125" customWidth="1"/>
    <col min="3589" max="3589" width="15.140625" customWidth="1"/>
    <col min="3590" max="3590" width="13.5703125" customWidth="1"/>
    <col min="3591" max="3591" width="12.85546875" customWidth="1"/>
    <col min="3592" max="3592" width="16" customWidth="1"/>
    <col min="3593" max="3593" width="7.42578125" customWidth="1"/>
    <col min="3594" max="3594" width="12.28515625" customWidth="1"/>
    <col min="3595" max="3595" width="15" customWidth="1"/>
    <col min="3596" max="3598" width="9.140625" customWidth="1"/>
    <col min="3599" max="3599" width="20.7109375" customWidth="1"/>
    <col min="3841" max="3841" width="4.28515625" customWidth="1"/>
    <col min="3842" max="3842" width="11.42578125" customWidth="1"/>
    <col min="3843" max="3843" width="13.85546875" customWidth="1"/>
    <col min="3844" max="3844" width="12.42578125" customWidth="1"/>
    <col min="3845" max="3845" width="15.140625" customWidth="1"/>
    <col min="3846" max="3846" width="13.5703125" customWidth="1"/>
    <col min="3847" max="3847" width="12.85546875" customWidth="1"/>
    <col min="3848" max="3848" width="16" customWidth="1"/>
    <col min="3849" max="3849" width="7.42578125" customWidth="1"/>
    <col min="3850" max="3850" width="12.28515625" customWidth="1"/>
    <col min="3851" max="3851" width="15" customWidth="1"/>
    <col min="3852" max="3854" width="9.140625" customWidth="1"/>
    <col min="3855" max="3855" width="20.7109375" customWidth="1"/>
    <col min="4097" max="4097" width="4.28515625" customWidth="1"/>
    <col min="4098" max="4098" width="11.42578125" customWidth="1"/>
    <col min="4099" max="4099" width="13.85546875" customWidth="1"/>
    <col min="4100" max="4100" width="12.42578125" customWidth="1"/>
    <col min="4101" max="4101" width="15.140625" customWidth="1"/>
    <col min="4102" max="4102" width="13.5703125" customWidth="1"/>
    <col min="4103" max="4103" width="12.85546875" customWidth="1"/>
    <col min="4104" max="4104" width="16" customWidth="1"/>
    <col min="4105" max="4105" width="7.42578125" customWidth="1"/>
    <col min="4106" max="4106" width="12.28515625" customWidth="1"/>
    <col min="4107" max="4107" width="15" customWidth="1"/>
    <col min="4108" max="4110" width="9.140625" customWidth="1"/>
    <col min="4111" max="4111" width="20.7109375" customWidth="1"/>
    <col min="4353" max="4353" width="4.28515625" customWidth="1"/>
    <col min="4354" max="4354" width="11.42578125" customWidth="1"/>
    <col min="4355" max="4355" width="13.85546875" customWidth="1"/>
    <col min="4356" max="4356" width="12.42578125" customWidth="1"/>
    <col min="4357" max="4357" width="15.140625" customWidth="1"/>
    <col min="4358" max="4358" width="13.5703125" customWidth="1"/>
    <col min="4359" max="4359" width="12.85546875" customWidth="1"/>
    <col min="4360" max="4360" width="16" customWidth="1"/>
    <col min="4361" max="4361" width="7.42578125" customWidth="1"/>
    <col min="4362" max="4362" width="12.28515625" customWidth="1"/>
    <col min="4363" max="4363" width="15" customWidth="1"/>
    <col min="4364" max="4366" width="9.140625" customWidth="1"/>
    <col min="4367" max="4367" width="20.7109375" customWidth="1"/>
    <col min="4609" max="4609" width="4.28515625" customWidth="1"/>
    <col min="4610" max="4610" width="11.42578125" customWidth="1"/>
    <col min="4611" max="4611" width="13.85546875" customWidth="1"/>
    <col min="4612" max="4612" width="12.42578125" customWidth="1"/>
    <col min="4613" max="4613" width="15.140625" customWidth="1"/>
    <col min="4614" max="4614" width="13.5703125" customWidth="1"/>
    <col min="4615" max="4615" width="12.85546875" customWidth="1"/>
    <col min="4616" max="4616" width="16" customWidth="1"/>
    <col min="4617" max="4617" width="7.42578125" customWidth="1"/>
    <col min="4618" max="4618" width="12.28515625" customWidth="1"/>
    <col min="4619" max="4619" width="15" customWidth="1"/>
    <col min="4620" max="4622" width="9.140625" customWidth="1"/>
    <col min="4623" max="4623" width="20.7109375" customWidth="1"/>
    <col min="4865" max="4865" width="4.28515625" customWidth="1"/>
    <col min="4866" max="4866" width="11.42578125" customWidth="1"/>
    <col min="4867" max="4867" width="13.85546875" customWidth="1"/>
    <col min="4868" max="4868" width="12.42578125" customWidth="1"/>
    <col min="4869" max="4869" width="15.140625" customWidth="1"/>
    <col min="4870" max="4870" width="13.5703125" customWidth="1"/>
    <col min="4871" max="4871" width="12.85546875" customWidth="1"/>
    <col min="4872" max="4872" width="16" customWidth="1"/>
    <col min="4873" max="4873" width="7.42578125" customWidth="1"/>
    <col min="4874" max="4874" width="12.28515625" customWidth="1"/>
    <col min="4875" max="4875" width="15" customWidth="1"/>
    <col min="4876" max="4878" width="9.140625" customWidth="1"/>
    <col min="4879" max="4879" width="20.7109375" customWidth="1"/>
    <col min="5121" max="5121" width="4.28515625" customWidth="1"/>
    <col min="5122" max="5122" width="11.42578125" customWidth="1"/>
    <col min="5123" max="5123" width="13.85546875" customWidth="1"/>
    <col min="5124" max="5124" width="12.42578125" customWidth="1"/>
    <col min="5125" max="5125" width="15.140625" customWidth="1"/>
    <col min="5126" max="5126" width="13.5703125" customWidth="1"/>
    <col min="5127" max="5127" width="12.85546875" customWidth="1"/>
    <col min="5128" max="5128" width="16" customWidth="1"/>
    <col min="5129" max="5129" width="7.42578125" customWidth="1"/>
    <col min="5130" max="5130" width="12.28515625" customWidth="1"/>
    <col min="5131" max="5131" width="15" customWidth="1"/>
    <col min="5132" max="5134" width="9.140625" customWidth="1"/>
    <col min="5135" max="5135" width="20.7109375" customWidth="1"/>
    <col min="5377" max="5377" width="4.28515625" customWidth="1"/>
    <col min="5378" max="5378" width="11.42578125" customWidth="1"/>
    <col min="5379" max="5379" width="13.85546875" customWidth="1"/>
    <col min="5380" max="5380" width="12.42578125" customWidth="1"/>
    <col min="5381" max="5381" width="15.140625" customWidth="1"/>
    <col min="5382" max="5382" width="13.5703125" customWidth="1"/>
    <col min="5383" max="5383" width="12.85546875" customWidth="1"/>
    <col min="5384" max="5384" width="16" customWidth="1"/>
    <col min="5385" max="5385" width="7.42578125" customWidth="1"/>
    <col min="5386" max="5386" width="12.28515625" customWidth="1"/>
    <col min="5387" max="5387" width="15" customWidth="1"/>
    <col min="5388" max="5390" width="9.140625" customWidth="1"/>
    <col min="5391" max="5391" width="20.7109375" customWidth="1"/>
    <col min="5633" max="5633" width="4.28515625" customWidth="1"/>
    <col min="5634" max="5634" width="11.42578125" customWidth="1"/>
    <col min="5635" max="5635" width="13.85546875" customWidth="1"/>
    <col min="5636" max="5636" width="12.42578125" customWidth="1"/>
    <col min="5637" max="5637" width="15.140625" customWidth="1"/>
    <col min="5638" max="5638" width="13.5703125" customWidth="1"/>
    <col min="5639" max="5639" width="12.85546875" customWidth="1"/>
    <col min="5640" max="5640" width="16" customWidth="1"/>
    <col min="5641" max="5641" width="7.42578125" customWidth="1"/>
    <col min="5642" max="5642" width="12.28515625" customWidth="1"/>
    <col min="5643" max="5643" width="15" customWidth="1"/>
    <col min="5644" max="5646" width="9.140625" customWidth="1"/>
    <col min="5647" max="5647" width="20.7109375" customWidth="1"/>
    <col min="5889" max="5889" width="4.28515625" customWidth="1"/>
    <col min="5890" max="5890" width="11.42578125" customWidth="1"/>
    <col min="5891" max="5891" width="13.85546875" customWidth="1"/>
    <col min="5892" max="5892" width="12.42578125" customWidth="1"/>
    <col min="5893" max="5893" width="15.140625" customWidth="1"/>
    <col min="5894" max="5894" width="13.5703125" customWidth="1"/>
    <col min="5895" max="5895" width="12.85546875" customWidth="1"/>
    <col min="5896" max="5896" width="16" customWidth="1"/>
    <col min="5897" max="5897" width="7.42578125" customWidth="1"/>
    <col min="5898" max="5898" width="12.28515625" customWidth="1"/>
    <col min="5899" max="5899" width="15" customWidth="1"/>
    <col min="5900" max="5902" width="9.140625" customWidth="1"/>
    <col min="5903" max="5903" width="20.7109375" customWidth="1"/>
    <col min="6145" max="6145" width="4.28515625" customWidth="1"/>
    <col min="6146" max="6146" width="11.42578125" customWidth="1"/>
    <col min="6147" max="6147" width="13.85546875" customWidth="1"/>
    <col min="6148" max="6148" width="12.42578125" customWidth="1"/>
    <col min="6149" max="6149" width="15.140625" customWidth="1"/>
    <col min="6150" max="6150" width="13.5703125" customWidth="1"/>
    <col min="6151" max="6151" width="12.85546875" customWidth="1"/>
    <col min="6152" max="6152" width="16" customWidth="1"/>
    <col min="6153" max="6153" width="7.42578125" customWidth="1"/>
    <col min="6154" max="6154" width="12.28515625" customWidth="1"/>
    <col min="6155" max="6155" width="15" customWidth="1"/>
    <col min="6156" max="6158" width="9.140625" customWidth="1"/>
    <col min="6159" max="6159" width="20.7109375" customWidth="1"/>
    <col min="6401" max="6401" width="4.28515625" customWidth="1"/>
    <col min="6402" max="6402" width="11.42578125" customWidth="1"/>
    <col min="6403" max="6403" width="13.85546875" customWidth="1"/>
    <col min="6404" max="6404" width="12.42578125" customWidth="1"/>
    <col min="6405" max="6405" width="15.140625" customWidth="1"/>
    <col min="6406" max="6406" width="13.5703125" customWidth="1"/>
    <col min="6407" max="6407" width="12.85546875" customWidth="1"/>
    <col min="6408" max="6408" width="16" customWidth="1"/>
    <col min="6409" max="6409" width="7.42578125" customWidth="1"/>
    <col min="6410" max="6410" width="12.28515625" customWidth="1"/>
    <col min="6411" max="6411" width="15" customWidth="1"/>
    <col min="6412" max="6414" width="9.140625" customWidth="1"/>
    <col min="6415" max="6415" width="20.7109375" customWidth="1"/>
    <col min="6657" max="6657" width="4.28515625" customWidth="1"/>
    <col min="6658" max="6658" width="11.42578125" customWidth="1"/>
    <col min="6659" max="6659" width="13.85546875" customWidth="1"/>
    <col min="6660" max="6660" width="12.42578125" customWidth="1"/>
    <col min="6661" max="6661" width="15.140625" customWidth="1"/>
    <col min="6662" max="6662" width="13.5703125" customWidth="1"/>
    <col min="6663" max="6663" width="12.85546875" customWidth="1"/>
    <col min="6664" max="6664" width="16" customWidth="1"/>
    <col min="6665" max="6665" width="7.42578125" customWidth="1"/>
    <col min="6666" max="6666" width="12.28515625" customWidth="1"/>
    <col min="6667" max="6667" width="15" customWidth="1"/>
    <col min="6668" max="6670" width="9.140625" customWidth="1"/>
    <col min="6671" max="6671" width="20.7109375" customWidth="1"/>
    <col min="6913" max="6913" width="4.28515625" customWidth="1"/>
    <col min="6914" max="6914" width="11.42578125" customWidth="1"/>
    <col min="6915" max="6915" width="13.85546875" customWidth="1"/>
    <col min="6916" max="6916" width="12.42578125" customWidth="1"/>
    <col min="6917" max="6917" width="15.140625" customWidth="1"/>
    <col min="6918" max="6918" width="13.5703125" customWidth="1"/>
    <col min="6919" max="6919" width="12.85546875" customWidth="1"/>
    <col min="6920" max="6920" width="16" customWidth="1"/>
    <col min="6921" max="6921" width="7.42578125" customWidth="1"/>
    <col min="6922" max="6922" width="12.28515625" customWidth="1"/>
    <col min="6923" max="6923" width="15" customWidth="1"/>
    <col min="6924" max="6926" width="9.140625" customWidth="1"/>
    <col min="6927" max="6927" width="20.7109375" customWidth="1"/>
    <col min="7169" max="7169" width="4.28515625" customWidth="1"/>
    <col min="7170" max="7170" width="11.42578125" customWidth="1"/>
    <col min="7171" max="7171" width="13.85546875" customWidth="1"/>
    <col min="7172" max="7172" width="12.42578125" customWidth="1"/>
    <col min="7173" max="7173" width="15.140625" customWidth="1"/>
    <col min="7174" max="7174" width="13.5703125" customWidth="1"/>
    <col min="7175" max="7175" width="12.85546875" customWidth="1"/>
    <col min="7176" max="7176" width="16" customWidth="1"/>
    <col min="7177" max="7177" width="7.42578125" customWidth="1"/>
    <col min="7178" max="7178" width="12.28515625" customWidth="1"/>
    <col min="7179" max="7179" width="15" customWidth="1"/>
    <col min="7180" max="7182" width="9.140625" customWidth="1"/>
    <col min="7183" max="7183" width="20.7109375" customWidth="1"/>
    <col min="7425" max="7425" width="4.28515625" customWidth="1"/>
    <col min="7426" max="7426" width="11.42578125" customWidth="1"/>
    <col min="7427" max="7427" width="13.85546875" customWidth="1"/>
    <col min="7428" max="7428" width="12.42578125" customWidth="1"/>
    <col min="7429" max="7429" width="15.140625" customWidth="1"/>
    <col min="7430" max="7430" width="13.5703125" customWidth="1"/>
    <col min="7431" max="7431" width="12.85546875" customWidth="1"/>
    <col min="7432" max="7432" width="16" customWidth="1"/>
    <col min="7433" max="7433" width="7.42578125" customWidth="1"/>
    <col min="7434" max="7434" width="12.28515625" customWidth="1"/>
    <col min="7435" max="7435" width="15" customWidth="1"/>
    <col min="7436" max="7438" width="9.140625" customWidth="1"/>
    <col min="7439" max="7439" width="20.7109375" customWidth="1"/>
    <col min="7681" max="7681" width="4.28515625" customWidth="1"/>
    <col min="7682" max="7682" width="11.42578125" customWidth="1"/>
    <col min="7683" max="7683" width="13.85546875" customWidth="1"/>
    <col min="7684" max="7684" width="12.42578125" customWidth="1"/>
    <col min="7685" max="7685" width="15.140625" customWidth="1"/>
    <col min="7686" max="7686" width="13.5703125" customWidth="1"/>
    <col min="7687" max="7687" width="12.85546875" customWidth="1"/>
    <col min="7688" max="7688" width="16" customWidth="1"/>
    <col min="7689" max="7689" width="7.42578125" customWidth="1"/>
    <col min="7690" max="7690" width="12.28515625" customWidth="1"/>
    <col min="7691" max="7691" width="15" customWidth="1"/>
    <col min="7692" max="7694" width="9.140625" customWidth="1"/>
    <col min="7695" max="7695" width="20.7109375" customWidth="1"/>
    <col min="7937" max="7937" width="4.28515625" customWidth="1"/>
    <col min="7938" max="7938" width="11.42578125" customWidth="1"/>
    <col min="7939" max="7939" width="13.85546875" customWidth="1"/>
    <col min="7940" max="7940" width="12.42578125" customWidth="1"/>
    <col min="7941" max="7941" width="15.140625" customWidth="1"/>
    <col min="7942" max="7942" width="13.5703125" customWidth="1"/>
    <col min="7943" max="7943" width="12.85546875" customWidth="1"/>
    <col min="7944" max="7944" width="16" customWidth="1"/>
    <col min="7945" max="7945" width="7.42578125" customWidth="1"/>
    <col min="7946" max="7946" width="12.28515625" customWidth="1"/>
    <col min="7947" max="7947" width="15" customWidth="1"/>
    <col min="7948" max="7950" width="9.140625" customWidth="1"/>
    <col min="7951" max="7951" width="20.7109375" customWidth="1"/>
    <col min="8193" max="8193" width="4.28515625" customWidth="1"/>
    <col min="8194" max="8194" width="11.42578125" customWidth="1"/>
    <col min="8195" max="8195" width="13.85546875" customWidth="1"/>
    <col min="8196" max="8196" width="12.42578125" customWidth="1"/>
    <col min="8197" max="8197" width="15.140625" customWidth="1"/>
    <col min="8198" max="8198" width="13.5703125" customWidth="1"/>
    <col min="8199" max="8199" width="12.85546875" customWidth="1"/>
    <col min="8200" max="8200" width="16" customWidth="1"/>
    <col min="8201" max="8201" width="7.42578125" customWidth="1"/>
    <col min="8202" max="8202" width="12.28515625" customWidth="1"/>
    <col min="8203" max="8203" width="15" customWidth="1"/>
    <col min="8204" max="8206" width="9.140625" customWidth="1"/>
    <col min="8207" max="8207" width="20.7109375" customWidth="1"/>
    <col min="8449" max="8449" width="4.28515625" customWidth="1"/>
    <col min="8450" max="8450" width="11.42578125" customWidth="1"/>
    <col min="8451" max="8451" width="13.85546875" customWidth="1"/>
    <col min="8452" max="8452" width="12.42578125" customWidth="1"/>
    <col min="8453" max="8453" width="15.140625" customWidth="1"/>
    <col min="8454" max="8454" width="13.5703125" customWidth="1"/>
    <col min="8455" max="8455" width="12.85546875" customWidth="1"/>
    <col min="8456" max="8456" width="16" customWidth="1"/>
    <col min="8457" max="8457" width="7.42578125" customWidth="1"/>
    <col min="8458" max="8458" width="12.28515625" customWidth="1"/>
    <col min="8459" max="8459" width="15" customWidth="1"/>
    <col min="8460" max="8462" width="9.140625" customWidth="1"/>
    <col min="8463" max="8463" width="20.7109375" customWidth="1"/>
    <col min="8705" max="8705" width="4.28515625" customWidth="1"/>
    <col min="8706" max="8706" width="11.42578125" customWidth="1"/>
    <col min="8707" max="8707" width="13.85546875" customWidth="1"/>
    <col min="8708" max="8708" width="12.42578125" customWidth="1"/>
    <col min="8709" max="8709" width="15.140625" customWidth="1"/>
    <col min="8710" max="8710" width="13.5703125" customWidth="1"/>
    <col min="8711" max="8711" width="12.85546875" customWidth="1"/>
    <col min="8712" max="8712" width="16" customWidth="1"/>
    <col min="8713" max="8713" width="7.42578125" customWidth="1"/>
    <col min="8714" max="8714" width="12.28515625" customWidth="1"/>
    <col min="8715" max="8715" width="15" customWidth="1"/>
    <col min="8716" max="8718" width="9.140625" customWidth="1"/>
    <col min="8719" max="8719" width="20.7109375" customWidth="1"/>
    <col min="8961" max="8961" width="4.28515625" customWidth="1"/>
    <col min="8962" max="8962" width="11.42578125" customWidth="1"/>
    <col min="8963" max="8963" width="13.85546875" customWidth="1"/>
    <col min="8964" max="8964" width="12.42578125" customWidth="1"/>
    <col min="8965" max="8965" width="15.140625" customWidth="1"/>
    <col min="8966" max="8966" width="13.5703125" customWidth="1"/>
    <col min="8967" max="8967" width="12.85546875" customWidth="1"/>
    <col min="8968" max="8968" width="16" customWidth="1"/>
    <col min="8969" max="8969" width="7.42578125" customWidth="1"/>
    <col min="8970" max="8970" width="12.28515625" customWidth="1"/>
    <col min="8971" max="8971" width="15" customWidth="1"/>
    <col min="8972" max="8974" width="9.140625" customWidth="1"/>
    <col min="8975" max="8975" width="20.7109375" customWidth="1"/>
    <col min="9217" max="9217" width="4.28515625" customWidth="1"/>
    <col min="9218" max="9218" width="11.42578125" customWidth="1"/>
    <col min="9219" max="9219" width="13.85546875" customWidth="1"/>
    <col min="9220" max="9220" width="12.42578125" customWidth="1"/>
    <col min="9221" max="9221" width="15.140625" customWidth="1"/>
    <col min="9222" max="9222" width="13.5703125" customWidth="1"/>
    <col min="9223" max="9223" width="12.85546875" customWidth="1"/>
    <col min="9224" max="9224" width="16" customWidth="1"/>
    <col min="9225" max="9225" width="7.42578125" customWidth="1"/>
    <col min="9226" max="9226" width="12.28515625" customWidth="1"/>
    <col min="9227" max="9227" width="15" customWidth="1"/>
    <col min="9228" max="9230" width="9.140625" customWidth="1"/>
    <col min="9231" max="9231" width="20.7109375" customWidth="1"/>
    <col min="9473" max="9473" width="4.28515625" customWidth="1"/>
    <col min="9474" max="9474" width="11.42578125" customWidth="1"/>
    <col min="9475" max="9475" width="13.85546875" customWidth="1"/>
    <col min="9476" max="9476" width="12.42578125" customWidth="1"/>
    <col min="9477" max="9477" width="15.140625" customWidth="1"/>
    <col min="9478" max="9478" width="13.5703125" customWidth="1"/>
    <col min="9479" max="9479" width="12.85546875" customWidth="1"/>
    <col min="9480" max="9480" width="16" customWidth="1"/>
    <col min="9481" max="9481" width="7.42578125" customWidth="1"/>
    <col min="9482" max="9482" width="12.28515625" customWidth="1"/>
    <col min="9483" max="9483" width="15" customWidth="1"/>
    <col min="9484" max="9486" width="9.140625" customWidth="1"/>
    <col min="9487" max="9487" width="20.7109375" customWidth="1"/>
    <col min="9729" max="9729" width="4.28515625" customWidth="1"/>
    <col min="9730" max="9730" width="11.42578125" customWidth="1"/>
    <col min="9731" max="9731" width="13.85546875" customWidth="1"/>
    <col min="9732" max="9732" width="12.42578125" customWidth="1"/>
    <col min="9733" max="9733" width="15.140625" customWidth="1"/>
    <col min="9734" max="9734" width="13.5703125" customWidth="1"/>
    <col min="9735" max="9735" width="12.85546875" customWidth="1"/>
    <col min="9736" max="9736" width="16" customWidth="1"/>
    <col min="9737" max="9737" width="7.42578125" customWidth="1"/>
    <col min="9738" max="9738" width="12.28515625" customWidth="1"/>
    <col min="9739" max="9739" width="15" customWidth="1"/>
    <col min="9740" max="9742" width="9.140625" customWidth="1"/>
    <col min="9743" max="9743" width="20.7109375" customWidth="1"/>
    <col min="9985" max="9985" width="4.28515625" customWidth="1"/>
    <col min="9986" max="9986" width="11.42578125" customWidth="1"/>
    <col min="9987" max="9987" width="13.85546875" customWidth="1"/>
    <col min="9988" max="9988" width="12.42578125" customWidth="1"/>
    <col min="9989" max="9989" width="15.140625" customWidth="1"/>
    <col min="9990" max="9990" width="13.5703125" customWidth="1"/>
    <col min="9991" max="9991" width="12.85546875" customWidth="1"/>
    <col min="9992" max="9992" width="16" customWidth="1"/>
    <col min="9993" max="9993" width="7.42578125" customWidth="1"/>
    <col min="9994" max="9994" width="12.28515625" customWidth="1"/>
    <col min="9995" max="9995" width="15" customWidth="1"/>
    <col min="9996" max="9998" width="9.140625" customWidth="1"/>
    <col min="9999" max="9999" width="20.7109375" customWidth="1"/>
    <col min="10241" max="10241" width="4.28515625" customWidth="1"/>
    <col min="10242" max="10242" width="11.42578125" customWidth="1"/>
    <col min="10243" max="10243" width="13.85546875" customWidth="1"/>
    <col min="10244" max="10244" width="12.42578125" customWidth="1"/>
    <col min="10245" max="10245" width="15.140625" customWidth="1"/>
    <col min="10246" max="10246" width="13.5703125" customWidth="1"/>
    <col min="10247" max="10247" width="12.85546875" customWidth="1"/>
    <col min="10248" max="10248" width="16" customWidth="1"/>
    <col min="10249" max="10249" width="7.42578125" customWidth="1"/>
    <col min="10250" max="10250" width="12.28515625" customWidth="1"/>
    <col min="10251" max="10251" width="15" customWidth="1"/>
    <col min="10252" max="10254" width="9.140625" customWidth="1"/>
    <col min="10255" max="10255" width="20.7109375" customWidth="1"/>
    <col min="10497" max="10497" width="4.28515625" customWidth="1"/>
    <col min="10498" max="10498" width="11.42578125" customWidth="1"/>
    <col min="10499" max="10499" width="13.85546875" customWidth="1"/>
    <col min="10500" max="10500" width="12.42578125" customWidth="1"/>
    <col min="10501" max="10501" width="15.140625" customWidth="1"/>
    <col min="10502" max="10502" width="13.5703125" customWidth="1"/>
    <col min="10503" max="10503" width="12.85546875" customWidth="1"/>
    <col min="10504" max="10504" width="16" customWidth="1"/>
    <col min="10505" max="10505" width="7.42578125" customWidth="1"/>
    <col min="10506" max="10506" width="12.28515625" customWidth="1"/>
    <col min="10507" max="10507" width="15" customWidth="1"/>
    <col min="10508" max="10510" width="9.140625" customWidth="1"/>
    <col min="10511" max="10511" width="20.7109375" customWidth="1"/>
    <col min="10753" max="10753" width="4.28515625" customWidth="1"/>
    <col min="10754" max="10754" width="11.42578125" customWidth="1"/>
    <col min="10755" max="10755" width="13.85546875" customWidth="1"/>
    <col min="10756" max="10756" width="12.42578125" customWidth="1"/>
    <col min="10757" max="10757" width="15.140625" customWidth="1"/>
    <col min="10758" max="10758" width="13.5703125" customWidth="1"/>
    <col min="10759" max="10759" width="12.85546875" customWidth="1"/>
    <col min="10760" max="10760" width="16" customWidth="1"/>
    <col min="10761" max="10761" width="7.42578125" customWidth="1"/>
    <col min="10762" max="10762" width="12.28515625" customWidth="1"/>
    <col min="10763" max="10763" width="15" customWidth="1"/>
    <col min="10764" max="10766" width="9.140625" customWidth="1"/>
    <col min="10767" max="10767" width="20.7109375" customWidth="1"/>
    <col min="11009" max="11009" width="4.28515625" customWidth="1"/>
    <col min="11010" max="11010" width="11.42578125" customWidth="1"/>
    <col min="11011" max="11011" width="13.85546875" customWidth="1"/>
    <col min="11012" max="11012" width="12.42578125" customWidth="1"/>
    <col min="11013" max="11013" width="15.140625" customWidth="1"/>
    <col min="11014" max="11014" width="13.5703125" customWidth="1"/>
    <col min="11015" max="11015" width="12.85546875" customWidth="1"/>
    <col min="11016" max="11016" width="16" customWidth="1"/>
    <col min="11017" max="11017" width="7.42578125" customWidth="1"/>
    <col min="11018" max="11018" width="12.28515625" customWidth="1"/>
    <col min="11019" max="11019" width="15" customWidth="1"/>
    <col min="11020" max="11022" width="9.140625" customWidth="1"/>
    <col min="11023" max="11023" width="20.7109375" customWidth="1"/>
    <col min="11265" max="11265" width="4.28515625" customWidth="1"/>
    <col min="11266" max="11266" width="11.42578125" customWidth="1"/>
    <col min="11267" max="11267" width="13.85546875" customWidth="1"/>
    <col min="11268" max="11268" width="12.42578125" customWidth="1"/>
    <col min="11269" max="11269" width="15.140625" customWidth="1"/>
    <col min="11270" max="11270" width="13.5703125" customWidth="1"/>
    <col min="11271" max="11271" width="12.85546875" customWidth="1"/>
    <col min="11272" max="11272" width="16" customWidth="1"/>
    <col min="11273" max="11273" width="7.42578125" customWidth="1"/>
    <col min="11274" max="11274" width="12.28515625" customWidth="1"/>
    <col min="11275" max="11275" width="15" customWidth="1"/>
    <col min="11276" max="11278" width="9.140625" customWidth="1"/>
    <col min="11279" max="11279" width="20.7109375" customWidth="1"/>
    <col min="11521" max="11521" width="4.28515625" customWidth="1"/>
    <col min="11522" max="11522" width="11.42578125" customWidth="1"/>
    <col min="11523" max="11523" width="13.85546875" customWidth="1"/>
    <col min="11524" max="11524" width="12.42578125" customWidth="1"/>
    <col min="11525" max="11525" width="15.140625" customWidth="1"/>
    <col min="11526" max="11526" width="13.5703125" customWidth="1"/>
    <col min="11527" max="11527" width="12.85546875" customWidth="1"/>
    <col min="11528" max="11528" width="16" customWidth="1"/>
    <col min="11529" max="11529" width="7.42578125" customWidth="1"/>
    <col min="11530" max="11530" width="12.28515625" customWidth="1"/>
    <col min="11531" max="11531" width="15" customWidth="1"/>
    <col min="11532" max="11534" width="9.140625" customWidth="1"/>
    <col min="11535" max="11535" width="20.7109375" customWidth="1"/>
    <col min="11777" max="11777" width="4.28515625" customWidth="1"/>
    <col min="11778" max="11778" width="11.42578125" customWidth="1"/>
    <col min="11779" max="11779" width="13.85546875" customWidth="1"/>
    <col min="11780" max="11780" width="12.42578125" customWidth="1"/>
    <col min="11781" max="11781" width="15.140625" customWidth="1"/>
    <col min="11782" max="11782" width="13.5703125" customWidth="1"/>
    <col min="11783" max="11783" width="12.85546875" customWidth="1"/>
    <col min="11784" max="11784" width="16" customWidth="1"/>
    <col min="11785" max="11785" width="7.42578125" customWidth="1"/>
    <col min="11786" max="11786" width="12.28515625" customWidth="1"/>
    <col min="11787" max="11787" width="15" customWidth="1"/>
    <col min="11788" max="11790" width="9.140625" customWidth="1"/>
    <col min="11791" max="11791" width="20.7109375" customWidth="1"/>
    <col min="12033" max="12033" width="4.28515625" customWidth="1"/>
    <col min="12034" max="12034" width="11.42578125" customWidth="1"/>
    <col min="12035" max="12035" width="13.85546875" customWidth="1"/>
    <col min="12036" max="12036" width="12.42578125" customWidth="1"/>
    <col min="12037" max="12037" width="15.140625" customWidth="1"/>
    <col min="12038" max="12038" width="13.5703125" customWidth="1"/>
    <col min="12039" max="12039" width="12.85546875" customWidth="1"/>
    <col min="12040" max="12040" width="16" customWidth="1"/>
    <col min="12041" max="12041" width="7.42578125" customWidth="1"/>
    <col min="12042" max="12042" width="12.28515625" customWidth="1"/>
    <col min="12043" max="12043" width="15" customWidth="1"/>
    <col min="12044" max="12046" width="9.140625" customWidth="1"/>
    <col min="12047" max="12047" width="20.7109375" customWidth="1"/>
    <col min="12289" max="12289" width="4.28515625" customWidth="1"/>
    <col min="12290" max="12290" width="11.42578125" customWidth="1"/>
    <col min="12291" max="12291" width="13.85546875" customWidth="1"/>
    <col min="12292" max="12292" width="12.42578125" customWidth="1"/>
    <col min="12293" max="12293" width="15.140625" customWidth="1"/>
    <col min="12294" max="12294" width="13.5703125" customWidth="1"/>
    <col min="12295" max="12295" width="12.85546875" customWidth="1"/>
    <col min="12296" max="12296" width="16" customWidth="1"/>
    <col min="12297" max="12297" width="7.42578125" customWidth="1"/>
    <col min="12298" max="12298" width="12.28515625" customWidth="1"/>
    <col min="12299" max="12299" width="15" customWidth="1"/>
    <col min="12300" max="12302" width="9.140625" customWidth="1"/>
    <col min="12303" max="12303" width="20.7109375" customWidth="1"/>
    <col min="12545" max="12545" width="4.28515625" customWidth="1"/>
    <col min="12546" max="12546" width="11.42578125" customWidth="1"/>
    <col min="12547" max="12547" width="13.85546875" customWidth="1"/>
    <col min="12548" max="12548" width="12.42578125" customWidth="1"/>
    <col min="12549" max="12549" width="15.140625" customWidth="1"/>
    <col min="12550" max="12550" width="13.5703125" customWidth="1"/>
    <col min="12551" max="12551" width="12.85546875" customWidth="1"/>
    <col min="12552" max="12552" width="16" customWidth="1"/>
    <col min="12553" max="12553" width="7.42578125" customWidth="1"/>
    <col min="12554" max="12554" width="12.28515625" customWidth="1"/>
    <col min="12555" max="12555" width="15" customWidth="1"/>
    <col min="12556" max="12558" width="9.140625" customWidth="1"/>
    <col min="12559" max="12559" width="20.7109375" customWidth="1"/>
    <col min="12801" max="12801" width="4.28515625" customWidth="1"/>
    <col min="12802" max="12802" width="11.42578125" customWidth="1"/>
    <col min="12803" max="12803" width="13.85546875" customWidth="1"/>
    <col min="12804" max="12804" width="12.42578125" customWidth="1"/>
    <col min="12805" max="12805" width="15.140625" customWidth="1"/>
    <col min="12806" max="12806" width="13.5703125" customWidth="1"/>
    <col min="12807" max="12807" width="12.85546875" customWidth="1"/>
    <col min="12808" max="12808" width="16" customWidth="1"/>
    <col min="12809" max="12809" width="7.42578125" customWidth="1"/>
    <col min="12810" max="12810" width="12.28515625" customWidth="1"/>
    <col min="12811" max="12811" width="15" customWidth="1"/>
    <col min="12812" max="12814" width="9.140625" customWidth="1"/>
    <col min="12815" max="12815" width="20.7109375" customWidth="1"/>
    <col min="13057" max="13057" width="4.28515625" customWidth="1"/>
    <col min="13058" max="13058" width="11.42578125" customWidth="1"/>
    <col min="13059" max="13059" width="13.85546875" customWidth="1"/>
    <col min="13060" max="13060" width="12.42578125" customWidth="1"/>
    <col min="13061" max="13061" width="15.140625" customWidth="1"/>
    <col min="13062" max="13062" width="13.5703125" customWidth="1"/>
    <col min="13063" max="13063" width="12.85546875" customWidth="1"/>
    <col min="13064" max="13064" width="16" customWidth="1"/>
    <col min="13065" max="13065" width="7.42578125" customWidth="1"/>
    <col min="13066" max="13066" width="12.28515625" customWidth="1"/>
    <col min="13067" max="13067" width="15" customWidth="1"/>
    <col min="13068" max="13070" width="9.140625" customWidth="1"/>
    <col min="13071" max="13071" width="20.7109375" customWidth="1"/>
    <col min="13313" max="13313" width="4.28515625" customWidth="1"/>
    <col min="13314" max="13314" width="11.42578125" customWidth="1"/>
    <col min="13315" max="13315" width="13.85546875" customWidth="1"/>
    <col min="13316" max="13316" width="12.42578125" customWidth="1"/>
    <col min="13317" max="13317" width="15.140625" customWidth="1"/>
    <col min="13318" max="13318" width="13.5703125" customWidth="1"/>
    <col min="13319" max="13319" width="12.85546875" customWidth="1"/>
    <col min="13320" max="13320" width="16" customWidth="1"/>
    <col min="13321" max="13321" width="7.42578125" customWidth="1"/>
    <col min="13322" max="13322" width="12.28515625" customWidth="1"/>
    <col min="13323" max="13323" width="15" customWidth="1"/>
    <col min="13324" max="13326" width="9.140625" customWidth="1"/>
    <col min="13327" max="13327" width="20.7109375" customWidth="1"/>
    <col min="13569" max="13569" width="4.28515625" customWidth="1"/>
    <col min="13570" max="13570" width="11.42578125" customWidth="1"/>
    <col min="13571" max="13571" width="13.85546875" customWidth="1"/>
    <col min="13572" max="13572" width="12.42578125" customWidth="1"/>
    <col min="13573" max="13573" width="15.140625" customWidth="1"/>
    <col min="13574" max="13574" width="13.5703125" customWidth="1"/>
    <col min="13575" max="13575" width="12.85546875" customWidth="1"/>
    <col min="13576" max="13576" width="16" customWidth="1"/>
    <col min="13577" max="13577" width="7.42578125" customWidth="1"/>
    <col min="13578" max="13578" width="12.28515625" customWidth="1"/>
    <col min="13579" max="13579" width="15" customWidth="1"/>
    <col min="13580" max="13582" width="9.140625" customWidth="1"/>
    <col min="13583" max="13583" width="20.7109375" customWidth="1"/>
    <col min="13825" max="13825" width="4.28515625" customWidth="1"/>
    <col min="13826" max="13826" width="11.42578125" customWidth="1"/>
    <col min="13827" max="13827" width="13.85546875" customWidth="1"/>
    <col min="13828" max="13828" width="12.42578125" customWidth="1"/>
    <col min="13829" max="13829" width="15.140625" customWidth="1"/>
    <col min="13830" max="13830" width="13.5703125" customWidth="1"/>
    <col min="13831" max="13831" width="12.85546875" customWidth="1"/>
    <col min="13832" max="13832" width="16" customWidth="1"/>
    <col min="13833" max="13833" width="7.42578125" customWidth="1"/>
    <col min="13834" max="13834" width="12.28515625" customWidth="1"/>
    <col min="13835" max="13835" width="15" customWidth="1"/>
    <col min="13836" max="13838" width="9.140625" customWidth="1"/>
    <col min="13839" max="13839" width="20.7109375" customWidth="1"/>
    <col min="14081" max="14081" width="4.28515625" customWidth="1"/>
    <col min="14082" max="14082" width="11.42578125" customWidth="1"/>
    <col min="14083" max="14083" width="13.85546875" customWidth="1"/>
    <col min="14084" max="14084" width="12.42578125" customWidth="1"/>
    <col min="14085" max="14085" width="15.140625" customWidth="1"/>
    <col min="14086" max="14086" width="13.5703125" customWidth="1"/>
    <col min="14087" max="14087" width="12.85546875" customWidth="1"/>
    <col min="14088" max="14088" width="16" customWidth="1"/>
    <col min="14089" max="14089" width="7.42578125" customWidth="1"/>
    <col min="14090" max="14090" width="12.28515625" customWidth="1"/>
    <col min="14091" max="14091" width="15" customWidth="1"/>
    <col min="14092" max="14094" width="9.140625" customWidth="1"/>
    <col min="14095" max="14095" width="20.7109375" customWidth="1"/>
    <col min="14337" max="14337" width="4.28515625" customWidth="1"/>
    <col min="14338" max="14338" width="11.42578125" customWidth="1"/>
    <col min="14339" max="14339" width="13.85546875" customWidth="1"/>
    <col min="14340" max="14340" width="12.42578125" customWidth="1"/>
    <col min="14341" max="14341" width="15.140625" customWidth="1"/>
    <col min="14342" max="14342" width="13.5703125" customWidth="1"/>
    <col min="14343" max="14343" width="12.85546875" customWidth="1"/>
    <col min="14344" max="14344" width="16" customWidth="1"/>
    <col min="14345" max="14345" width="7.42578125" customWidth="1"/>
    <col min="14346" max="14346" width="12.28515625" customWidth="1"/>
    <col min="14347" max="14347" width="15" customWidth="1"/>
    <col min="14348" max="14350" width="9.140625" customWidth="1"/>
    <col min="14351" max="14351" width="20.7109375" customWidth="1"/>
    <col min="14593" max="14593" width="4.28515625" customWidth="1"/>
    <col min="14594" max="14594" width="11.42578125" customWidth="1"/>
    <col min="14595" max="14595" width="13.85546875" customWidth="1"/>
    <col min="14596" max="14596" width="12.42578125" customWidth="1"/>
    <col min="14597" max="14597" width="15.140625" customWidth="1"/>
    <col min="14598" max="14598" width="13.5703125" customWidth="1"/>
    <col min="14599" max="14599" width="12.85546875" customWidth="1"/>
    <col min="14600" max="14600" width="16" customWidth="1"/>
    <col min="14601" max="14601" width="7.42578125" customWidth="1"/>
    <col min="14602" max="14602" width="12.28515625" customWidth="1"/>
    <col min="14603" max="14603" width="15" customWidth="1"/>
    <col min="14604" max="14606" width="9.140625" customWidth="1"/>
    <col min="14607" max="14607" width="20.7109375" customWidth="1"/>
    <col min="14849" max="14849" width="4.28515625" customWidth="1"/>
    <col min="14850" max="14850" width="11.42578125" customWidth="1"/>
    <col min="14851" max="14851" width="13.85546875" customWidth="1"/>
    <col min="14852" max="14852" width="12.42578125" customWidth="1"/>
    <col min="14853" max="14853" width="15.140625" customWidth="1"/>
    <col min="14854" max="14854" width="13.5703125" customWidth="1"/>
    <col min="14855" max="14855" width="12.85546875" customWidth="1"/>
    <col min="14856" max="14856" width="16" customWidth="1"/>
    <col min="14857" max="14857" width="7.42578125" customWidth="1"/>
    <col min="14858" max="14858" width="12.28515625" customWidth="1"/>
    <col min="14859" max="14859" width="15" customWidth="1"/>
    <col min="14860" max="14862" width="9.140625" customWidth="1"/>
    <col min="14863" max="14863" width="20.7109375" customWidth="1"/>
    <col min="15105" max="15105" width="4.28515625" customWidth="1"/>
    <col min="15106" max="15106" width="11.42578125" customWidth="1"/>
    <col min="15107" max="15107" width="13.85546875" customWidth="1"/>
    <col min="15108" max="15108" width="12.42578125" customWidth="1"/>
    <col min="15109" max="15109" width="15.140625" customWidth="1"/>
    <col min="15110" max="15110" width="13.5703125" customWidth="1"/>
    <col min="15111" max="15111" width="12.85546875" customWidth="1"/>
    <col min="15112" max="15112" width="16" customWidth="1"/>
    <col min="15113" max="15113" width="7.42578125" customWidth="1"/>
    <col min="15114" max="15114" width="12.28515625" customWidth="1"/>
    <col min="15115" max="15115" width="15" customWidth="1"/>
    <col min="15116" max="15118" width="9.140625" customWidth="1"/>
    <col min="15119" max="15119" width="20.7109375" customWidth="1"/>
    <col min="15361" max="15361" width="4.28515625" customWidth="1"/>
    <col min="15362" max="15362" width="11.42578125" customWidth="1"/>
    <col min="15363" max="15363" width="13.85546875" customWidth="1"/>
    <col min="15364" max="15364" width="12.42578125" customWidth="1"/>
    <col min="15365" max="15365" width="15.140625" customWidth="1"/>
    <col min="15366" max="15366" width="13.5703125" customWidth="1"/>
    <col min="15367" max="15367" width="12.85546875" customWidth="1"/>
    <col min="15368" max="15368" width="16" customWidth="1"/>
    <col min="15369" max="15369" width="7.42578125" customWidth="1"/>
    <col min="15370" max="15370" width="12.28515625" customWidth="1"/>
    <col min="15371" max="15371" width="15" customWidth="1"/>
    <col min="15372" max="15374" width="9.140625" customWidth="1"/>
    <col min="15375" max="15375" width="20.7109375" customWidth="1"/>
    <col min="15617" max="15617" width="4.28515625" customWidth="1"/>
    <col min="15618" max="15618" width="11.42578125" customWidth="1"/>
    <col min="15619" max="15619" width="13.85546875" customWidth="1"/>
    <col min="15620" max="15620" width="12.42578125" customWidth="1"/>
    <col min="15621" max="15621" width="15.140625" customWidth="1"/>
    <col min="15622" max="15622" width="13.5703125" customWidth="1"/>
    <col min="15623" max="15623" width="12.85546875" customWidth="1"/>
    <col min="15624" max="15624" width="16" customWidth="1"/>
    <col min="15625" max="15625" width="7.42578125" customWidth="1"/>
    <col min="15626" max="15626" width="12.28515625" customWidth="1"/>
    <col min="15627" max="15627" width="15" customWidth="1"/>
    <col min="15628" max="15630" width="9.140625" customWidth="1"/>
    <col min="15631" max="15631" width="20.7109375" customWidth="1"/>
    <col min="15873" max="15873" width="4.28515625" customWidth="1"/>
    <col min="15874" max="15874" width="11.42578125" customWidth="1"/>
    <col min="15875" max="15875" width="13.85546875" customWidth="1"/>
    <col min="15876" max="15876" width="12.42578125" customWidth="1"/>
    <col min="15877" max="15877" width="15.140625" customWidth="1"/>
    <col min="15878" max="15878" width="13.5703125" customWidth="1"/>
    <col min="15879" max="15879" width="12.85546875" customWidth="1"/>
    <col min="15880" max="15880" width="16" customWidth="1"/>
    <col min="15881" max="15881" width="7.42578125" customWidth="1"/>
    <col min="15882" max="15882" width="12.28515625" customWidth="1"/>
    <col min="15883" max="15883" width="15" customWidth="1"/>
    <col min="15884" max="15886" width="9.140625" customWidth="1"/>
    <col min="15887" max="15887" width="20.7109375" customWidth="1"/>
    <col min="16129" max="16129" width="4.28515625" customWidth="1"/>
    <col min="16130" max="16130" width="11.42578125" customWidth="1"/>
    <col min="16131" max="16131" width="13.85546875" customWidth="1"/>
    <col min="16132" max="16132" width="12.42578125" customWidth="1"/>
    <col min="16133" max="16133" width="15.140625" customWidth="1"/>
    <col min="16134" max="16134" width="13.5703125" customWidth="1"/>
    <col min="16135" max="16135" width="12.85546875" customWidth="1"/>
    <col min="16136" max="16136" width="16" customWidth="1"/>
    <col min="16137" max="16137" width="7.42578125" customWidth="1"/>
    <col min="16138" max="16138" width="12.28515625" customWidth="1"/>
    <col min="16139" max="16139" width="15" customWidth="1"/>
    <col min="16140" max="16142" width="9.140625" customWidth="1"/>
    <col min="16143" max="16143" width="2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26.25" customHeight="1" thickBot="1" x14ac:dyDescent="0.35">
      <c r="A6" s="773" t="str">
        <f>'[5]Kicellum 2-0-32'!A6:E6</f>
        <v>Costeio de Formulações Nutriflora</v>
      </c>
      <c r="B6" s="773"/>
      <c r="C6" s="773"/>
      <c r="D6" s="773"/>
      <c r="E6" s="773"/>
      <c r="F6" s="220"/>
      <c r="G6" s="1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23.25" customHeight="1" thickBot="1" x14ac:dyDescent="0.25">
      <c r="A7" s="1"/>
      <c r="B7" s="3" t="s">
        <v>215</v>
      </c>
      <c r="C7" s="3" t="s">
        <v>202</v>
      </c>
      <c r="D7" s="3"/>
      <c r="E7" s="4"/>
      <c r="F7" s="221"/>
      <c r="G7" s="24"/>
      <c r="H7" s="414" t="s">
        <v>319</v>
      </c>
      <c r="I7" s="722"/>
      <c r="J7" s="663"/>
      <c r="K7" s="103"/>
      <c r="L7" s="103"/>
      <c r="M7" s="103"/>
      <c r="N7" s="103"/>
      <c r="O7" s="103"/>
      <c r="P7" s="103"/>
      <c r="Q7" s="103"/>
      <c r="R7" s="103"/>
    </row>
    <row r="8" spans="1:18" ht="16.5" customHeight="1" x14ac:dyDescent="0.2">
      <c r="A8" s="1"/>
      <c r="B8" s="1"/>
      <c r="C8" s="1"/>
      <c r="D8" s="1"/>
      <c r="E8" s="1"/>
      <c r="F8" s="1"/>
      <c r="G8" s="24"/>
      <c r="H8" s="416" t="s">
        <v>216</v>
      </c>
      <c r="I8" s="77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0</v>
      </c>
      <c r="C9" s="222" t="s">
        <v>202</v>
      </c>
      <c r="D9" s="222"/>
      <c r="E9" s="222"/>
      <c r="F9" s="222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9" customHeight="1" x14ac:dyDescent="0.25">
      <c r="A10" s="1"/>
      <c r="B10" s="3"/>
      <c r="C10" s="10"/>
      <c r="D10" s="10"/>
      <c r="E10" s="4"/>
      <c r="F10" s="4"/>
      <c r="G10" s="1"/>
      <c r="H10" s="3"/>
      <c r="I10" s="4"/>
      <c r="J10" s="4"/>
      <c r="K10" s="1"/>
      <c r="L10" s="103"/>
      <c r="M10" s="103"/>
      <c r="N10" s="103"/>
      <c r="O10" s="103"/>
      <c r="P10" s="103"/>
      <c r="Q10" s="103"/>
      <c r="R10" s="103"/>
    </row>
    <row r="11" spans="1:18" ht="15.75" x14ac:dyDescent="0.25">
      <c r="A11" s="1"/>
      <c r="B11" s="3" t="s">
        <v>3</v>
      </c>
      <c r="C11" s="576" t="s">
        <v>512</v>
      </c>
      <c r="D11" s="223"/>
      <c r="E11" s="223"/>
      <c r="F11" s="223"/>
      <c r="G11" s="1"/>
      <c r="H11" s="3" t="s">
        <v>119</v>
      </c>
      <c r="I11" s="670" t="s">
        <v>344</v>
      </c>
      <c r="J11" s="670"/>
      <c r="K11" s="1"/>
      <c r="L11" s="103"/>
      <c r="M11" s="103"/>
      <c r="N11" s="103"/>
      <c r="O11" s="103"/>
      <c r="P11" s="103"/>
      <c r="Q11" s="103"/>
      <c r="R11" s="103"/>
    </row>
    <row r="12" spans="1:18" ht="9" customHeight="1" x14ac:dyDescent="0.25">
      <c r="A12" s="1"/>
      <c r="B12" s="3"/>
      <c r="C12" s="10"/>
      <c r="D12" s="4"/>
      <c r="E12" s="4"/>
      <c r="F12" s="4"/>
      <c r="G12" s="1"/>
      <c r="H12" s="1"/>
      <c r="I12" s="1"/>
      <c r="J12" s="1"/>
      <c r="K12" s="1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3" t="s">
        <v>46</v>
      </c>
      <c r="C13" s="385">
        <v>43122</v>
      </c>
      <c r="D13" s="31"/>
      <c r="E13" s="4"/>
      <c r="F13" s="4"/>
      <c r="G13" s="1"/>
      <c r="H13" s="3" t="s">
        <v>47</v>
      </c>
      <c r="I13" s="386" t="s">
        <v>345</v>
      </c>
      <c r="J13" s="386"/>
      <c r="K13" s="1"/>
      <c r="L13" s="103"/>
      <c r="M13" s="103"/>
      <c r="N13" s="103"/>
      <c r="O13" s="103"/>
      <c r="P13" s="103"/>
      <c r="Q13" s="103"/>
      <c r="R13" s="103"/>
    </row>
    <row r="14" spans="1:18" x14ac:dyDescent="0.2">
      <c r="A14" s="1"/>
      <c r="B14" s="19"/>
      <c r="C14" s="19"/>
      <c r="D14" s="19"/>
      <c r="E14" s="4"/>
      <c r="F14" s="224"/>
      <c r="G14" s="1"/>
      <c r="H14" s="1"/>
      <c r="I14" s="1"/>
      <c r="J14" s="1"/>
      <c r="K14" s="1"/>
      <c r="L14" s="103"/>
      <c r="M14" s="103"/>
      <c r="N14" s="103"/>
      <c r="O14" s="103"/>
      <c r="P14" s="103"/>
      <c r="Q14" s="103"/>
      <c r="R14" s="103"/>
    </row>
    <row r="15" spans="1:18" ht="6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03"/>
      <c r="M15" s="103"/>
      <c r="N15" s="103"/>
      <c r="O15" s="103"/>
      <c r="P15" s="103"/>
      <c r="Q15" s="103"/>
      <c r="R15" s="103"/>
    </row>
    <row r="16" spans="1:18" ht="13.5" thickBot="1" x14ac:dyDescent="0.25">
      <c r="A16" s="1"/>
      <c r="B16" s="1"/>
      <c r="C16" s="1"/>
      <c r="D16" s="1"/>
      <c r="E16" s="1"/>
      <c r="F16" s="315" t="s">
        <v>320</v>
      </c>
      <c r="G16" s="1"/>
      <c r="H16" s="29" t="s">
        <v>72</v>
      </c>
      <c r="I16" s="1"/>
      <c r="J16" s="1"/>
      <c r="K16" s="1"/>
      <c r="L16" s="714" t="s">
        <v>116</v>
      </c>
      <c r="M16" s="767"/>
      <c r="N16" s="103"/>
      <c r="O16" s="103"/>
      <c r="P16" s="103"/>
      <c r="Q16" s="103"/>
      <c r="R16" s="103"/>
    </row>
    <row r="17" spans="1:18" ht="13.5" thickBot="1" x14ac:dyDescent="0.25">
      <c r="A17" s="1"/>
      <c r="B17" s="768" t="s">
        <v>4</v>
      </c>
      <c r="C17" s="769"/>
      <c r="D17" s="770"/>
      <c r="E17" s="4"/>
      <c r="F17" s="15">
        <v>196.5</v>
      </c>
      <c r="G17" s="315" t="s">
        <v>21</v>
      </c>
      <c r="H17" s="15" t="s">
        <v>6</v>
      </c>
      <c r="I17" s="1"/>
      <c r="J17" s="15" t="s">
        <v>1</v>
      </c>
      <c r="K17" s="1"/>
      <c r="L17" s="415" t="s">
        <v>67</v>
      </c>
      <c r="M17" s="415" t="s">
        <v>117</v>
      </c>
      <c r="N17" s="103"/>
      <c r="O17" s="103"/>
      <c r="P17" s="103"/>
      <c r="Q17" s="103"/>
      <c r="R17" s="103"/>
    </row>
    <row r="18" spans="1:18" x14ac:dyDescent="0.2">
      <c r="A18" s="1"/>
      <c r="B18" s="3" t="s">
        <v>7</v>
      </c>
      <c r="C18" s="3"/>
      <c r="D18" s="1"/>
      <c r="E18" s="1"/>
      <c r="F18" s="3"/>
      <c r="G18" s="24"/>
      <c r="H18" s="16" t="s">
        <v>217</v>
      </c>
      <c r="I18" s="1"/>
      <c r="J18" s="16"/>
      <c r="K18" s="1"/>
      <c r="L18" s="118">
        <v>1000</v>
      </c>
      <c r="M18" s="116">
        <f>L18*D27</f>
        <v>1240</v>
      </c>
      <c r="N18" s="771" t="str">
        <f>'[5]Kicellum 2-0-32'!N18:O18</f>
        <v>Inserir Para Produzir</v>
      </c>
      <c r="O18" s="772"/>
      <c r="P18" s="103"/>
      <c r="Q18" s="103"/>
      <c r="R18" s="103"/>
    </row>
    <row r="19" spans="1:18" x14ac:dyDescent="0.2">
      <c r="A19" s="1"/>
      <c r="B19" s="710" t="s">
        <v>478</v>
      </c>
      <c r="C19" s="711"/>
      <c r="D19" s="712"/>
      <c r="E19" s="1"/>
      <c r="F19" s="376">
        <v>23.1</v>
      </c>
      <c r="G19" s="24"/>
      <c r="H19" s="387">
        <f>'Base Preços MP'!G10</f>
        <v>0.01</v>
      </c>
      <c r="I19" s="1"/>
      <c r="J19" s="69">
        <f>F19*H19</f>
        <v>0.23100000000000001</v>
      </c>
      <c r="K19" s="1"/>
      <c r="L19" s="759" t="str">
        <f>B19</f>
        <v>agua</v>
      </c>
      <c r="M19" s="759"/>
      <c r="N19" s="759"/>
      <c r="O19" s="117">
        <f>F19*M18/1000</f>
        <v>28.643999999999998</v>
      </c>
      <c r="P19" s="103"/>
      <c r="Q19" s="103"/>
      <c r="R19" s="103"/>
    </row>
    <row r="20" spans="1:18" x14ac:dyDescent="0.2">
      <c r="A20" s="1"/>
      <c r="B20" s="763" t="s">
        <v>510</v>
      </c>
      <c r="C20" s="704"/>
      <c r="D20" s="705"/>
      <c r="E20" s="1"/>
      <c r="F20" s="83">
        <v>342.9</v>
      </c>
      <c r="G20" s="316">
        <f>F20*87.27/1000</f>
        <v>29.924882999999998</v>
      </c>
      <c r="H20" s="581">
        <f>'Base Preços MP'!G16</f>
        <v>5.77</v>
      </c>
      <c r="I20" s="1"/>
      <c r="J20" s="234">
        <f>F20*H20</f>
        <v>1978.5329999999997</v>
      </c>
      <c r="K20" s="1"/>
      <c r="L20" s="759" t="str">
        <f>B20</f>
        <v>acido fosforico concentrado</v>
      </c>
      <c r="M20" s="759"/>
      <c r="N20" s="759"/>
      <c r="O20" s="117">
        <f>F20*M18/1000</f>
        <v>425.19600000000003</v>
      </c>
      <c r="P20" s="103"/>
      <c r="Q20" s="103"/>
      <c r="R20" s="103"/>
    </row>
    <row r="21" spans="1:18" x14ac:dyDescent="0.2">
      <c r="A21" s="1"/>
      <c r="B21" s="763" t="s">
        <v>511</v>
      </c>
      <c r="C21" s="704"/>
      <c r="D21" s="705"/>
      <c r="E21" s="1"/>
      <c r="F21" s="83">
        <v>534</v>
      </c>
      <c r="G21" s="316"/>
      <c r="H21" s="582">
        <f>'Base Preços MP'!G74</f>
        <v>1.83</v>
      </c>
      <c r="I21" s="1"/>
      <c r="J21" s="234">
        <f>F21*H21</f>
        <v>977.22</v>
      </c>
      <c r="K21" s="1"/>
      <c r="L21" s="760" t="str">
        <f>B21</f>
        <v>aquamonia</v>
      </c>
      <c r="M21" s="761"/>
      <c r="N21" s="762"/>
      <c r="O21" s="117">
        <f>F21*M18/1000</f>
        <v>662.16</v>
      </c>
      <c r="P21" s="103"/>
      <c r="Q21" s="103"/>
      <c r="R21" s="103"/>
    </row>
    <row r="22" spans="1:18" x14ac:dyDescent="0.2">
      <c r="A22" s="1"/>
      <c r="B22" s="763" t="s">
        <v>514</v>
      </c>
      <c r="C22" s="704"/>
      <c r="D22" s="705"/>
      <c r="E22" s="1"/>
      <c r="F22" s="83">
        <v>90</v>
      </c>
      <c r="G22" s="316">
        <f>F22*66.85/1000</f>
        <v>6.0164999999999988</v>
      </c>
      <c r="H22" s="61">
        <f>'Base Preços MP'!G24</f>
        <v>4.3</v>
      </c>
      <c r="I22" s="1"/>
      <c r="J22" s="234">
        <f>F22*H22</f>
        <v>387</v>
      </c>
      <c r="K22" s="1"/>
      <c r="L22" s="764" t="str">
        <f>B22</f>
        <v>AC NITRICO</v>
      </c>
      <c r="M22" s="765"/>
      <c r="N22" s="766"/>
      <c r="O22" s="233">
        <f>F22*M18/1000</f>
        <v>111.6</v>
      </c>
      <c r="P22" s="103"/>
      <c r="Q22" s="103"/>
      <c r="R22" s="103"/>
    </row>
    <row r="23" spans="1:18" x14ac:dyDescent="0.2">
      <c r="A23" s="1"/>
      <c r="B23" s="698" t="s">
        <v>240</v>
      </c>
      <c r="C23" s="699"/>
      <c r="D23" s="700"/>
      <c r="E23" s="1"/>
      <c r="F23" s="658">
        <v>10</v>
      </c>
      <c r="G23" s="111"/>
      <c r="H23" s="583">
        <f>'Base Preços MP'!G34</f>
        <v>7.75</v>
      </c>
      <c r="I23" s="103"/>
      <c r="J23" s="281">
        <f>F23*H23</f>
        <v>77.5</v>
      </c>
      <c r="K23" s="1"/>
      <c r="L23" s="703" t="s">
        <v>43</v>
      </c>
      <c r="M23" s="692"/>
      <c r="N23" s="692"/>
      <c r="O23" s="121">
        <f>SUM(O19:O22)</f>
        <v>1227.5999999999999</v>
      </c>
      <c r="P23" s="103"/>
      <c r="Q23" s="103"/>
      <c r="R23" s="103"/>
    </row>
    <row r="24" spans="1:18" x14ac:dyDescent="0.2">
      <c r="A24" s="1"/>
      <c r="B24" s="4"/>
      <c r="C24" s="4"/>
      <c r="D24" s="4"/>
      <c r="E24" s="1"/>
      <c r="F24" s="579">
        <f>SUM(F19:F23)</f>
        <v>1000</v>
      </c>
      <c r="G24" s="103"/>
      <c r="H24" s="583"/>
      <c r="I24" s="103"/>
      <c r="J24" s="580"/>
      <c r="K24" s="1"/>
      <c r="L24" s="103"/>
      <c r="M24" s="103"/>
      <c r="N24" s="103"/>
      <c r="O24" s="103"/>
      <c r="P24" s="103"/>
      <c r="Q24" s="103"/>
      <c r="R24" s="103"/>
    </row>
    <row r="25" spans="1:18" x14ac:dyDescent="0.2">
      <c r="A25" s="22">
        <v>1</v>
      </c>
      <c r="B25" s="21" t="s">
        <v>8</v>
      </c>
      <c r="C25" s="21"/>
      <c r="D25" s="4"/>
      <c r="E25" s="1"/>
      <c r="F25" s="104"/>
      <c r="G25" s="105"/>
      <c r="H25" s="106"/>
      <c r="I25" s="103"/>
      <c r="J25" s="108"/>
      <c r="K25" s="1"/>
      <c r="L25" s="103"/>
      <c r="M25" s="103"/>
      <c r="N25" s="103"/>
      <c r="O25" s="103"/>
      <c r="P25" s="103"/>
      <c r="Q25" s="103"/>
      <c r="R25" s="103"/>
    </row>
    <row r="26" spans="1:18" ht="13.5" thickBot="1" x14ac:dyDescent="0.25">
      <c r="A26" s="1"/>
      <c r="B26" s="1"/>
      <c r="C26" s="1"/>
      <c r="D26" s="1"/>
      <c r="E26" s="1"/>
      <c r="F26" s="1"/>
      <c r="G26" s="103"/>
      <c r="H26" s="103"/>
      <c r="I26" s="103"/>
      <c r="J26" s="103"/>
      <c r="K26" s="24"/>
      <c r="L26" s="103"/>
      <c r="M26" s="103"/>
      <c r="N26" s="103"/>
      <c r="O26" s="103"/>
      <c r="P26" s="103"/>
      <c r="Q26" s="103"/>
      <c r="R26" s="103"/>
    </row>
    <row r="27" spans="1:18" ht="13.5" thickBot="1" x14ac:dyDescent="0.25">
      <c r="A27" s="1"/>
      <c r="B27" s="3" t="s">
        <v>2</v>
      </c>
      <c r="C27" s="1"/>
      <c r="D27" s="82">
        <v>1.24</v>
      </c>
      <c r="E27" s="1"/>
      <c r="F27" s="1"/>
      <c r="G27" s="1"/>
      <c r="H27" s="17" t="s">
        <v>1</v>
      </c>
      <c r="I27" s="1"/>
      <c r="J27" s="25">
        <f>SUM(J20:J26)</f>
        <v>3420.2529999999997</v>
      </c>
      <c r="K27" s="236"/>
      <c r="L27" s="103"/>
      <c r="M27" s="103"/>
      <c r="N27" s="103"/>
      <c r="O27" s="103"/>
      <c r="P27" s="103"/>
      <c r="Q27" s="103"/>
      <c r="R27" s="103"/>
    </row>
    <row r="28" spans="1:18" ht="13.5" thickBot="1" x14ac:dyDescent="0.25">
      <c r="A28" s="1"/>
      <c r="B28" s="1"/>
      <c r="C28" s="1"/>
      <c r="D28" s="1"/>
      <c r="E28" s="1"/>
      <c r="F28" s="1"/>
      <c r="G28" s="1"/>
      <c r="H28" s="17" t="s">
        <v>26</v>
      </c>
      <c r="I28" s="1"/>
      <c r="J28" s="18">
        <v>1000</v>
      </c>
      <c r="K28" s="1"/>
      <c r="L28" s="103"/>
      <c r="M28" s="103"/>
      <c r="N28" s="103"/>
      <c r="O28" s="103"/>
      <c r="P28" s="103"/>
      <c r="Q28" s="103"/>
      <c r="R28" s="103"/>
    </row>
    <row r="29" spans="1:18" x14ac:dyDescent="0.2">
      <c r="A29" s="1"/>
      <c r="B29" s="1"/>
      <c r="C29" s="1"/>
      <c r="D29" s="1"/>
      <c r="E29" s="1"/>
      <c r="F29" s="1"/>
      <c r="G29" s="1"/>
      <c r="H29" s="19"/>
      <c r="I29" s="1"/>
      <c r="J29" s="30"/>
      <c r="K29" s="1"/>
      <c r="L29" s="103"/>
      <c r="M29" s="103"/>
      <c r="N29" s="103"/>
      <c r="O29" s="103"/>
      <c r="P29" s="103"/>
      <c r="Q29" s="103"/>
      <c r="R29" s="103"/>
    </row>
    <row r="30" spans="1:18" x14ac:dyDescent="0.2">
      <c r="A30" s="1"/>
      <c r="B30" s="23" t="s">
        <v>15</v>
      </c>
      <c r="C30" s="1"/>
      <c r="D30" s="27"/>
      <c r="E30" s="23" t="s">
        <v>77</v>
      </c>
      <c r="F30" s="1"/>
      <c r="G30" s="1"/>
      <c r="H30" s="23"/>
      <c r="I30" s="27"/>
      <c r="J30" s="29" t="s">
        <v>78</v>
      </c>
      <c r="K30" s="1"/>
      <c r="L30" s="103"/>
      <c r="M30" s="103"/>
      <c r="N30" s="103"/>
      <c r="O30" s="103"/>
      <c r="P30" s="103"/>
      <c r="Q30" s="103"/>
      <c r="R30" s="103"/>
    </row>
    <row r="31" spans="1:18" x14ac:dyDescent="0.2">
      <c r="A31" s="1"/>
      <c r="B31" s="3" t="s">
        <v>10</v>
      </c>
      <c r="C31" s="1"/>
      <c r="D31" s="521"/>
      <c r="E31" s="68">
        <f>J27/J28</f>
        <v>3.4202529999999998</v>
      </c>
      <c r="F31" s="3"/>
      <c r="G31" s="3" t="s">
        <v>16</v>
      </c>
      <c r="H31" s="1"/>
      <c r="I31" s="39"/>
      <c r="J31" s="68">
        <f>E31*D27</f>
        <v>4.2411137199999995</v>
      </c>
      <c r="K31" s="1"/>
      <c r="L31" s="103"/>
      <c r="M31" s="103"/>
      <c r="N31" s="103"/>
      <c r="O31" s="103"/>
      <c r="P31" s="103"/>
      <c r="Q31" s="103"/>
      <c r="R31" s="103"/>
    </row>
    <row r="32" spans="1:18" x14ac:dyDescent="0.2">
      <c r="A32" s="1"/>
      <c r="B32" s="19" t="s">
        <v>11</v>
      </c>
      <c r="C32" s="4"/>
      <c r="D32" s="521"/>
      <c r="E32" s="68">
        <v>0.3</v>
      </c>
      <c r="F32" s="19"/>
      <c r="G32" s="19" t="s">
        <v>17</v>
      </c>
      <c r="H32" s="4"/>
      <c r="I32" s="39"/>
      <c r="J32" s="68">
        <f>E32*D27</f>
        <v>0.372</v>
      </c>
      <c r="K32" s="1"/>
      <c r="L32" s="103"/>
      <c r="M32" s="103"/>
      <c r="N32" s="103"/>
      <c r="O32" s="103"/>
      <c r="P32" s="103"/>
      <c r="Q32" s="103"/>
      <c r="R32" s="103"/>
    </row>
    <row r="33" spans="1:18" x14ac:dyDescent="0.2">
      <c r="A33" s="1"/>
      <c r="B33" s="3" t="s">
        <v>14</v>
      </c>
      <c r="C33" s="1"/>
      <c r="D33" s="521"/>
      <c r="E33" s="68"/>
      <c r="F33" s="3"/>
      <c r="G33" s="3" t="s">
        <v>18</v>
      </c>
      <c r="H33" s="1"/>
      <c r="I33" s="39"/>
      <c r="J33" s="68">
        <f>E33*D27</f>
        <v>0</v>
      </c>
      <c r="K33" s="1"/>
      <c r="L33" s="103"/>
      <c r="M33" s="103"/>
      <c r="N33" s="103"/>
      <c r="O33" s="103"/>
      <c r="P33" s="103"/>
      <c r="Q33" s="103"/>
      <c r="R33" s="103"/>
    </row>
    <row r="34" spans="1:18" x14ac:dyDescent="0.2">
      <c r="A34" s="1"/>
      <c r="B34" s="3" t="s">
        <v>79</v>
      </c>
      <c r="C34" s="1"/>
      <c r="D34" s="521"/>
      <c r="E34" s="320">
        <v>0.3</v>
      </c>
      <c r="F34" s="3"/>
      <c r="G34" s="3" t="s">
        <v>80</v>
      </c>
      <c r="H34" s="1"/>
      <c r="I34" s="39"/>
      <c r="J34" s="320">
        <f>E34*D27</f>
        <v>0.372</v>
      </c>
      <c r="K34" s="1"/>
      <c r="L34" s="103"/>
      <c r="M34" s="103"/>
      <c r="N34" s="103"/>
      <c r="O34" s="103"/>
      <c r="P34" s="103"/>
      <c r="Q34" s="103"/>
      <c r="R34" s="103"/>
    </row>
    <row r="35" spans="1:18" x14ac:dyDescent="0.2">
      <c r="A35" s="1"/>
      <c r="B35" s="3" t="s">
        <v>42</v>
      </c>
      <c r="C35" s="1"/>
      <c r="D35" s="521">
        <v>1.19</v>
      </c>
      <c r="E35" s="68"/>
      <c r="F35" s="3"/>
      <c r="G35" s="3" t="s">
        <v>81</v>
      </c>
      <c r="H35" s="1"/>
      <c r="I35" s="39"/>
      <c r="J35" s="68">
        <f>E35*D27</f>
        <v>0</v>
      </c>
      <c r="K35" s="1"/>
      <c r="L35" s="103"/>
      <c r="M35" s="103"/>
      <c r="N35" s="103"/>
      <c r="O35" s="103"/>
      <c r="P35" s="103"/>
      <c r="Q35" s="103"/>
      <c r="R35" s="103"/>
    </row>
    <row r="36" spans="1:18" x14ac:dyDescent="0.2">
      <c r="A36" s="1"/>
      <c r="B36" s="3" t="s">
        <v>12</v>
      </c>
      <c r="C36" s="1"/>
      <c r="D36" s="521"/>
      <c r="E36" s="142">
        <f>E31+E32+E33+E34+E35</f>
        <v>4.0202529999999994</v>
      </c>
      <c r="F36" s="3"/>
      <c r="G36" s="3" t="s">
        <v>19</v>
      </c>
      <c r="H36" s="1"/>
      <c r="I36" s="39"/>
      <c r="J36" s="142">
        <f>J31+J32+J33+J34+J35</f>
        <v>4.9851137199999993</v>
      </c>
      <c r="K36" s="1"/>
      <c r="L36" s="103"/>
      <c r="M36" s="103"/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4"/>
      <c r="E37" s="1"/>
      <c r="F37" s="19"/>
      <c r="G37" s="4"/>
      <c r="H37" s="4"/>
      <c r="I37" s="6"/>
      <c r="J37" s="28" t="s">
        <v>21</v>
      </c>
      <c r="K37" s="7"/>
      <c r="L37" s="756" t="s">
        <v>218</v>
      </c>
      <c r="M37" s="756"/>
      <c r="N37" s="756"/>
      <c r="O37" s="756"/>
      <c r="P37" s="756"/>
      <c r="Q37" s="756"/>
      <c r="R37" s="103"/>
    </row>
    <row r="38" spans="1:18" x14ac:dyDescent="0.2">
      <c r="A38" s="34">
        <v>2</v>
      </c>
      <c r="B38" s="22" t="s">
        <v>9</v>
      </c>
      <c r="C38" s="22"/>
      <c r="D38" s="1"/>
      <c r="E38" s="1"/>
      <c r="F38" s="19"/>
      <c r="G38" s="4"/>
      <c r="H38" s="27" t="s">
        <v>20</v>
      </c>
      <c r="I38" s="33">
        <f>(100-J38)/100</f>
        <v>1</v>
      </c>
      <c r="J38" s="76"/>
      <c r="K38" s="7" t="s">
        <v>219</v>
      </c>
      <c r="L38" s="757" t="s">
        <v>220</v>
      </c>
      <c r="M38" s="758"/>
      <c r="N38" s="757" t="s">
        <v>221</v>
      </c>
      <c r="O38" s="758"/>
      <c r="P38" s="757" t="s">
        <v>222</v>
      </c>
      <c r="Q38" s="758"/>
      <c r="R38" s="103"/>
    </row>
    <row r="39" spans="1:18" x14ac:dyDescent="0.2">
      <c r="A39" s="1"/>
      <c r="B39" s="23"/>
      <c r="C39" s="23"/>
      <c r="D39" s="29"/>
      <c r="E39" s="3" t="s">
        <v>84</v>
      </c>
      <c r="F39" s="6" t="s">
        <v>85</v>
      </c>
      <c r="G39" s="4"/>
      <c r="H39" s="4"/>
      <c r="I39" s="6"/>
      <c r="J39" s="20"/>
      <c r="K39" s="7"/>
      <c r="L39" s="755"/>
      <c r="M39" s="755"/>
      <c r="N39" s="755"/>
      <c r="O39" s="755"/>
      <c r="P39" s="755"/>
      <c r="Q39" s="755"/>
      <c r="R39" s="103"/>
    </row>
    <row r="40" spans="1:18" x14ac:dyDescent="0.2">
      <c r="A40" s="1"/>
      <c r="B40" s="22" t="s">
        <v>22</v>
      </c>
      <c r="C40" s="11"/>
      <c r="D40" s="31" t="s">
        <v>13</v>
      </c>
      <c r="E40" s="36">
        <v>0</v>
      </c>
      <c r="F40" s="36">
        <v>0</v>
      </c>
      <c r="G40" s="19"/>
      <c r="H40" s="318"/>
      <c r="I40" s="75"/>
      <c r="J40" s="32"/>
      <c r="K40" s="1"/>
      <c r="L40" s="755"/>
      <c r="M40" s="755"/>
      <c r="N40" s="755"/>
      <c r="O40" s="755"/>
      <c r="P40" s="755"/>
      <c r="Q40" s="755"/>
      <c r="R40" s="103"/>
    </row>
    <row r="41" spans="1:18" x14ac:dyDescent="0.2">
      <c r="A41" s="1"/>
      <c r="B41" s="1"/>
      <c r="C41" s="1"/>
      <c r="D41" s="24" t="s">
        <v>60</v>
      </c>
      <c r="E41" s="36">
        <f>F41/D27</f>
        <v>0.20232258064516129</v>
      </c>
      <c r="F41" s="36">
        <f>'Base Preços MP'!C85</f>
        <v>0.25087999999999999</v>
      </c>
      <c r="G41" s="4"/>
      <c r="H41" s="4"/>
      <c r="I41" s="6"/>
      <c r="J41" s="20"/>
      <c r="K41" s="1"/>
      <c r="L41" s="755"/>
      <c r="M41" s="755"/>
      <c r="N41" s="755"/>
      <c r="O41" s="755"/>
      <c r="P41" s="755"/>
      <c r="Q41" s="755"/>
      <c r="R41" s="103"/>
    </row>
    <row r="42" spans="1:18" x14ac:dyDescent="0.2">
      <c r="A42" s="1"/>
      <c r="B42" s="1"/>
      <c r="C42" s="1"/>
      <c r="D42" s="24" t="s">
        <v>82</v>
      </c>
      <c r="E42" s="36">
        <f>F42/D27</f>
        <v>0.17403225806451611</v>
      </c>
      <c r="F42" s="36">
        <f>'[5]Base Preços MP'!C83</f>
        <v>0.21579999999999999</v>
      </c>
      <c r="G42" s="19" t="s">
        <v>86</v>
      </c>
      <c r="H42" s="4"/>
      <c r="I42" s="6"/>
      <c r="J42" s="20"/>
      <c r="K42" s="1"/>
      <c r="L42" s="755"/>
      <c r="M42" s="755"/>
      <c r="N42" s="755"/>
      <c r="O42" s="755"/>
      <c r="P42" s="755"/>
      <c r="Q42" s="755"/>
      <c r="R42" s="103"/>
    </row>
    <row r="43" spans="1:18" x14ac:dyDescent="0.2">
      <c r="A43" s="1"/>
      <c r="B43" s="1"/>
      <c r="C43" s="1"/>
      <c r="D43" s="24" t="s">
        <v>50</v>
      </c>
      <c r="E43" s="36">
        <f>F43/D27</f>
        <v>0.69548387096774189</v>
      </c>
      <c r="F43" s="36">
        <f>'Base Preços MP'!C88</f>
        <v>0.86239999999999994</v>
      </c>
      <c r="G43" s="19" t="s">
        <v>573</v>
      </c>
      <c r="H43" s="4"/>
      <c r="I43" s="6"/>
      <c r="J43" s="20"/>
      <c r="K43" s="1"/>
      <c r="L43" s="755"/>
      <c r="M43" s="755"/>
      <c r="N43" s="755"/>
      <c r="O43" s="755"/>
      <c r="P43" s="755"/>
      <c r="Q43" s="755"/>
      <c r="R43" s="103"/>
    </row>
    <row r="44" spans="1:18" x14ac:dyDescent="0.2">
      <c r="A44" s="1"/>
      <c r="B44" s="1"/>
      <c r="C44" s="5"/>
      <c r="D44" s="24" t="s">
        <v>50</v>
      </c>
      <c r="E44" s="36">
        <f>F44/D27</f>
        <v>0.44387096774193557</v>
      </c>
      <c r="F44" s="36">
        <f>'Base Preços MP'!C89</f>
        <v>0.55040000000000011</v>
      </c>
      <c r="G44" s="19" t="s">
        <v>86</v>
      </c>
      <c r="H44" s="4"/>
      <c r="I44" s="6"/>
      <c r="J44" s="20"/>
      <c r="K44" s="1"/>
      <c r="L44" s="751"/>
      <c r="M44" s="751"/>
      <c r="N44" s="751"/>
      <c r="O44" s="751"/>
      <c r="P44" s="751"/>
      <c r="Q44" s="751"/>
      <c r="R44" s="103"/>
    </row>
    <row r="45" spans="1:18" x14ac:dyDescent="0.2">
      <c r="A45" s="1"/>
      <c r="B45" s="1"/>
      <c r="C45" s="5"/>
      <c r="D45" s="24" t="s">
        <v>59</v>
      </c>
      <c r="E45" s="36">
        <f>F45/D27</f>
        <v>1.0665322580645162</v>
      </c>
      <c r="F45" s="36">
        <f>'Base Preços MP'!C91</f>
        <v>1.3225</v>
      </c>
      <c r="G45" s="1"/>
      <c r="H45" s="1"/>
      <c r="I45" s="6"/>
      <c r="J45" s="7"/>
      <c r="K45" s="1"/>
      <c r="L45" s="751"/>
      <c r="M45" s="751"/>
      <c r="N45" s="751"/>
      <c r="O45" s="751"/>
      <c r="P45" s="751"/>
      <c r="Q45" s="751"/>
      <c r="R45" s="103"/>
    </row>
    <row r="46" spans="1:18" x14ac:dyDescent="0.2">
      <c r="A46" s="22">
        <v>3</v>
      </c>
      <c r="B46" s="22" t="s">
        <v>25</v>
      </c>
      <c r="C46" s="35"/>
      <c r="D46" s="24" t="s">
        <v>61</v>
      </c>
      <c r="E46" s="36">
        <f>F46/D27</f>
        <v>2.590725806451613</v>
      </c>
      <c r="F46" s="36">
        <f>'Base Preços MP'!C92</f>
        <v>3.2124999999999999</v>
      </c>
      <c r="G46" s="4"/>
      <c r="H46" s="4"/>
      <c r="I46" s="6"/>
      <c r="J46" s="20"/>
      <c r="K46" s="1"/>
      <c r="L46" s="751"/>
      <c r="M46" s="751"/>
      <c r="N46" s="751"/>
      <c r="O46" s="751"/>
      <c r="P46" s="751"/>
      <c r="Q46" s="751"/>
      <c r="R46" s="103"/>
    </row>
    <row r="47" spans="1:18" x14ac:dyDescent="0.2">
      <c r="A47" s="1"/>
      <c r="B47" s="1"/>
      <c r="C47" s="1"/>
      <c r="D47" s="1"/>
      <c r="E47" s="1"/>
      <c r="F47" s="19"/>
      <c r="G47" s="4"/>
      <c r="H47" s="4"/>
      <c r="I47" s="19"/>
      <c r="J47" s="20"/>
      <c r="K47" s="1"/>
      <c r="L47" s="751"/>
      <c r="M47" s="751"/>
      <c r="N47" s="751"/>
      <c r="O47" s="751"/>
      <c r="P47" s="751"/>
      <c r="Q47" s="751"/>
      <c r="R47" s="103"/>
    </row>
    <row r="48" spans="1:18" x14ac:dyDescent="0.2">
      <c r="A48" s="1"/>
      <c r="B48" s="1"/>
      <c r="C48" s="27"/>
      <c r="D48" s="27"/>
      <c r="E48" s="27"/>
      <c r="F48" s="27"/>
      <c r="G48" s="27"/>
      <c r="H48" s="4"/>
      <c r="I48" s="6"/>
      <c r="J48" s="40" t="s">
        <v>572</v>
      </c>
      <c r="K48" s="19"/>
      <c r="L48" s="103"/>
      <c r="M48" s="103"/>
      <c r="N48" s="103"/>
      <c r="O48" s="103"/>
      <c r="P48" s="103"/>
      <c r="Q48" s="103"/>
      <c r="R48" s="103"/>
    </row>
    <row r="49" spans="1:18" x14ac:dyDescent="0.2">
      <c r="A49" s="1"/>
      <c r="B49" s="1"/>
      <c r="C49" s="55" t="s">
        <v>513</v>
      </c>
      <c r="D49" s="1"/>
      <c r="E49" s="752"/>
      <c r="F49" s="752"/>
      <c r="G49" s="4"/>
      <c r="H49" s="56"/>
      <c r="I49" s="19"/>
      <c r="J49" s="20"/>
      <c r="K49" s="19"/>
      <c r="L49" s="103"/>
      <c r="M49" s="103"/>
      <c r="N49" s="103"/>
      <c r="O49" s="103"/>
      <c r="P49" s="103"/>
      <c r="Q49" s="103"/>
      <c r="R49" s="103"/>
    </row>
    <row r="50" spans="1:18" x14ac:dyDescent="0.2">
      <c r="A50" s="1"/>
      <c r="B50" s="1"/>
      <c r="C50" s="65" t="s">
        <v>64</v>
      </c>
      <c r="D50" s="65" t="s">
        <v>65</v>
      </c>
      <c r="E50" s="65" t="s">
        <v>66</v>
      </c>
      <c r="F50" s="58" t="s">
        <v>87</v>
      </c>
      <c r="G50" s="27" t="s">
        <v>401</v>
      </c>
      <c r="H50" s="56" t="s">
        <v>414</v>
      </c>
      <c r="I50" s="19"/>
      <c r="J50" s="637" t="s">
        <v>575</v>
      </c>
      <c r="K50" s="315" t="s">
        <v>574</v>
      </c>
      <c r="L50" s="103"/>
      <c r="M50" s="103"/>
      <c r="N50" s="103"/>
      <c r="O50" s="103"/>
      <c r="P50" s="103"/>
      <c r="Q50" s="103"/>
      <c r="R50" s="103"/>
    </row>
    <row r="51" spans="1:18" x14ac:dyDescent="0.2">
      <c r="A51" s="1"/>
      <c r="B51" s="1"/>
      <c r="C51" s="240" t="s">
        <v>23</v>
      </c>
      <c r="D51" s="241">
        <f>E36/I38+D33</f>
        <v>4.0202529999999994</v>
      </c>
      <c r="E51" s="241">
        <f>D51*D27</f>
        <v>4.9851137199999993</v>
      </c>
      <c r="F51" s="280" t="s">
        <v>88</v>
      </c>
      <c r="G51" s="33"/>
      <c r="H51" s="56"/>
      <c r="I51" s="19"/>
      <c r="J51" s="638"/>
      <c r="K51" s="24"/>
      <c r="L51" s="103"/>
      <c r="M51" s="103"/>
      <c r="N51" s="103"/>
      <c r="O51" s="103"/>
      <c r="P51" s="103"/>
      <c r="Q51" s="103"/>
      <c r="R51" s="103"/>
    </row>
    <row r="52" spans="1:18" x14ac:dyDescent="0.2">
      <c r="A52" s="1"/>
      <c r="B52" s="1"/>
      <c r="C52" s="74">
        <v>1000</v>
      </c>
      <c r="D52" s="70">
        <f>E36/I38+D33+E41</f>
        <v>4.2225755806451604</v>
      </c>
      <c r="E52" s="70">
        <f>(J36+F41)/I38</f>
        <v>5.2359937199999997</v>
      </c>
      <c r="F52" s="61" t="s">
        <v>89</v>
      </c>
      <c r="G52" s="33"/>
      <c r="H52" s="56"/>
      <c r="I52" s="19"/>
      <c r="J52" s="638"/>
      <c r="K52" s="24"/>
      <c r="L52" s="103"/>
      <c r="M52" s="103"/>
      <c r="N52" s="103"/>
      <c r="O52" s="103"/>
      <c r="P52" s="103"/>
      <c r="Q52" s="103"/>
      <c r="R52" s="103"/>
    </row>
    <row r="53" spans="1:18" x14ac:dyDescent="0.2">
      <c r="A53" s="1"/>
      <c r="B53" s="1"/>
      <c r="C53" s="69">
        <v>50</v>
      </c>
      <c r="D53" s="70"/>
      <c r="E53" s="70"/>
      <c r="F53" s="51" t="s">
        <v>90</v>
      </c>
      <c r="G53" s="33"/>
      <c r="H53" s="56"/>
      <c r="I53" s="1"/>
      <c r="J53" s="24"/>
      <c r="K53" s="24"/>
      <c r="L53" s="103"/>
      <c r="M53" s="103"/>
      <c r="N53" s="103"/>
      <c r="O53" s="103"/>
      <c r="P53" s="103"/>
      <c r="Q53" s="103"/>
      <c r="R53" s="103"/>
    </row>
    <row r="54" spans="1:18" x14ac:dyDescent="0.2">
      <c r="A54" s="1"/>
      <c r="B54" s="1"/>
      <c r="C54" s="69">
        <v>25</v>
      </c>
      <c r="D54" s="70">
        <f>E36/I38+F43</f>
        <v>4.8826529999999995</v>
      </c>
      <c r="E54" s="70">
        <f>D54*D27</f>
        <v>6.0544897199999994</v>
      </c>
      <c r="F54" s="61" t="s">
        <v>573</v>
      </c>
      <c r="G54" s="33"/>
      <c r="H54" s="7"/>
      <c r="I54" s="1"/>
      <c r="J54" s="316">
        <f>E54+1.5</f>
        <v>7.5544897199999994</v>
      </c>
      <c r="K54" s="316">
        <f>J54/3.7</f>
        <v>2.0417539783783782</v>
      </c>
      <c r="L54" s="103"/>
      <c r="M54" s="103"/>
      <c r="N54" s="103"/>
      <c r="O54" s="103"/>
      <c r="P54" s="103"/>
      <c r="Q54" s="103"/>
      <c r="R54" s="103"/>
    </row>
    <row r="55" spans="1:18" x14ac:dyDescent="0.2">
      <c r="A55" s="1"/>
      <c r="B55" s="1"/>
      <c r="C55" s="69">
        <v>25</v>
      </c>
      <c r="D55" s="70">
        <f>E36/I38+D33+E44</f>
        <v>4.4641239677419353</v>
      </c>
      <c r="E55" s="70">
        <f>D55*D27</f>
        <v>5.53551372</v>
      </c>
      <c r="F55" s="51" t="s">
        <v>90</v>
      </c>
      <c r="G55" s="33">
        <f>E55/0.88</f>
        <v>6.2903564999999997</v>
      </c>
      <c r="H55" s="20">
        <f>G55+0.6</f>
        <v>6.8903564999999993</v>
      </c>
      <c r="I55" s="1"/>
      <c r="J55" s="24"/>
      <c r="K55" s="316"/>
      <c r="L55" s="103"/>
      <c r="M55" s="103"/>
      <c r="N55" s="103"/>
      <c r="O55" s="103"/>
      <c r="P55" s="103"/>
      <c r="Q55" s="103"/>
      <c r="R55" s="103"/>
    </row>
    <row r="56" spans="1:18" x14ac:dyDescent="0.2">
      <c r="A56" s="1"/>
      <c r="B56" s="1"/>
      <c r="C56" s="69">
        <v>5</v>
      </c>
      <c r="D56" s="70">
        <f>E36/I38+D33+E45</f>
        <v>5.0867852580645154</v>
      </c>
      <c r="E56" s="70">
        <f>D56*D27</f>
        <v>6.3076137199999991</v>
      </c>
      <c r="F56" s="61" t="s">
        <v>89</v>
      </c>
      <c r="G56" s="39">
        <f>E56/0.88</f>
        <v>7.1677428636363629</v>
      </c>
      <c r="H56" s="7">
        <f>G56+0.5</f>
        <v>7.6677428636363629</v>
      </c>
      <c r="I56" s="1"/>
      <c r="J56" s="316">
        <f>E56+1.5</f>
        <v>7.8076137199999991</v>
      </c>
      <c r="K56" s="316">
        <f>J56/3.7</f>
        <v>2.1101658702702699</v>
      </c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9">
        <v>1</v>
      </c>
      <c r="D57" s="70">
        <f>E36/I38+D33+E46</f>
        <v>6.6109788064516124</v>
      </c>
      <c r="E57" s="70">
        <f>D57*D27</f>
        <v>8.1976137199999997</v>
      </c>
      <c r="F57" s="61" t="s">
        <v>89</v>
      </c>
      <c r="G57" s="87">
        <f>E57/0.88</f>
        <v>9.3154701363636363</v>
      </c>
      <c r="H57" s="7">
        <f>G57+0.5</f>
        <v>9.8154701363636363</v>
      </c>
      <c r="I57" s="1"/>
      <c r="J57" s="639">
        <f>H57+1.5</f>
        <v>11.315470136363636</v>
      </c>
      <c r="K57" s="316">
        <f>J57/3.7</f>
        <v>3.0582351719901717</v>
      </c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"/>
      <c r="D58" s="39"/>
      <c r="E58" s="39"/>
      <c r="F58" s="317"/>
      <c r="G58" s="86"/>
      <c r="H58" s="7"/>
      <c r="I58" s="4"/>
      <c r="J58" s="24"/>
      <c r="K58" s="316"/>
      <c r="L58" s="103"/>
      <c r="M58" s="103"/>
      <c r="N58" s="103"/>
      <c r="O58" s="103"/>
      <c r="P58" s="103"/>
      <c r="Q58" s="103"/>
      <c r="R58" s="103"/>
    </row>
    <row r="59" spans="1:18" x14ac:dyDescent="0.2">
      <c r="A59" s="4"/>
      <c r="B59" s="4"/>
      <c r="C59" s="6"/>
      <c r="D59" s="39"/>
      <c r="E59" s="39"/>
      <c r="F59" s="317"/>
      <c r="G59" s="39"/>
      <c r="H59" s="4"/>
      <c r="I59" s="4"/>
      <c r="J59" s="24"/>
      <c r="K59" s="24"/>
      <c r="L59" s="103"/>
      <c r="M59" s="103"/>
      <c r="N59" s="103"/>
      <c r="O59" s="103"/>
      <c r="P59" s="103"/>
      <c r="Q59" s="103"/>
      <c r="R59" s="103"/>
    </row>
    <row r="60" spans="1:18" x14ac:dyDescent="0.2">
      <c r="A60" s="753"/>
      <c r="B60" s="753"/>
      <c r="C60" s="390"/>
      <c r="D60" s="391"/>
      <c r="E60" s="392"/>
      <c r="F60" s="393"/>
      <c r="G60" s="4"/>
      <c r="H60" s="7"/>
      <c r="I60" s="1"/>
      <c r="J60" s="1"/>
      <c r="K60" s="1"/>
      <c r="L60" s="103"/>
      <c r="M60" s="103"/>
      <c r="N60" s="103"/>
      <c r="O60" s="103"/>
      <c r="P60" s="103"/>
      <c r="Q60" s="103"/>
      <c r="R60" s="103"/>
    </row>
    <row r="61" spans="1:18" x14ac:dyDescent="0.2">
      <c r="A61" s="754"/>
      <c r="B61" s="754"/>
      <c r="C61" s="57"/>
      <c r="D61" s="57"/>
      <c r="E61" s="57"/>
      <c r="F61" s="57"/>
      <c r="G61" s="57"/>
      <c r="H61" s="57"/>
      <c r="I61" s="1"/>
      <c r="J61" s="1"/>
      <c r="K61" s="1"/>
      <c r="L61" s="103"/>
      <c r="M61" s="103"/>
      <c r="N61" s="103"/>
      <c r="O61" s="103"/>
      <c r="P61" s="103"/>
      <c r="Q61" s="103"/>
      <c r="R61" s="103"/>
    </row>
    <row r="62" spans="1:18" x14ac:dyDescent="0.2">
      <c r="A62" s="750"/>
      <c r="B62" s="750"/>
      <c r="C62" s="73"/>
      <c r="D62" s="73"/>
      <c r="E62" s="31"/>
      <c r="F62" s="73"/>
      <c r="G62" s="31"/>
      <c r="H62" s="73"/>
      <c r="I62" s="1"/>
      <c r="J62" s="1"/>
      <c r="K62" s="1"/>
      <c r="L62" s="103"/>
      <c r="M62" s="103"/>
      <c r="N62" s="103"/>
      <c r="O62" s="103"/>
      <c r="P62" s="103"/>
      <c r="Q62" s="103"/>
      <c r="R62" s="103"/>
    </row>
    <row r="63" spans="1:18" x14ac:dyDescent="0.2">
      <c r="A63" s="750"/>
      <c r="B63" s="750"/>
      <c r="C63" s="73"/>
      <c r="D63" s="73"/>
      <c r="E63" s="31"/>
      <c r="F63" s="73"/>
      <c r="G63" s="31"/>
      <c r="H63" s="73"/>
      <c r="I63" s="1"/>
      <c r="J63" s="1"/>
      <c r="K63" s="1"/>
      <c r="L63" s="103"/>
      <c r="M63" s="103"/>
      <c r="N63" s="103"/>
      <c r="O63" s="103"/>
      <c r="P63" s="103"/>
      <c r="Q63" s="103"/>
      <c r="R63" s="103"/>
    </row>
    <row r="64" spans="1:18" x14ac:dyDescent="0.2">
      <c r="A64" s="4"/>
      <c r="B64" s="4"/>
      <c r="C64" s="4"/>
      <c r="D64" s="4"/>
      <c r="E64" s="4"/>
      <c r="F64" s="4"/>
      <c r="G64" s="4"/>
      <c r="H64" s="4"/>
      <c r="I64" s="1"/>
      <c r="J64" s="1"/>
      <c r="K64" s="1"/>
      <c r="L64" s="103"/>
      <c r="M64" s="103"/>
      <c r="N64" s="103"/>
      <c r="O64" s="103"/>
      <c r="P64" s="103"/>
      <c r="Q64" s="103"/>
      <c r="R64" s="103"/>
    </row>
    <row r="65" spans="1:18" x14ac:dyDescent="0.2">
      <c r="A65" s="4"/>
      <c r="B65" s="4"/>
      <c r="C65" s="4"/>
      <c r="D65" s="4"/>
      <c r="E65" s="4"/>
      <c r="F65" s="4"/>
      <c r="G65" s="4"/>
      <c r="H65" s="4"/>
      <c r="I65" s="1"/>
      <c r="J65" s="1"/>
      <c r="K65" s="1"/>
      <c r="L65" s="103"/>
      <c r="M65" s="103"/>
      <c r="N65" s="103"/>
      <c r="O65" s="103"/>
      <c r="P65" s="103"/>
      <c r="Q65" s="103"/>
      <c r="R65" s="103"/>
    </row>
    <row r="66" spans="1:18" x14ac:dyDescent="0.2">
      <c r="A66" s="4"/>
      <c r="B66" s="27"/>
      <c r="C66" s="57"/>
      <c r="D66" s="27"/>
      <c r="E66" s="4"/>
      <c r="F66" s="4"/>
      <c r="G66" s="4"/>
      <c r="H66" s="4"/>
      <c r="I66" s="1"/>
      <c r="J66" s="1"/>
      <c r="K66" s="1"/>
      <c r="L66" s="103"/>
      <c r="M66" s="103"/>
      <c r="N66" s="103"/>
      <c r="O66" s="103"/>
      <c r="P66" s="103"/>
      <c r="Q66" s="103"/>
      <c r="R66" s="103"/>
    </row>
    <row r="67" spans="1:18" x14ac:dyDescent="0.2">
      <c r="A67" s="4"/>
      <c r="B67" s="393"/>
      <c r="C67" s="394"/>
      <c r="D67" s="73"/>
      <c r="E67" s="4"/>
      <c r="F67" s="4"/>
      <c r="G67" s="4"/>
      <c r="H67" s="4"/>
      <c r="I67" s="1"/>
      <c r="J67" s="1"/>
      <c r="K67" s="1"/>
      <c r="L67" s="103"/>
      <c r="M67" s="103"/>
      <c r="N67" s="103"/>
      <c r="O67" s="103"/>
      <c r="P67" s="103"/>
      <c r="Q67" s="103"/>
      <c r="R67" s="103"/>
    </row>
    <row r="68" spans="1:18" x14ac:dyDescent="0.2">
      <c r="A68" s="4"/>
      <c r="B68" s="4"/>
      <c r="C68" s="394"/>
      <c r="D68" s="73"/>
      <c r="E68" s="4"/>
      <c r="F68" s="4"/>
      <c r="G68" s="4"/>
      <c r="H68" s="1"/>
      <c r="I68" s="1"/>
      <c r="J68" s="1"/>
      <c r="K68" s="1"/>
      <c r="L68" s="103"/>
      <c r="M68" s="103"/>
      <c r="N68" s="103"/>
      <c r="O68" s="103"/>
      <c r="P68" s="103"/>
      <c r="Q68" s="103"/>
      <c r="R68" s="103"/>
    </row>
    <row r="69" spans="1:18" x14ac:dyDescent="0.2">
      <c r="A69" s="4"/>
      <c r="B69" s="4"/>
      <c r="C69" s="394"/>
      <c r="D69" s="73"/>
      <c r="E69" s="4"/>
      <c r="F69" s="4"/>
      <c r="G69" s="4"/>
      <c r="H69" s="1"/>
      <c r="I69" s="1"/>
      <c r="J69" s="1"/>
      <c r="K69" s="1"/>
      <c r="L69" s="103"/>
      <c r="M69" s="103"/>
      <c r="N69" s="103"/>
      <c r="O69" s="103"/>
      <c r="P69" s="103"/>
      <c r="Q69" s="103"/>
      <c r="R69" s="103"/>
    </row>
    <row r="70" spans="1:18" x14ac:dyDescent="0.2">
      <c r="A70" s="4"/>
      <c r="B70" s="4"/>
      <c r="C70" s="4"/>
      <c r="D70" s="4"/>
      <c r="E70" s="4"/>
      <c r="F70" s="4"/>
      <c r="G70" s="4"/>
      <c r="H70" s="1"/>
      <c r="I70" s="1"/>
      <c r="J70" s="1"/>
      <c r="K70" s="1"/>
      <c r="L70" s="103"/>
      <c r="M70" s="103"/>
      <c r="N70" s="103"/>
      <c r="O70" s="103"/>
      <c r="P70" s="103"/>
      <c r="Q70" s="103"/>
      <c r="R70" s="103"/>
    </row>
    <row r="71" spans="1:18" x14ac:dyDescent="0.2">
      <c r="A71" s="4"/>
      <c r="B71" s="4"/>
      <c r="C71" s="4"/>
      <c r="D71" s="4"/>
      <c r="E71" s="4"/>
      <c r="F71" s="4"/>
      <c r="G71" s="4"/>
      <c r="H71" s="1"/>
      <c r="I71" s="1"/>
      <c r="J71" s="1"/>
      <c r="K71" s="1"/>
      <c r="L71" s="103"/>
      <c r="M71" s="103"/>
      <c r="N71" s="103"/>
      <c r="O71" s="103"/>
      <c r="P71" s="103"/>
      <c r="Q71" s="103"/>
      <c r="R71" s="103"/>
    </row>
    <row r="72" spans="1:18" x14ac:dyDescent="0.2">
      <c r="A72" s="4"/>
      <c r="B72" s="4"/>
      <c r="C72" s="4"/>
      <c r="D72" s="4"/>
      <c r="E72" s="4"/>
      <c r="F72" s="4"/>
      <c r="G72" s="4"/>
      <c r="H72" s="1"/>
      <c r="I72" s="1"/>
      <c r="J72" s="1"/>
      <c r="K72" s="1"/>
      <c r="L72" s="103"/>
      <c r="M72" s="103"/>
      <c r="N72" s="103"/>
      <c r="O72" s="103"/>
      <c r="P72" s="103"/>
      <c r="Q72" s="103"/>
      <c r="R72" s="103"/>
    </row>
    <row r="73" spans="1:18" x14ac:dyDescent="0.2">
      <c r="A73" s="4"/>
      <c r="B73" s="4"/>
      <c r="C73" s="4"/>
      <c r="D73" s="4"/>
      <c r="E73" s="4"/>
      <c r="F73" s="4"/>
      <c r="G73" s="4"/>
      <c r="H73" s="1"/>
      <c r="I73" s="1"/>
      <c r="J73" s="1"/>
      <c r="K73" s="1"/>
      <c r="L73" s="103"/>
      <c r="M73" s="103"/>
      <c r="N73" s="103"/>
      <c r="O73" s="103"/>
      <c r="P73" s="103"/>
      <c r="Q73" s="103"/>
      <c r="R73" s="103"/>
    </row>
    <row r="74" spans="1:18" x14ac:dyDescent="0.2">
      <c r="A74" s="4"/>
      <c r="B74" s="4"/>
      <c r="C74" s="4"/>
      <c r="D74" s="4"/>
      <c r="E74" s="4"/>
      <c r="F74" s="4"/>
      <c r="G74" s="4"/>
      <c r="H74" s="1"/>
      <c r="I74" s="1"/>
      <c r="J74" s="1"/>
      <c r="K74" s="1"/>
      <c r="L74" s="103"/>
      <c r="M74" s="103"/>
      <c r="N74" s="103"/>
      <c r="O74" s="103"/>
      <c r="P74" s="103"/>
      <c r="Q74" s="103"/>
      <c r="R74" s="103"/>
    </row>
    <row r="75" spans="1:18" x14ac:dyDescent="0.2">
      <c r="A75" s="4"/>
      <c r="B75" s="4"/>
      <c r="C75" s="4"/>
      <c r="D75" s="4"/>
      <c r="E75" s="4"/>
      <c r="F75" s="4"/>
      <c r="G75" s="4"/>
      <c r="H75" s="1"/>
      <c r="I75" s="1"/>
      <c r="J75" s="1"/>
      <c r="K75" s="1"/>
      <c r="L75" s="103"/>
      <c r="M75" s="103"/>
      <c r="N75" s="103"/>
      <c r="O75" s="103"/>
      <c r="P75" s="103"/>
      <c r="Q75" s="103"/>
      <c r="R75" s="103"/>
    </row>
    <row r="76" spans="1:18" x14ac:dyDescent="0.2">
      <c r="A76" s="4"/>
      <c r="B76" s="4"/>
      <c r="C76" s="4"/>
      <c r="D76" s="4"/>
      <c r="E76" s="4"/>
      <c r="F76" s="4"/>
      <c r="G76" s="4"/>
      <c r="H76" s="1"/>
      <c r="I76" s="1"/>
      <c r="J76" s="1"/>
      <c r="K76" s="1"/>
      <c r="L76" s="103"/>
      <c r="M76" s="103"/>
      <c r="N76" s="103"/>
      <c r="O76" s="103"/>
      <c r="P76" s="103"/>
      <c r="Q76" s="103"/>
      <c r="R76" s="103"/>
    </row>
    <row r="77" spans="1:18" x14ac:dyDescent="0.2">
      <c r="A77" s="4"/>
      <c r="B77" s="4"/>
      <c r="C77" s="4"/>
      <c r="D77" s="4"/>
      <c r="E77" s="4"/>
      <c r="F77" s="4"/>
      <c r="G77" s="4"/>
      <c r="H77" s="1"/>
      <c r="I77" s="1"/>
      <c r="J77" s="1"/>
      <c r="K77" s="1"/>
      <c r="L77" s="103"/>
      <c r="M77" s="103"/>
      <c r="N77" s="103"/>
      <c r="O77" s="103"/>
      <c r="P77" s="103"/>
      <c r="Q77" s="103"/>
      <c r="R77" s="103"/>
    </row>
    <row r="78" spans="1:18" x14ac:dyDescent="0.2">
      <c r="A78" s="4"/>
      <c r="B78" s="4"/>
      <c r="C78" s="4"/>
      <c r="D78" s="4"/>
      <c r="E78" s="4"/>
      <c r="F78" s="4"/>
      <c r="G78" s="4"/>
      <c r="H78" s="1"/>
      <c r="I78" s="1"/>
      <c r="J78" s="1"/>
      <c r="K78" s="1"/>
      <c r="L78" s="103"/>
      <c r="M78" s="103"/>
      <c r="N78" s="103"/>
      <c r="O78" s="103"/>
      <c r="P78" s="103"/>
      <c r="Q78" s="103"/>
      <c r="R78" s="103"/>
    </row>
    <row r="79" spans="1:18" x14ac:dyDescent="0.2">
      <c r="A79" s="4"/>
      <c r="B79" s="4"/>
      <c r="C79" s="4"/>
      <c r="D79" s="4"/>
      <c r="E79" s="4"/>
      <c r="F79" s="4"/>
      <c r="G79" s="4"/>
      <c r="H79" s="1"/>
      <c r="I79" s="1"/>
      <c r="J79" s="1"/>
      <c r="K79" s="1"/>
      <c r="L79" s="103"/>
      <c r="M79" s="103"/>
      <c r="N79" s="103"/>
      <c r="O79" s="103"/>
      <c r="P79" s="103"/>
      <c r="Q79" s="103"/>
      <c r="R79" s="103"/>
    </row>
    <row r="80" spans="1:18" x14ac:dyDescent="0.2">
      <c r="A80" s="4"/>
      <c r="B80" s="4"/>
      <c r="C80" s="4"/>
      <c r="D80" s="4"/>
      <c r="E80" s="4"/>
      <c r="F80" s="4"/>
      <c r="G80" s="4"/>
      <c r="H80" s="1"/>
      <c r="I80" s="1"/>
      <c r="J80" s="1"/>
      <c r="K80" s="1"/>
      <c r="L80" s="103"/>
      <c r="M80" s="103"/>
      <c r="N80" s="103"/>
      <c r="O80" s="103"/>
      <c r="P80" s="103"/>
      <c r="Q80" s="103"/>
      <c r="R80" s="103"/>
    </row>
    <row r="81" spans="1:18" x14ac:dyDescent="0.2">
      <c r="A81" s="4"/>
      <c r="B81" s="4"/>
      <c r="C81" s="4"/>
      <c r="D81" s="4"/>
      <c r="E81" s="4"/>
      <c r="F81" s="4"/>
      <c r="G81" s="4"/>
      <c r="H81" s="1"/>
      <c r="I81" s="1"/>
      <c r="J81" s="1"/>
      <c r="K81" s="1"/>
      <c r="L81" s="103"/>
      <c r="M81" s="103"/>
      <c r="N81" s="103"/>
      <c r="O81" s="103"/>
      <c r="P81" s="103"/>
      <c r="Q81" s="103"/>
      <c r="R81" s="103"/>
    </row>
    <row r="82" spans="1:18" x14ac:dyDescent="0.2">
      <c r="A82" s="4"/>
      <c r="B82" s="4"/>
      <c r="C82" s="4"/>
      <c r="D82" s="4"/>
      <c r="E82" s="4"/>
      <c r="F82" s="4"/>
      <c r="G82" s="4"/>
      <c r="H82" s="1"/>
      <c r="I82" s="1"/>
      <c r="J82" s="1"/>
      <c r="K82" s="1"/>
      <c r="L82" s="103"/>
      <c r="M82" s="103"/>
      <c r="N82" s="103"/>
      <c r="O82" s="103"/>
      <c r="P82" s="103"/>
      <c r="Q82" s="103"/>
      <c r="R82" s="103"/>
    </row>
    <row r="83" spans="1:18" x14ac:dyDescent="0.2">
      <c r="A83" s="4"/>
      <c r="B83" s="4"/>
      <c r="C83" s="4"/>
      <c r="D83" s="4"/>
      <c r="E83" s="4"/>
      <c r="F83" s="4"/>
      <c r="G83" s="4"/>
      <c r="H83" s="1"/>
      <c r="I83" s="1"/>
      <c r="J83" s="1"/>
      <c r="K83" s="1"/>
      <c r="L83" s="103"/>
      <c r="M83" s="103"/>
      <c r="N83" s="103"/>
      <c r="O83" s="103"/>
      <c r="P83" s="103"/>
      <c r="Q83" s="103"/>
      <c r="R83" s="103"/>
    </row>
    <row r="84" spans="1:1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3"/>
      <c r="M84" s="103"/>
      <c r="N84" s="103"/>
      <c r="O84" s="103"/>
      <c r="P84" s="103"/>
      <c r="Q84" s="103"/>
      <c r="R84" s="103"/>
    </row>
    <row r="85" spans="1:1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3"/>
      <c r="M85" s="103"/>
      <c r="N85" s="103"/>
      <c r="O85" s="103"/>
      <c r="P85" s="103"/>
      <c r="Q85" s="103"/>
      <c r="R85" s="103"/>
    </row>
    <row r="86" spans="1:1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3"/>
      <c r="M86" s="103"/>
      <c r="N86" s="103"/>
      <c r="O86" s="103"/>
      <c r="P86" s="103"/>
      <c r="Q86" s="103"/>
      <c r="R86" s="103"/>
    </row>
    <row r="87" spans="1:1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3"/>
      <c r="M87" s="103"/>
      <c r="N87" s="103"/>
      <c r="O87" s="103"/>
      <c r="P87" s="103"/>
      <c r="Q87" s="103"/>
      <c r="R87" s="103"/>
    </row>
  </sheetData>
  <mergeCells count="56">
    <mergeCell ref="E49:F49"/>
    <mergeCell ref="A60:B60"/>
    <mergeCell ref="A61:B61"/>
    <mergeCell ref="A62:B62"/>
    <mergeCell ref="A63:B63"/>
    <mergeCell ref="L42:M42"/>
    <mergeCell ref="N42:O42"/>
    <mergeCell ref="P42:Q42"/>
    <mergeCell ref="N44:O44"/>
    <mergeCell ref="P44:Q44"/>
    <mergeCell ref="L40:M40"/>
    <mergeCell ref="N40:O40"/>
    <mergeCell ref="P40:Q40"/>
    <mergeCell ref="L41:M41"/>
    <mergeCell ref="N41:O41"/>
    <mergeCell ref="P41:Q41"/>
    <mergeCell ref="I11:J11"/>
    <mergeCell ref="L19:N19"/>
    <mergeCell ref="B20:D20"/>
    <mergeCell ref="L20:N20"/>
    <mergeCell ref="B21:D21"/>
    <mergeCell ref="B23:D23"/>
    <mergeCell ref="L23:N23"/>
    <mergeCell ref="L16:M16"/>
    <mergeCell ref="B17:D17"/>
    <mergeCell ref="N18:O18"/>
    <mergeCell ref="B19:D19"/>
    <mergeCell ref="B22:D22"/>
    <mergeCell ref="A6:E6"/>
    <mergeCell ref="I6:K6"/>
    <mergeCell ref="I7:J7"/>
    <mergeCell ref="I8:J8"/>
    <mergeCell ref="G9:H9"/>
    <mergeCell ref="I9:J9"/>
    <mergeCell ref="L47:M47"/>
    <mergeCell ref="N47:O47"/>
    <mergeCell ref="P47:Q47"/>
    <mergeCell ref="L43:M43"/>
    <mergeCell ref="N43:O43"/>
    <mergeCell ref="P43:Q43"/>
    <mergeCell ref="L44:M44"/>
    <mergeCell ref="L46:M46"/>
    <mergeCell ref="N46:O46"/>
    <mergeCell ref="P46:Q46"/>
    <mergeCell ref="L45:M45"/>
    <mergeCell ref="N45:O45"/>
    <mergeCell ref="P45:Q45"/>
    <mergeCell ref="L38:M38"/>
    <mergeCell ref="N38:O38"/>
    <mergeCell ref="P38:Q38"/>
    <mergeCell ref="L39:M39"/>
    <mergeCell ref="L21:N21"/>
    <mergeCell ref="L37:Q37"/>
    <mergeCell ref="L22:N22"/>
    <mergeCell ref="N39:O39"/>
    <mergeCell ref="P39:Q3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48" workbookViewId="0">
      <selection activeCell="J47" sqref="J47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 t="s">
        <v>34</v>
      </c>
      <c r="E7" s="63"/>
      <c r="F7" s="63"/>
      <c r="G7" s="24"/>
      <c r="H7" s="610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533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43214</v>
      </c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612" t="s">
        <v>67</v>
      </c>
      <c r="M15" s="612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611" t="s">
        <v>121</v>
      </c>
      <c r="L16" s="118">
        <v>1000</v>
      </c>
      <c r="M16" s="116">
        <f>+D35*L16</f>
        <v>1310</v>
      </c>
      <c r="N16" s="714"/>
      <c r="O16" s="715"/>
      <c r="P16" s="613" t="s">
        <v>152</v>
      </c>
      <c r="Q16" s="613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42.510000000000005</v>
      </c>
      <c r="F17" s="367">
        <v>425.1</v>
      </c>
      <c r="G17" s="357" t="s">
        <v>125</v>
      </c>
      <c r="H17" s="358">
        <f>'[6]Base Preços MP'!G10</f>
        <v>0.01</v>
      </c>
      <c r="I17" s="357">
        <f>E20*31/100+E26*7/100</f>
        <v>0.58899999999999997</v>
      </c>
      <c r="J17" s="359">
        <f>F17*H17</f>
        <v>4.2510000000000003</v>
      </c>
      <c r="K17" s="111">
        <f>I17*1.34*10</f>
        <v>7.8925999999999998</v>
      </c>
      <c r="L17" s="676" t="str">
        <f t="shared" ref="L17:L30" si="0">B17</f>
        <v>Agua</v>
      </c>
      <c r="M17" s="677"/>
      <c r="N17" s="678"/>
      <c r="O17" s="117">
        <f>F17*M16/1000</f>
        <v>556.88099999999997</v>
      </c>
      <c r="P17" s="109">
        <v>7.0724400000000003</v>
      </c>
      <c r="Q17" s="613" t="s">
        <v>125</v>
      </c>
      <c r="R17" s="103"/>
      <c r="U17" s="144"/>
      <c r="V17" s="146"/>
    </row>
    <row r="18" spans="1:22" x14ac:dyDescent="0.2">
      <c r="A18" s="1"/>
      <c r="B18" s="682" t="s">
        <v>126</v>
      </c>
      <c r="C18" s="724"/>
      <c r="D18" s="725"/>
      <c r="E18" s="315">
        <f t="shared" ref="E18:E30" si="1">F18/10</f>
        <v>6.34</v>
      </c>
      <c r="F18" s="83">
        <v>63.4</v>
      </c>
      <c r="G18" s="357" t="s">
        <v>69</v>
      </c>
      <c r="H18" s="360">
        <f>'Base Preços MP'!G12</f>
        <v>5.0999999999999996</v>
      </c>
      <c r="I18" s="357">
        <f>E19*60/100</f>
        <v>7.032</v>
      </c>
      <c r="J18" s="359">
        <f>F18*H18</f>
        <v>323.33999999999997</v>
      </c>
      <c r="K18" s="111">
        <f t="shared" ref="K18:K27" si="2">I18*1.34*10</f>
        <v>94.228800000000007</v>
      </c>
      <c r="L18" s="676" t="str">
        <f t="shared" si="0"/>
        <v>Potasa Caustica en Escamas 86 %</v>
      </c>
      <c r="M18" s="677"/>
      <c r="N18" s="678"/>
      <c r="O18" s="117">
        <f>F18*M16/1000</f>
        <v>83.054000000000002</v>
      </c>
      <c r="P18" s="109">
        <v>1.7885999999999997</v>
      </c>
      <c r="Q18" s="613" t="s">
        <v>69</v>
      </c>
      <c r="R18" s="103"/>
      <c r="U18" s="144"/>
      <c r="V18" s="146"/>
    </row>
    <row r="19" spans="1:22" x14ac:dyDescent="0.2">
      <c r="A19" s="1"/>
      <c r="B19" s="682" t="s">
        <v>200</v>
      </c>
      <c r="C19" s="724"/>
      <c r="D19" s="725"/>
      <c r="E19" s="315">
        <f t="shared" si="1"/>
        <v>11.72</v>
      </c>
      <c r="F19" s="83">
        <v>117.2</v>
      </c>
      <c r="G19" s="357" t="s">
        <v>110</v>
      </c>
      <c r="H19" s="360">
        <f>'Base Preços MP'!G17</f>
        <v>6.9</v>
      </c>
      <c r="I19" s="357">
        <f>E18*72.15/100+E25*60/100+E20*2/100</f>
        <v>4.6123100000000008</v>
      </c>
      <c r="J19" s="359">
        <f t="shared" ref="J19:J30" si="3">F19*H19</f>
        <v>808.68000000000006</v>
      </c>
      <c r="K19" s="111">
        <f t="shared" si="2"/>
        <v>61.804954000000016</v>
      </c>
      <c r="L19" s="676" t="str">
        <f t="shared" si="0"/>
        <v>Acido Fosforoso</v>
      </c>
      <c r="M19" s="677"/>
      <c r="N19" s="678"/>
      <c r="O19" s="117">
        <f>F19*M16/1000</f>
        <v>153.53200000000001</v>
      </c>
      <c r="P19" s="109">
        <v>5.9720309999999994</v>
      </c>
      <c r="Q19" s="613" t="s">
        <v>110</v>
      </c>
      <c r="R19" s="103"/>
      <c r="U19" s="144"/>
      <c r="V19" s="146"/>
    </row>
    <row r="20" spans="1:22" x14ac:dyDescent="0.2">
      <c r="A20" s="1"/>
      <c r="B20" s="682" t="s">
        <v>534</v>
      </c>
      <c r="C20" s="724"/>
      <c r="D20" s="725"/>
      <c r="E20" s="315">
        <f t="shared" si="1"/>
        <v>1.9</v>
      </c>
      <c r="F20" s="83">
        <v>19</v>
      </c>
      <c r="G20" s="357" t="s">
        <v>106</v>
      </c>
      <c r="H20" s="361">
        <f>'Base Preços MP'!G38</f>
        <v>0.9</v>
      </c>
      <c r="I20" s="357">
        <f>E27*27/100</f>
        <v>0</v>
      </c>
      <c r="J20" s="359">
        <f>H20*F20</f>
        <v>17.100000000000001</v>
      </c>
      <c r="K20" s="111">
        <f t="shared" si="2"/>
        <v>0</v>
      </c>
      <c r="L20" s="676" t="str">
        <f t="shared" si="0"/>
        <v>Nitrex</v>
      </c>
      <c r="M20" s="677"/>
      <c r="N20" s="678"/>
      <c r="O20" s="117">
        <f>F20*M16/1000</f>
        <v>24.89</v>
      </c>
      <c r="P20" s="109">
        <v>4.3502400000000003</v>
      </c>
      <c r="Q20" s="613" t="s">
        <v>106</v>
      </c>
      <c r="R20" s="103"/>
      <c r="U20" s="144"/>
      <c r="V20" s="146"/>
    </row>
    <row r="21" spans="1:22" x14ac:dyDescent="0.2">
      <c r="A21" s="1"/>
      <c r="B21" s="683" t="s">
        <v>535</v>
      </c>
      <c r="C21" s="726"/>
      <c r="D21" s="727"/>
      <c r="E21" s="315">
        <f t="shared" si="1"/>
        <v>10.83</v>
      </c>
      <c r="F21" s="368">
        <v>108.3</v>
      </c>
      <c r="G21" s="357" t="s">
        <v>107</v>
      </c>
      <c r="H21" s="361">
        <f>'Base Preços MP'!G49</f>
        <v>0.81399999999999995</v>
      </c>
      <c r="I21" s="357">
        <f>E26*7/100</f>
        <v>0</v>
      </c>
      <c r="J21" s="359">
        <f t="shared" si="3"/>
        <v>88.156199999999998</v>
      </c>
      <c r="K21" s="111">
        <f t="shared" si="2"/>
        <v>0</v>
      </c>
      <c r="L21" s="686" t="str">
        <f t="shared" si="0"/>
        <v>Melaço</v>
      </c>
      <c r="M21" s="686"/>
      <c r="N21" s="686"/>
      <c r="O21" s="117">
        <f>F21*M16/1000</f>
        <v>141.87299999999999</v>
      </c>
      <c r="P21" s="161">
        <v>0.41426000000000002</v>
      </c>
      <c r="Q21" s="613" t="s">
        <v>107</v>
      </c>
      <c r="R21" s="103"/>
      <c r="U21" s="144"/>
      <c r="V21" s="146"/>
    </row>
    <row r="22" spans="1:22" x14ac:dyDescent="0.2">
      <c r="A22" s="1"/>
      <c r="B22" s="682" t="s">
        <v>538</v>
      </c>
      <c r="C22" s="724"/>
      <c r="D22" s="725"/>
      <c r="E22" s="315">
        <f t="shared" si="1"/>
        <v>26.7</v>
      </c>
      <c r="F22" s="368">
        <v>267</v>
      </c>
      <c r="G22" s="357" t="s">
        <v>108</v>
      </c>
      <c r="H22" s="361">
        <f>'Base Preços MP'!G42</f>
        <v>4.25</v>
      </c>
      <c r="I22" s="357">
        <f>E21*14/100</f>
        <v>1.5162</v>
      </c>
      <c r="J22" s="359">
        <f>F22*H22</f>
        <v>1134.75</v>
      </c>
      <c r="K22" s="111">
        <f t="shared" si="2"/>
        <v>20.317080000000001</v>
      </c>
      <c r="L22" s="687" t="str">
        <f t="shared" si="0"/>
        <v>Fert Zn</v>
      </c>
      <c r="M22" s="687"/>
      <c r="N22" s="687"/>
      <c r="O22" s="117">
        <f>F22*M16/1000</f>
        <v>349.77</v>
      </c>
      <c r="P22" s="161">
        <v>2.198E-2</v>
      </c>
      <c r="Q22" s="613" t="s">
        <v>108</v>
      </c>
      <c r="R22" s="103"/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83"/>
      <c r="G23" s="357" t="s">
        <v>109</v>
      </c>
      <c r="H23" s="361">
        <f>'Base Preços MP'!G30</f>
        <v>2.1</v>
      </c>
      <c r="I23" s="315">
        <f>E22*21/100</f>
        <v>5.6069999999999993</v>
      </c>
      <c r="J23" s="359">
        <f t="shared" si="3"/>
        <v>0</v>
      </c>
      <c r="K23" s="111">
        <f t="shared" si="2"/>
        <v>75.133799999999994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613" t="s">
        <v>109</v>
      </c>
      <c r="R23" s="103"/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83"/>
      <c r="G24" s="357" t="s">
        <v>111</v>
      </c>
      <c r="H24" s="361">
        <f>'Base Preços MP'!G29</f>
        <v>10.3</v>
      </c>
      <c r="I24" s="315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613" t="s">
        <v>111</v>
      </c>
      <c r="R24" s="103"/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83"/>
      <c r="G25" s="357" t="s">
        <v>112</v>
      </c>
      <c r="H25" s="361">
        <f>'Base Preços MP'!G26</f>
        <v>0.53</v>
      </c>
      <c r="I25" s="315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613" t="s">
        <v>112</v>
      </c>
      <c r="R25" s="103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62">
        <f>'Base Preços MP'!G41</f>
        <v>1.76</v>
      </c>
      <c r="I26" s="369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613" t="s">
        <v>105</v>
      </c>
      <c r="R26" s="103"/>
      <c r="U26" s="144"/>
      <c r="V26" s="146"/>
    </row>
    <row r="27" spans="1:22" x14ac:dyDescent="0.2">
      <c r="A27" s="1"/>
      <c r="B27" s="682"/>
      <c r="C27" s="724"/>
      <c r="D27" s="725"/>
      <c r="E27" s="315">
        <f t="shared" si="1"/>
        <v>0</v>
      </c>
      <c r="F27" s="83"/>
      <c r="G27" s="357" t="s">
        <v>122</v>
      </c>
      <c r="H27" s="362">
        <f>'Base Preços MP'!G32</f>
        <v>1.84</v>
      </c>
      <c r="I27" s="369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613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62">
        <f>'Base Preços MP'!G11</f>
        <v>3.4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"/>
      <c r="H29" s="362">
        <f>'Base Preços MP'!G37</f>
        <v>52</v>
      </c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62">
        <f>'Base Preços MP'!G34</f>
        <v>7.75</v>
      </c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783" t="s">
        <v>172</v>
      </c>
      <c r="C31" s="784"/>
      <c r="D31" s="785"/>
      <c r="E31" s="370">
        <f>F31/10</f>
        <v>0</v>
      </c>
      <c r="F31" s="371"/>
      <c r="G31" s="103"/>
      <c r="H31" s="362">
        <f>'Base Preços MP'!G46</f>
        <v>1.7</v>
      </c>
      <c r="I31" s="103"/>
      <c r="J31" s="281">
        <f>F31*H31</f>
        <v>0</v>
      </c>
      <c r="K31" s="103"/>
      <c r="L31" s="786" t="str">
        <f>B31</f>
        <v>Ureia</v>
      </c>
      <c r="M31" s="787"/>
      <c r="N31" s="788"/>
      <c r="O31" s="372">
        <v>83.2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24">
        <f>SUM(E17:E31)</f>
        <v>100.00000000000001</v>
      </c>
      <c r="F32" s="4">
        <f>SUM(F17:F31)</f>
        <v>1000</v>
      </c>
      <c r="G32" s="103"/>
      <c r="H32" s="108"/>
      <c r="I32" s="103"/>
      <c r="J32" s="108"/>
      <c r="K32" s="103"/>
      <c r="L32" s="103"/>
      <c r="M32" s="103"/>
      <c r="N32" s="103"/>
      <c r="O32" s="121">
        <f>SUM(O17:O31)</f>
        <v>1393.2</v>
      </c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1.31</v>
      </c>
      <c r="E35" s="1"/>
      <c r="F35" s="1"/>
      <c r="G35" s="1"/>
      <c r="H35" s="17" t="s">
        <v>1</v>
      </c>
      <c r="I35" s="1"/>
      <c r="J35" s="25">
        <f>SUM(J17:J34)</f>
        <v>2376.2771999999995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259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0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526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524">
        <f>J35/J36</f>
        <v>2.3762771999999996</v>
      </c>
      <c r="F39" s="364"/>
      <c r="G39" s="3" t="s">
        <v>16</v>
      </c>
      <c r="H39" s="1"/>
      <c r="I39" s="39"/>
      <c r="J39" s="68">
        <f>E39*D35</f>
        <v>3.1129231319999997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521"/>
      <c r="E40" s="524">
        <v>0.09</v>
      </c>
      <c r="F40" s="16"/>
      <c r="G40" s="19" t="s">
        <v>17</v>
      </c>
      <c r="H40" s="4"/>
      <c r="I40" s="39"/>
      <c r="J40" s="68">
        <f>E40*D35</f>
        <v>0.1179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524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524">
        <v>0</v>
      </c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524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525">
        <f>E39+E40+E41+E42+E43</f>
        <v>2.4662771999999995</v>
      </c>
      <c r="F44" s="3"/>
      <c r="G44" s="3" t="s">
        <v>19</v>
      </c>
      <c r="H44" s="1"/>
      <c r="I44" s="33"/>
      <c r="J44" s="142">
        <f>J39+J40+J41+J42+J43</f>
        <v>3.2308231319999998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/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0.19151145038167938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0.65832061068702286</v>
      </c>
      <c r="F52" s="36">
        <f>'Base Preços MP'!C88</f>
        <v>0.86239999999999994</v>
      </c>
      <c r="G52" s="19" t="s">
        <v>536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1.0095419847328244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2.4522900763358777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/>
      <c r="D57" s="1"/>
      <c r="E57" s="1"/>
      <c r="F57" s="19"/>
      <c r="G57" s="4"/>
      <c r="H57" s="56" t="s">
        <v>323</v>
      </c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/>
      <c r="H58" s="56">
        <v>1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2.4662771999999995</v>
      </c>
      <c r="E59" s="67">
        <f>D59*D35</f>
        <v>3.2308231319999994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'[6]FUEL BLACK 20%'!A60:B60</f>
        <v>Contentor Incluido</v>
      </c>
      <c r="B60" s="694"/>
      <c r="C60" s="74">
        <v>1000</v>
      </c>
      <c r="D60" s="70">
        <f>E44/I46+D41+E49</f>
        <v>2.6577886503816788</v>
      </c>
      <c r="E60" s="70">
        <f>D60*D35</f>
        <v>3.4817031319999994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3.1245978106870225</v>
      </c>
      <c r="E63" s="70">
        <f>D63*D35</f>
        <v>4.0932231319999994</v>
      </c>
      <c r="F63" s="51" t="s">
        <v>537</v>
      </c>
      <c r="G63" s="465">
        <f>E63/0.92</f>
        <v>4.4491555782608687</v>
      </c>
      <c r="H63" s="465">
        <v>6</v>
      </c>
      <c r="I63" s="466"/>
      <c r="J63" s="467">
        <v>7</v>
      </c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3.4758191847328241</v>
      </c>
      <c r="E64" s="70">
        <f>D64*D35</f>
        <v>4.5533231320000001</v>
      </c>
      <c r="F64" s="61" t="s">
        <v>94</v>
      </c>
      <c r="G64" s="39"/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4.9185672763358772</v>
      </c>
      <c r="E65" s="70">
        <f>D65*D35</f>
        <v>6.4433231319999997</v>
      </c>
      <c r="F65" s="61" t="s">
        <v>95</v>
      </c>
      <c r="G65" s="8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609"/>
      <c r="F68" s="92"/>
      <c r="G68" s="609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609"/>
      <c r="F69" s="92"/>
      <c r="G69" s="609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L54:M54"/>
    <mergeCell ref="N54:O54"/>
    <mergeCell ref="P54:Q54"/>
    <mergeCell ref="A69:B69"/>
    <mergeCell ref="L55:M55"/>
    <mergeCell ref="N55:O55"/>
    <mergeCell ref="P55:Q55"/>
    <mergeCell ref="A66:B66"/>
    <mergeCell ref="A67:B67"/>
    <mergeCell ref="A68:B68"/>
    <mergeCell ref="A60:B60"/>
    <mergeCell ref="P50:Q50"/>
    <mergeCell ref="L51:M51"/>
    <mergeCell ref="N51:O51"/>
    <mergeCell ref="P51:Q51"/>
    <mergeCell ref="L53:M53"/>
    <mergeCell ref="N53:O53"/>
    <mergeCell ref="P53:Q53"/>
    <mergeCell ref="L52:M52"/>
    <mergeCell ref="N52:O52"/>
    <mergeCell ref="P52:Q52"/>
    <mergeCell ref="L50:M50"/>
    <mergeCell ref="N50:O50"/>
    <mergeCell ref="B30:D30"/>
    <mergeCell ref="L30:N30"/>
    <mergeCell ref="B31:D31"/>
    <mergeCell ref="L31:N31"/>
    <mergeCell ref="L45:Q45"/>
    <mergeCell ref="L48:M48"/>
    <mergeCell ref="N48:O48"/>
    <mergeCell ref="P48:Q48"/>
    <mergeCell ref="L49:M49"/>
    <mergeCell ref="N49:O49"/>
    <mergeCell ref="P49:Q49"/>
    <mergeCell ref="B27:D27"/>
    <mergeCell ref="L27:N27"/>
    <mergeCell ref="B28:D28"/>
    <mergeCell ref="L28:N28"/>
    <mergeCell ref="B29:D29"/>
    <mergeCell ref="L29:N29"/>
    <mergeCell ref="L47:M47"/>
    <mergeCell ref="N47:O47"/>
    <mergeCell ref="P47:Q47"/>
    <mergeCell ref="L46:M46"/>
    <mergeCell ref="N46:O46"/>
    <mergeCell ref="P46:Q46"/>
    <mergeCell ref="B23:D23"/>
    <mergeCell ref="L23:N23"/>
    <mergeCell ref="B25:D25"/>
    <mergeCell ref="L25:N25"/>
    <mergeCell ref="B26:D26"/>
    <mergeCell ref="L26:N26"/>
    <mergeCell ref="B24:D24"/>
    <mergeCell ref="L24:N24"/>
    <mergeCell ref="B20:D20"/>
    <mergeCell ref="L20:N20"/>
    <mergeCell ref="B21:D21"/>
    <mergeCell ref="L21:N21"/>
    <mergeCell ref="B22:D22"/>
    <mergeCell ref="L22:N22"/>
    <mergeCell ref="B19:D19"/>
    <mergeCell ref="L19:N19"/>
    <mergeCell ref="I6:K6"/>
    <mergeCell ref="I7:J7"/>
    <mergeCell ref="I8:J8"/>
    <mergeCell ref="G9:H9"/>
    <mergeCell ref="I9:J9"/>
    <mergeCell ref="I10:J10"/>
    <mergeCell ref="L14:M14"/>
    <mergeCell ref="N16:O16"/>
    <mergeCell ref="L17:N17"/>
    <mergeCell ref="B18:D18"/>
    <mergeCell ref="L18:N18"/>
    <mergeCell ref="B17:D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7" workbookViewId="0">
      <selection activeCell="J46" sqref="J46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7109375" customWidth="1"/>
  </cols>
  <sheetData>
    <row r="1" spans="1:16" ht="12.75" hidden="1" customHeight="1" x14ac:dyDescent="0.2">
      <c r="A1" t="s">
        <v>507</v>
      </c>
    </row>
    <row r="2" spans="1:16" ht="12.75" hidden="1" customHeight="1" x14ac:dyDescent="0.2"/>
    <row r="3" spans="1:16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6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1:16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1:16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719" t="s">
        <v>372</v>
      </c>
      <c r="J6" s="720"/>
      <c r="K6" s="720"/>
      <c r="L6" s="720"/>
      <c r="M6" s="720"/>
      <c r="N6" s="720"/>
      <c r="O6" s="721"/>
    </row>
    <row r="7" spans="1:16" ht="15.75" x14ac:dyDescent="0.25">
      <c r="A7" s="1"/>
      <c r="B7" s="3" t="s">
        <v>0</v>
      </c>
      <c r="C7" s="63" t="s">
        <v>202</v>
      </c>
      <c r="D7" s="63"/>
      <c r="E7" s="63"/>
      <c r="F7" s="63" t="s">
        <v>284</v>
      </c>
      <c r="G7" s="24"/>
      <c r="H7" s="572" t="s">
        <v>115</v>
      </c>
      <c r="I7" s="722"/>
      <c r="J7" s="663"/>
      <c r="K7" s="1"/>
      <c r="L7" s="103"/>
      <c r="M7" s="103"/>
      <c r="N7" s="103"/>
      <c r="O7" s="103"/>
    </row>
    <row r="8" spans="1:16" ht="17.25" customHeight="1" x14ac:dyDescent="0.25">
      <c r="A8" s="1"/>
      <c r="B8" s="3"/>
      <c r="C8" s="10"/>
      <c r="D8" s="10"/>
      <c r="E8" s="4"/>
      <c r="F8" s="4"/>
      <c r="G8" s="24"/>
      <c r="H8" s="511" t="s">
        <v>322</v>
      </c>
      <c r="I8" s="723"/>
      <c r="J8" s="665"/>
      <c r="K8" s="103"/>
      <c r="L8" s="103"/>
      <c r="M8" s="103"/>
      <c r="N8" s="103"/>
      <c r="O8" s="103"/>
    </row>
    <row r="9" spans="1:16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</row>
    <row r="10" spans="1:16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</row>
    <row r="11" spans="1:16" x14ac:dyDescent="0.2">
      <c r="A11" s="1"/>
      <c r="B11" s="3" t="s">
        <v>46</v>
      </c>
      <c r="C11" s="62">
        <v>43118</v>
      </c>
      <c r="D11" s="507"/>
      <c r="E11" s="4"/>
      <c r="F11" s="4"/>
      <c r="G11" s="1"/>
      <c r="H11" s="3" t="s">
        <v>47</v>
      </c>
      <c r="I11" s="64"/>
      <c r="J11" s="64"/>
      <c r="K11" s="103"/>
      <c r="L11" s="103"/>
      <c r="M11" s="103"/>
      <c r="N11" s="103"/>
      <c r="O11" s="103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</row>
    <row r="13" spans="1:16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</row>
    <row r="14" spans="1:16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716">
        <v>374</v>
      </c>
      <c r="O14" s="670"/>
    </row>
    <row r="15" spans="1:16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75" t="s">
        <v>67</v>
      </c>
      <c r="M15" s="575" t="s">
        <v>117</v>
      </c>
      <c r="N15" s="717"/>
      <c r="O15" s="718"/>
      <c r="P15" s="353" t="s">
        <v>153</v>
      </c>
    </row>
    <row r="16" spans="1:16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74" t="s">
        <v>121</v>
      </c>
      <c r="L16" s="195">
        <v>1000</v>
      </c>
      <c r="M16" s="196">
        <f>L16*D35</f>
        <v>1190</v>
      </c>
      <c r="N16" s="714"/>
      <c r="O16" s="715"/>
      <c r="P16" s="355"/>
    </row>
    <row r="17" spans="1:16" x14ac:dyDescent="0.2">
      <c r="A17" s="1"/>
      <c r="B17" s="710" t="s">
        <v>49</v>
      </c>
      <c r="C17" s="711"/>
      <c r="D17" s="712"/>
      <c r="E17" s="315">
        <f>F17/10</f>
        <v>18.330000000000002</v>
      </c>
      <c r="F17" s="356">
        <v>183.3</v>
      </c>
      <c r="G17" s="357" t="s">
        <v>125</v>
      </c>
      <c r="H17" s="358">
        <f>'[1]Base Preços MP'!G10</f>
        <v>0.01</v>
      </c>
      <c r="I17" s="170">
        <f>E20*17/100+E26*7/100</f>
        <v>0.34</v>
      </c>
      <c r="J17" s="359">
        <f>F17*H17</f>
        <v>1.8330000000000002</v>
      </c>
      <c r="K17" s="111">
        <f>I17*1.325*10</f>
        <v>4.5049999999999999</v>
      </c>
      <c r="L17" s="676" t="str">
        <f t="shared" ref="L17:L30" si="0">B17</f>
        <v>Agua</v>
      </c>
      <c r="M17" s="677"/>
      <c r="N17" s="678"/>
      <c r="O17" s="117">
        <f>F17*M16/1000</f>
        <v>218.12700000000001</v>
      </c>
      <c r="P17" s="197" t="s">
        <v>169</v>
      </c>
    </row>
    <row r="18" spans="1:16" x14ac:dyDescent="0.2">
      <c r="A18" s="1"/>
      <c r="B18" s="384" t="s">
        <v>509</v>
      </c>
      <c r="C18" s="227"/>
      <c r="D18" s="228"/>
      <c r="E18" s="315">
        <f t="shared" ref="E18:E30" si="1">F18/10</f>
        <v>10</v>
      </c>
      <c r="F18" s="260">
        <v>100</v>
      </c>
      <c r="G18" s="357" t="s">
        <v>69</v>
      </c>
      <c r="H18" s="360">
        <f>'MAP LIQUIDO NÃO USAR'!D51</f>
        <v>2.6347359999999997</v>
      </c>
      <c r="I18" s="170">
        <f>E19*60/100</f>
        <v>2.7420000000000004</v>
      </c>
      <c r="J18" s="359">
        <f>F18*H18</f>
        <v>263.47359999999998</v>
      </c>
      <c r="K18" s="111">
        <f t="shared" ref="K18:K27" si="2">I18*1.325*10</f>
        <v>36.331500000000005</v>
      </c>
      <c r="L18" s="676" t="str">
        <f t="shared" si="0"/>
        <v>MAP 4-30 LIQUIDO</v>
      </c>
      <c r="M18" s="677"/>
      <c r="N18" s="678"/>
      <c r="O18" s="117">
        <f>F18*M16/1000</f>
        <v>119</v>
      </c>
      <c r="P18" s="197">
        <v>2.11</v>
      </c>
    </row>
    <row r="19" spans="1:16" x14ac:dyDescent="0.2">
      <c r="A19" s="1"/>
      <c r="B19" s="384" t="s">
        <v>408</v>
      </c>
      <c r="C19" s="227"/>
      <c r="D19" s="228"/>
      <c r="E19" s="315">
        <f t="shared" si="1"/>
        <v>4.57</v>
      </c>
      <c r="F19" s="260">
        <v>45.7</v>
      </c>
      <c r="G19" s="357" t="s">
        <v>110</v>
      </c>
      <c r="H19" s="360">
        <f>'Base Preços MP'!G15</f>
        <v>4.95</v>
      </c>
      <c r="I19" s="170">
        <f>E18*75.5/100+E25*15/100</f>
        <v>7.55</v>
      </c>
      <c r="J19" s="359">
        <f t="shared" ref="J19:J27" si="3">F19*H19</f>
        <v>226.21500000000003</v>
      </c>
      <c r="K19" s="111">
        <f t="shared" si="2"/>
        <v>100.03749999999999</v>
      </c>
      <c r="L19" s="676" t="str">
        <f t="shared" si="0"/>
        <v>ACIDO FOSFORICO</v>
      </c>
      <c r="M19" s="677"/>
      <c r="N19" s="678"/>
      <c r="O19" s="117">
        <f>F19*M16/1000</f>
        <v>54.383000000000003</v>
      </c>
      <c r="P19" s="197">
        <v>6.02</v>
      </c>
    </row>
    <row r="20" spans="1:16" x14ac:dyDescent="0.2">
      <c r="A20" s="1"/>
      <c r="B20" s="683" t="s">
        <v>113</v>
      </c>
      <c r="C20" s="704"/>
      <c r="D20" s="705"/>
      <c r="E20" s="315">
        <f t="shared" si="1"/>
        <v>2</v>
      </c>
      <c r="F20" s="260">
        <v>20</v>
      </c>
      <c r="G20" s="357" t="s">
        <v>106</v>
      </c>
      <c r="H20" s="361">
        <f>'Base Preços MP'!G46</f>
        <v>1.7</v>
      </c>
      <c r="I20" s="170">
        <f>E27*27/100</f>
        <v>0</v>
      </c>
      <c r="J20" s="359">
        <f>H20*F20</f>
        <v>34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23.8</v>
      </c>
      <c r="P20" s="197">
        <v>3.64</v>
      </c>
    </row>
    <row r="21" spans="1:16" x14ac:dyDescent="0.2">
      <c r="A21" s="1"/>
      <c r="B21" s="384" t="s">
        <v>502</v>
      </c>
      <c r="C21" s="227"/>
      <c r="D21" s="578">
        <v>0.6</v>
      </c>
      <c r="E21" s="315">
        <f t="shared" si="1"/>
        <v>64.599999999999994</v>
      </c>
      <c r="F21" s="260">
        <v>646</v>
      </c>
      <c r="G21" s="357" t="s">
        <v>107</v>
      </c>
      <c r="H21" s="361">
        <f>'Base Preços MP'!G25</f>
        <v>1.64</v>
      </c>
      <c r="I21" s="171">
        <f>E26*7/100</f>
        <v>0</v>
      </c>
      <c r="J21" s="359">
        <f t="shared" si="3"/>
        <v>1059.4399999999998</v>
      </c>
      <c r="K21" s="111">
        <f t="shared" si="2"/>
        <v>0</v>
      </c>
      <c r="L21" s="686" t="str">
        <f t="shared" si="0"/>
        <v>CLORETO DE POTASSIO PÓ</v>
      </c>
      <c r="M21" s="686"/>
      <c r="N21" s="686"/>
      <c r="O21" s="117">
        <f>F21*M16/1000</f>
        <v>768.74</v>
      </c>
      <c r="P21" s="197">
        <v>0.81</v>
      </c>
    </row>
    <row r="22" spans="1:16" x14ac:dyDescent="0.2">
      <c r="A22" s="1"/>
      <c r="B22" s="706" t="s">
        <v>461</v>
      </c>
      <c r="C22" s="707"/>
      <c r="D22" s="708"/>
      <c r="E22" s="315">
        <f t="shared" si="1"/>
        <v>0.35</v>
      </c>
      <c r="F22" s="260">
        <v>3.5</v>
      </c>
      <c r="G22" s="357" t="s">
        <v>108</v>
      </c>
      <c r="H22" s="361">
        <f>'Base Preços MP'!G79</f>
        <v>4.7</v>
      </c>
      <c r="I22" s="171">
        <f>E21*14/100</f>
        <v>9.0439999999999987</v>
      </c>
      <c r="J22" s="359">
        <f>F22*H22</f>
        <v>16.45</v>
      </c>
      <c r="K22" s="111">
        <f t="shared" si="2"/>
        <v>119.83299999999998</v>
      </c>
      <c r="L22" s="687" t="str">
        <f t="shared" si="0"/>
        <v>AMINOACIDOS</v>
      </c>
      <c r="M22" s="687"/>
      <c r="N22" s="687"/>
      <c r="O22" s="117">
        <f>F22*M16/1000</f>
        <v>4.165</v>
      </c>
      <c r="P22" s="198">
        <v>2.9000000000000001E-2</v>
      </c>
    </row>
    <row r="23" spans="1:16" x14ac:dyDescent="0.2">
      <c r="A23" s="1"/>
      <c r="B23" s="513" t="s">
        <v>462</v>
      </c>
      <c r="C23" s="514"/>
      <c r="D23" s="515"/>
      <c r="E23" s="315">
        <f t="shared" si="1"/>
        <v>0.15</v>
      </c>
      <c r="F23" s="260">
        <v>1.5</v>
      </c>
      <c r="G23" s="357" t="s">
        <v>109</v>
      </c>
      <c r="H23" s="361">
        <f>'Base Preços MP'!G76</f>
        <v>53.78</v>
      </c>
      <c r="I23" s="171">
        <f>E22*21/100</f>
        <v>7.3499999999999996E-2</v>
      </c>
      <c r="J23" s="359">
        <f t="shared" si="3"/>
        <v>80.67</v>
      </c>
      <c r="K23" s="111">
        <f t="shared" si="2"/>
        <v>0.97387499999999982</v>
      </c>
      <c r="L23" s="687" t="str">
        <f t="shared" si="0"/>
        <v>ALGAS</v>
      </c>
      <c r="M23" s="687"/>
      <c r="N23" s="687"/>
      <c r="O23" s="117">
        <f>F23*M16/1000</f>
        <v>1.7849999999999999</v>
      </c>
      <c r="P23" s="198">
        <v>1.7999999999999999E-2</v>
      </c>
    </row>
    <row r="24" spans="1:16" x14ac:dyDescent="0.2">
      <c r="A24" s="1"/>
      <c r="B24" s="513"/>
      <c r="C24" s="514"/>
      <c r="D24" s="515"/>
      <c r="E24" s="315">
        <f t="shared" si="1"/>
        <v>0</v>
      </c>
      <c r="F24" s="260"/>
      <c r="G24" s="357" t="s">
        <v>111</v>
      </c>
      <c r="H24" s="361">
        <f>'[2]Base Preços MP'!G30</f>
        <v>1.84</v>
      </c>
      <c r="I24" s="510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98">
        <v>1.7999999999999999E-2</v>
      </c>
    </row>
    <row r="25" spans="1:16" x14ac:dyDescent="0.2">
      <c r="A25" s="1"/>
      <c r="B25" s="226"/>
      <c r="C25" s="227"/>
      <c r="D25" s="228"/>
      <c r="E25" s="315">
        <f t="shared" si="1"/>
        <v>0</v>
      </c>
      <c r="F25" s="260"/>
      <c r="G25" s="357" t="s">
        <v>112</v>
      </c>
      <c r="H25" s="361">
        <f>'[2]Base Preços MP'!G54</f>
        <v>4.18</v>
      </c>
      <c r="I25" s="510">
        <f>E23*13/100</f>
        <v>1.95E-2</v>
      </c>
      <c r="J25" s="359">
        <f>F25*H25</f>
        <v>0</v>
      </c>
      <c r="K25" s="111">
        <f t="shared" si="2"/>
        <v>0.25837500000000002</v>
      </c>
      <c r="L25" s="687">
        <f t="shared" si="0"/>
        <v>0</v>
      </c>
      <c r="M25" s="687"/>
      <c r="N25" s="687"/>
      <c r="O25" s="117">
        <f>F25*M16/1000</f>
        <v>0</v>
      </c>
      <c r="P25" s="198">
        <v>0.105</v>
      </c>
    </row>
    <row r="26" spans="1:16" x14ac:dyDescent="0.2">
      <c r="A26" s="1"/>
      <c r="B26" s="226"/>
      <c r="C26" s="227"/>
      <c r="D26" s="228"/>
      <c r="E26" s="315">
        <f t="shared" si="1"/>
        <v>0</v>
      </c>
      <c r="F26" s="260"/>
      <c r="G26" s="357" t="s">
        <v>105</v>
      </c>
      <c r="H26" s="362">
        <f>'[2]Base Preços MP'!G56</f>
        <v>1.1499999999999999</v>
      </c>
      <c r="I26" s="171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98">
        <v>8.0000000000000002E-3</v>
      </c>
    </row>
    <row r="27" spans="1:16" x14ac:dyDescent="0.2">
      <c r="A27" s="1"/>
      <c r="B27" s="226"/>
      <c r="C27" s="227"/>
      <c r="D27" s="228"/>
      <c r="E27" s="315">
        <f t="shared" si="1"/>
        <v>0</v>
      </c>
      <c r="F27" s="260"/>
      <c r="G27" s="357" t="s">
        <v>122</v>
      </c>
      <c r="H27" s="362">
        <f>'[2]Base Preços MP'!G59</f>
        <v>5.08</v>
      </c>
      <c r="I27" s="171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98">
        <v>6.0000000000000001E-3</v>
      </c>
    </row>
    <row r="28" spans="1:16" x14ac:dyDescent="0.2">
      <c r="A28" s="1"/>
      <c r="B28" s="226"/>
      <c r="C28" s="227"/>
      <c r="D28" s="228"/>
      <c r="E28" s="315">
        <f t="shared" si="1"/>
        <v>0</v>
      </c>
      <c r="F28" s="260"/>
      <c r="G28" s="1"/>
      <c r="H28" s="362">
        <f>'[2]Base Preços MP'!G57</f>
        <v>3.25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97"/>
    </row>
    <row r="29" spans="1:16" x14ac:dyDescent="0.2">
      <c r="A29" s="1"/>
      <c r="B29" s="226"/>
      <c r="C29" s="227"/>
      <c r="D29" s="228"/>
      <c r="E29" s="315">
        <f t="shared" si="1"/>
        <v>0</v>
      </c>
      <c r="F29" s="260"/>
      <c r="G29" s="1"/>
      <c r="H29" s="362">
        <f>'[2]Base Preços MP'!G11</f>
        <v>3.6</v>
      </c>
      <c r="I29" s="1"/>
      <c r="J29" s="359">
        <f>F29*H29</f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97"/>
    </row>
    <row r="30" spans="1:16" x14ac:dyDescent="0.2">
      <c r="A30" s="1"/>
      <c r="B30" s="226"/>
      <c r="C30" s="227"/>
      <c r="D30" s="228"/>
      <c r="E30" s="315">
        <f t="shared" si="1"/>
        <v>0</v>
      </c>
      <c r="F30" s="260"/>
      <c r="G30" s="1"/>
      <c r="H30" s="362">
        <f>'[2]Base Preços MP'!G35</f>
        <v>3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97"/>
    </row>
    <row r="31" spans="1:16" x14ac:dyDescent="0.2">
      <c r="A31" s="1"/>
      <c r="B31" s="226"/>
      <c r="C31" s="227"/>
      <c r="D31" s="228"/>
      <c r="E31" s="147">
        <f>SUM(E17:E30)</f>
        <v>100</v>
      </c>
      <c r="F31" s="260"/>
      <c r="G31" s="103"/>
      <c r="H31" s="363">
        <f>'[2]Base Preços MP'!G32</f>
        <v>1.82</v>
      </c>
      <c r="I31" s="103"/>
      <c r="J31" s="281">
        <f>F31*H31</f>
        <v>0</v>
      </c>
      <c r="K31" s="103"/>
      <c r="L31" s="703" t="s">
        <v>43</v>
      </c>
      <c r="M31" s="692"/>
      <c r="N31" s="692"/>
      <c r="O31" s="193">
        <f>SUM(O17:O30)</f>
        <v>1190</v>
      </c>
    </row>
    <row r="32" spans="1:16" x14ac:dyDescent="0.2">
      <c r="A32" s="1"/>
      <c r="B32" s="698" t="s">
        <v>238</v>
      </c>
      <c r="C32" s="699"/>
      <c r="D32" s="700"/>
      <c r="E32" s="1"/>
      <c r="F32" s="261">
        <f>SUM(F17:F31)</f>
        <v>1000</v>
      </c>
      <c r="G32" s="103"/>
      <c r="H32" s="108"/>
      <c r="I32" s="103"/>
      <c r="J32" s="108"/>
      <c r="K32" s="103"/>
      <c r="L32" s="103"/>
      <c r="M32" s="103"/>
      <c r="N32" s="103"/>
      <c r="O32" s="103"/>
    </row>
    <row r="33" spans="1:15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</row>
    <row r="34" spans="1:15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</row>
    <row r="35" spans="1:15" ht="13.5" thickBot="1" x14ac:dyDescent="0.25">
      <c r="A35" s="1"/>
      <c r="B35" s="3" t="s">
        <v>2</v>
      </c>
      <c r="C35" s="1"/>
      <c r="D35" s="82">
        <v>1.19</v>
      </c>
      <c r="E35" s="1"/>
      <c r="F35" s="1"/>
      <c r="G35" s="1"/>
      <c r="H35" s="17" t="s">
        <v>1</v>
      </c>
      <c r="I35" s="1"/>
      <c r="J35" s="25">
        <f>SUM(J17:J34)</f>
        <v>1682.0816</v>
      </c>
      <c r="K35" s="103"/>
      <c r="L35" s="103" t="s">
        <v>254</v>
      </c>
      <c r="M35" s="103" t="s">
        <v>260</v>
      </c>
      <c r="N35" s="103"/>
      <c r="O35" s="103"/>
    </row>
    <row r="36" spans="1:15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35</v>
      </c>
      <c r="N36" s="103"/>
      <c r="O36" s="103"/>
    </row>
    <row r="37" spans="1:15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</row>
    <row r="38" spans="1:15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</row>
    <row r="39" spans="1:15" x14ac:dyDescent="0.2">
      <c r="A39" s="1"/>
      <c r="B39" s="3" t="s">
        <v>10</v>
      </c>
      <c r="C39" s="1"/>
      <c r="D39" s="520"/>
      <c r="E39" s="68">
        <f>J35/J36</f>
        <v>1.6820816000000001</v>
      </c>
      <c r="F39" s="364"/>
      <c r="G39" s="3" t="s">
        <v>16</v>
      </c>
      <c r="H39" s="1"/>
      <c r="I39" s="39"/>
      <c r="J39" s="68">
        <f>E39*D35</f>
        <v>2.0016771040000001</v>
      </c>
      <c r="K39" s="103"/>
      <c r="L39" s="103"/>
      <c r="M39" s="103"/>
      <c r="N39" s="103"/>
      <c r="O39" s="103"/>
    </row>
    <row r="40" spans="1:15" x14ac:dyDescent="0.2">
      <c r="A40" s="1"/>
      <c r="B40" s="19" t="s">
        <v>11</v>
      </c>
      <c r="C40" s="4"/>
      <c r="D40" s="400"/>
      <c r="E40" s="68">
        <v>0.1</v>
      </c>
      <c r="F40" s="16"/>
      <c r="G40" s="19" t="s">
        <v>17</v>
      </c>
      <c r="H40" s="4"/>
      <c r="I40" s="39"/>
      <c r="J40" s="68">
        <f>E40*D35</f>
        <v>0.11899999999999999</v>
      </c>
      <c r="K40" s="103"/>
      <c r="L40" s="103"/>
      <c r="M40" s="103"/>
      <c r="N40" s="103"/>
      <c r="O40" s="103"/>
    </row>
    <row r="41" spans="1:15" x14ac:dyDescent="0.2">
      <c r="A41" s="1"/>
      <c r="B41" s="3" t="s">
        <v>14</v>
      </c>
      <c r="C41" s="1"/>
      <c r="D41" s="400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</row>
    <row r="42" spans="1:15" x14ac:dyDescent="0.2">
      <c r="A42" s="1"/>
      <c r="B42" s="3" t="s">
        <v>79</v>
      </c>
      <c r="C42" s="1"/>
      <c r="D42" s="400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</row>
    <row r="43" spans="1:15" x14ac:dyDescent="0.2">
      <c r="A43" s="1"/>
      <c r="B43" s="3" t="s">
        <v>42</v>
      </c>
      <c r="C43" s="1"/>
      <c r="D43" s="400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</row>
    <row r="44" spans="1:15" x14ac:dyDescent="0.2">
      <c r="A44" s="1"/>
      <c r="B44" s="3" t="s">
        <v>12</v>
      </c>
      <c r="C44" s="1"/>
      <c r="D44" s="400"/>
      <c r="E44" s="142">
        <f>E39+E40+E41+E42+E43</f>
        <v>1.7820816000000002</v>
      </c>
      <c r="F44" s="3"/>
      <c r="G44" s="3" t="s">
        <v>19</v>
      </c>
      <c r="H44" s="1"/>
      <c r="I44" s="33"/>
      <c r="J44" s="142">
        <f>J39+J40+J41+J42+J43</f>
        <v>2.1206771040000003</v>
      </c>
      <c r="K44" s="103"/>
      <c r="L44" s="103"/>
      <c r="M44" s="103"/>
      <c r="N44" s="103"/>
      <c r="O44" s="103"/>
    </row>
    <row r="45" spans="1:15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</row>
    <row r="46" spans="1:15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</row>
    <row r="47" spans="1:15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</row>
    <row r="48" spans="1:15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</row>
    <row r="49" spans="1:15" x14ac:dyDescent="0.2">
      <c r="A49" s="1"/>
      <c r="B49" s="1"/>
      <c r="C49" s="1"/>
      <c r="D49" s="24" t="s">
        <v>60</v>
      </c>
      <c r="E49" s="36">
        <f>F49/D35</f>
        <v>0.21082352941176472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</row>
    <row r="50" spans="1:15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'[1]Base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</row>
    <row r="51" spans="1:15" x14ac:dyDescent="0.2">
      <c r="A51" s="1"/>
      <c r="B51" s="1"/>
      <c r="C51" s="1"/>
      <c r="D51" s="24" t="s">
        <v>50</v>
      </c>
      <c r="E51" s="36">
        <f>F51/D35</f>
        <v>0.68907563025210083</v>
      </c>
      <c r="F51" s="36">
        <f>'[1]Base Preços MP'!C66</f>
        <v>0.82</v>
      </c>
      <c r="G51" s="4"/>
      <c r="H51" s="4"/>
      <c r="I51" s="6"/>
      <c r="J51" s="20"/>
      <c r="K51" s="103"/>
      <c r="L51" s="697"/>
      <c r="M51" s="697"/>
      <c r="N51" s="697"/>
      <c r="O51" s="697"/>
    </row>
    <row r="52" spans="1:15" x14ac:dyDescent="0.2">
      <c r="A52" s="1"/>
      <c r="B52" s="1"/>
      <c r="C52" s="5"/>
      <c r="D52" s="24" t="s">
        <v>50</v>
      </c>
      <c r="E52" s="36">
        <f>F52/D35</f>
        <v>0.46252100840336147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</row>
    <row r="53" spans="1:15" x14ac:dyDescent="0.2">
      <c r="A53" s="1"/>
      <c r="B53" s="1"/>
      <c r="C53" s="5"/>
      <c r="D53" s="24" t="s">
        <v>59</v>
      </c>
      <c r="E53" s="36">
        <f>F53/D35</f>
        <v>1.1113445378151261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</row>
    <row r="54" spans="1:15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2.6995798319327733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</row>
    <row r="55" spans="1:15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</row>
    <row r="56" spans="1:15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</row>
    <row r="57" spans="1:15" x14ac:dyDescent="0.2">
      <c r="A57" s="1"/>
      <c r="B57" s="1"/>
      <c r="C57" s="523" t="s">
        <v>508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</row>
    <row r="58" spans="1:15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57" t="s">
        <v>463</v>
      </c>
      <c r="H58" s="56" t="s">
        <v>588</v>
      </c>
      <c r="I58" s="19"/>
      <c r="J58" s="41"/>
      <c r="K58" s="103"/>
      <c r="L58" s="103"/>
      <c r="M58" s="103"/>
      <c r="N58" s="103"/>
      <c r="O58" s="103"/>
    </row>
    <row r="59" spans="1:15" x14ac:dyDescent="0.2">
      <c r="A59" s="1"/>
      <c r="B59" s="1"/>
      <c r="C59" s="66" t="s">
        <v>23</v>
      </c>
      <c r="D59" s="67">
        <f>(E44/I46)+D41</f>
        <v>1.7820816000000002</v>
      </c>
      <c r="E59" s="67">
        <f>(E44/I46)*D35+D41*D35</f>
        <v>2.1206771039999999</v>
      </c>
      <c r="F59" s="72" t="s">
        <v>88</v>
      </c>
      <c r="G59" s="33"/>
      <c r="H59" s="56" t="s">
        <v>589</v>
      </c>
      <c r="I59" s="19" t="s">
        <v>570</v>
      </c>
      <c r="J59" s="41"/>
      <c r="K59" s="103"/>
      <c r="L59" s="103"/>
      <c r="M59" s="103"/>
      <c r="N59" s="103"/>
      <c r="O59" s="103"/>
    </row>
    <row r="60" spans="1:15" x14ac:dyDescent="0.2">
      <c r="A60" s="670" t="str">
        <f>'[1]FUEL BLACK 20%'!A60:B60</f>
        <v>Contentor Incluido</v>
      </c>
      <c r="B60" s="694"/>
      <c r="C60" s="74">
        <v>1000</v>
      </c>
      <c r="D60" s="70">
        <f>(E44+E49)/I46</f>
        <v>1.9929051294117648</v>
      </c>
      <c r="E60" s="70">
        <f>(J44+F49)/I46</f>
        <v>2.3715571040000003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</row>
    <row r="61" spans="1:15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</row>
    <row r="62" spans="1:15" x14ac:dyDescent="0.2">
      <c r="A62" s="1"/>
      <c r="B62" s="1"/>
      <c r="C62" s="69">
        <v>25</v>
      </c>
      <c r="D62" s="70">
        <f>E44/I46+E51</f>
        <v>2.4711572302521008</v>
      </c>
      <c r="E62" s="70">
        <f>D62*D35</f>
        <v>2.9406771039999997</v>
      </c>
      <c r="F62" s="61" t="s">
        <v>573</v>
      </c>
      <c r="G62" s="33"/>
      <c r="H62" s="39">
        <f>E62+1.5</f>
        <v>4.4406771039999997</v>
      </c>
      <c r="I62" s="319">
        <f>H62/3.7</f>
        <v>1.200183001081081</v>
      </c>
      <c r="J62" s="1"/>
      <c r="K62" s="103"/>
      <c r="L62" s="103"/>
      <c r="M62" s="103"/>
      <c r="N62" s="103"/>
      <c r="O62" s="103"/>
    </row>
    <row r="63" spans="1:15" x14ac:dyDescent="0.2">
      <c r="A63" s="1"/>
      <c r="B63" s="1"/>
      <c r="C63" s="69">
        <v>25</v>
      </c>
      <c r="D63" s="70">
        <f>(E44/I46)+D41+E52</f>
        <v>2.2446026084033615</v>
      </c>
      <c r="E63" s="70">
        <f>(E44/I46)*D35+D41*D35+F52</f>
        <v>2.6710771040000001</v>
      </c>
      <c r="F63" s="51" t="s">
        <v>90</v>
      </c>
      <c r="G63" s="33">
        <f>E63/0.88</f>
        <v>3.035314890909091</v>
      </c>
      <c r="H63" s="33"/>
      <c r="I63" s="319"/>
      <c r="J63" s="1"/>
      <c r="K63" s="103"/>
      <c r="L63" s="103"/>
      <c r="M63" s="103"/>
      <c r="N63" s="103"/>
      <c r="O63" s="103"/>
    </row>
    <row r="64" spans="1:15" x14ac:dyDescent="0.2">
      <c r="A64" s="1"/>
      <c r="B64" s="1"/>
      <c r="C64" s="69">
        <v>5</v>
      </c>
      <c r="D64" s="70">
        <f>(E44/I46)+D41+E53</f>
        <v>2.8934261378151263</v>
      </c>
      <c r="E64" s="70">
        <f>D64*D35</f>
        <v>3.4431771040000001</v>
      </c>
      <c r="F64" s="61" t="s">
        <v>94</v>
      </c>
      <c r="G64" s="39">
        <f>E64/0.88</f>
        <v>3.9127012545454547</v>
      </c>
      <c r="H64" s="33">
        <f>E64+1.5</f>
        <v>4.9431771040000001</v>
      </c>
      <c r="I64" s="33">
        <f>H64/3.7</f>
        <v>1.3359938118918919</v>
      </c>
      <c r="J64" s="1"/>
      <c r="K64" s="103"/>
      <c r="L64" s="103"/>
      <c r="M64" s="103"/>
      <c r="N64" s="103"/>
      <c r="O64" s="103"/>
    </row>
    <row r="65" spans="1:15" x14ac:dyDescent="0.2">
      <c r="A65" s="86"/>
      <c r="B65" s="86"/>
      <c r="C65" s="69">
        <v>1</v>
      </c>
      <c r="D65" s="70">
        <f>E44/I46+D41+E54</f>
        <v>4.481661431932773</v>
      </c>
      <c r="E65" s="70">
        <f>D65*D35</f>
        <v>5.3331771039999998</v>
      </c>
      <c r="F65" s="61" t="s">
        <v>95</v>
      </c>
      <c r="G65" s="87">
        <f>E65/0.88</f>
        <v>6.0604285272727267</v>
      </c>
      <c r="H65" s="33">
        <f>E65+1.5</f>
        <v>6.8331771039999998</v>
      </c>
      <c r="I65" s="33">
        <f>H65/3.7</f>
        <v>1.8468046227027026</v>
      </c>
      <c r="J65" s="1"/>
      <c r="K65" s="103"/>
      <c r="L65" s="103"/>
      <c r="M65" s="103"/>
      <c r="N65" s="103"/>
      <c r="O65" s="103"/>
    </row>
    <row r="66" spans="1:15" x14ac:dyDescent="0.2">
      <c r="A66" s="695"/>
      <c r="B66" s="695"/>
      <c r="C66" s="85"/>
      <c r="D66" s="237"/>
      <c r="E66" s="86"/>
      <c r="F66" s="86"/>
      <c r="G66" s="86"/>
      <c r="H66" s="33"/>
      <c r="I66" s="24"/>
      <c r="J66" s="1"/>
      <c r="K66" s="103"/>
      <c r="L66" s="103"/>
      <c r="M66" s="103"/>
      <c r="N66" s="103"/>
      <c r="O66" s="103"/>
    </row>
    <row r="67" spans="1:15" x14ac:dyDescent="0.2">
      <c r="A67" s="696"/>
      <c r="B67" s="696"/>
      <c r="C67" s="90"/>
      <c r="D67" s="90"/>
      <c r="E67" s="90"/>
      <c r="F67" s="90"/>
      <c r="G67" s="90"/>
      <c r="H67" s="516"/>
      <c r="I67" s="1"/>
      <c r="J67" s="1"/>
      <c r="K67" s="103"/>
      <c r="L67" s="103"/>
      <c r="M67" s="103"/>
      <c r="N67" s="103"/>
      <c r="O67" s="103"/>
    </row>
    <row r="68" spans="1:15" x14ac:dyDescent="0.2">
      <c r="A68" s="693"/>
      <c r="B68" s="693"/>
      <c r="C68" s="93"/>
      <c r="D68" s="92"/>
      <c r="E68" s="573"/>
      <c r="F68" s="92"/>
      <c r="G68" s="573"/>
      <c r="H68" s="73"/>
      <c r="I68" s="1"/>
      <c r="J68" s="1"/>
      <c r="K68" s="103"/>
      <c r="L68" s="103"/>
      <c r="M68" s="103"/>
      <c r="N68" s="103"/>
      <c r="O68" s="103"/>
    </row>
    <row r="69" spans="1:15" x14ac:dyDescent="0.2">
      <c r="A69" s="693"/>
      <c r="B69" s="693"/>
      <c r="C69" s="93"/>
      <c r="D69" s="92"/>
      <c r="E69" s="573"/>
      <c r="F69" s="92"/>
      <c r="G69" s="573"/>
      <c r="H69" s="73"/>
      <c r="I69" s="1"/>
      <c r="J69" s="1"/>
      <c r="K69" s="103"/>
      <c r="L69" s="103"/>
      <c r="M69" s="103"/>
      <c r="N69" s="103"/>
      <c r="O69" s="103"/>
    </row>
  </sheetData>
  <mergeCells count="54">
    <mergeCell ref="I6:O6"/>
    <mergeCell ref="I7:J7"/>
    <mergeCell ref="I8:J8"/>
    <mergeCell ref="L18:N18"/>
    <mergeCell ref="L21:N21"/>
    <mergeCell ref="G9:H9"/>
    <mergeCell ref="I9:J9"/>
    <mergeCell ref="B17:D17"/>
    <mergeCell ref="L17:N17"/>
    <mergeCell ref="L19:N19"/>
    <mergeCell ref="I10:J10"/>
    <mergeCell ref="L14:M14"/>
    <mergeCell ref="N14:O15"/>
    <mergeCell ref="N16:O16"/>
    <mergeCell ref="L28:N28"/>
    <mergeCell ref="L29:N29"/>
    <mergeCell ref="L30:N30"/>
    <mergeCell ref="L31:N31"/>
    <mergeCell ref="B20:D20"/>
    <mergeCell ref="L20:N20"/>
    <mergeCell ref="L23:N23"/>
    <mergeCell ref="L24:N24"/>
    <mergeCell ref="L25:N25"/>
    <mergeCell ref="L26:N26"/>
    <mergeCell ref="L27:N27"/>
    <mergeCell ref="B22:D22"/>
    <mergeCell ref="L22:N22"/>
    <mergeCell ref="B32:D32"/>
    <mergeCell ref="L45:O45"/>
    <mergeCell ref="L47:M47"/>
    <mergeCell ref="N47:O47"/>
    <mergeCell ref="L48:M48"/>
    <mergeCell ref="N48:O48"/>
    <mergeCell ref="L46:M46"/>
    <mergeCell ref="N46:O46"/>
    <mergeCell ref="L49:M49"/>
    <mergeCell ref="N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4:M54"/>
    <mergeCell ref="N54:O54"/>
    <mergeCell ref="A68:B68"/>
    <mergeCell ref="A69:B69"/>
    <mergeCell ref="L55:M55"/>
    <mergeCell ref="N55:O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70"/>
  <sheetViews>
    <sheetView topLeftCell="A36" zoomScale="84" zoomScaleNormal="84" workbookViewId="0">
      <selection activeCell="H19" sqref="H19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42578125" customWidth="1"/>
    <col min="17" max="17" width="9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133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296"/>
      <c r="F9" s="296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/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135" t="s">
        <v>121</v>
      </c>
      <c r="L16" s="118">
        <v>28000</v>
      </c>
      <c r="M16" s="116">
        <f>L16*D36</f>
        <v>40040</v>
      </c>
      <c r="N16" s="671"/>
      <c r="O16" s="672"/>
      <c r="P16" s="138" t="s">
        <v>152</v>
      </c>
      <c r="Q16" s="134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42.11</v>
      </c>
      <c r="F17" s="110">
        <v>421.1</v>
      </c>
      <c r="G17" s="114" t="s">
        <v>125</v>
      </c>
      <c r="H17" s="115">
        <f>'Base Preços MP'!G10</f>
        <v>0.01</v>
      </c>
      <c r="I17" s="114">
        <f>E20*21/100+E26*7/100+E22*6/100+E21*5/100</f>
        <v>0</v>
      </c>
      <c r="J17" s="151">
        <f>F17*H17</f>
        <v>4.2110000000000003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16860.844000000001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82" t="s">
        <v>604</v>
      </c>
      <c r="C18" s="680"/>
      <c r="D18" s="681"/>
      <c r="E18" s="101">
        <f t="shared" ref="E18:E31" si="1">F18/10</f>
        <v>57.89</v>
      </c>
      <c r="F18" s="83">
        <v>578.9</v>
      </c>
      <c r="G18" s="114" t="s">
        <v>69</v>
      </c>
      <c r="H18" s="154">
        <f>'Base Preços MP'!G45</f>
        <v>1.81</v>
      </c>
      <c r="I18" s="114">
        <f>E19*60/100</f>
        <v>0</v>
      </c>
      <c r="J18" s="151">
        <f>F18*H18</f>
        <v>1047.809</v>
      </c>
      <c r="K18" s="111">
        <f t="shared" ref="K18:K27" si="2">I18*1.34*10</f>
        <v>0</v>
      </c>
      <c r="L18" s="676" t="str">
        <f t="shared" si="0"/>
        <v>NITRATO DE CALCIO YARA</v>
      </c>
      <c r="M18" s="677"/>
      <c r="N18" s="678"/>
      <c r="O18" s="117">
        <f>F18*M16/1000</f>
        <v>23179.155999999999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79"/>
      <c r="C19" s="680"/>
      <c r="D19" s="681"/>
      <c r="E19" s="101">
        <f t="shared" si="1"/>
        <v>0</v>
      </c>
      <c r="F19" s="83"/>
      <c r="G19" s="114" t="s">
        <v>110</v>
      </c>
      <c r="H19" s="154">
        <f>'Base Preços MP'!G14</f>
        <v>3.15</v>
      </c>
      <c r="I19" s="114">
        <f>E18*72.15/100+E25*15/100+E31*60/100</f>
        <v>41.767634999999999</v>
      </c>
      <c r="J19" s="151">
        <f t="shared" ref="J19:J31" si="3">F19*H19</f>
        <v>0</v>
      </c>
      <c r="K19" s="111">
        <f t="shared" si="2"/>
        <v>559.68630900000005</v>
      </c>
      <c r="L19" s="676">
        <f t="shared" si="0"/>
        <v>0</v>
      </c>
      <c r="M19" s="677"/>
      <c r="N19" s="678"/>
      <c r="O19" s="117">
        <f>F19*M16/1000</f>
        <v>0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79"/>
      <c r="C20" s="680"/>
      <c r="D20" s="681"/>
      <c r="E20" s="101">
        <f t="shared" si="1"/>
        <v>0</v>
      </c>
      <c r="F20" s="83"/>
      <c r="G20" s="114" t="s">
        <v>106</v>
      </c>
      <c r="H20" s="155">
        <f>'Base Preços MP'!G37</f>
        <v>52</v>
      </c>
      <c r="I20" s="114">
        <f>E27*14/100</f>
        <v>0</v>
      </c>
      <c r="J20" s="151">
        <f>H20*F20</f>
        <v>0</v>
      </c>
      <c r="K20" s="111">
        <f t="shared" si="2"/>
        <v>0</v>
      </c>
      <c r="L20" s="676">
        <f t="shared" si="0"/>
        <v>0</v>
      </c>
      <c r="M20" s="677"/>
      <c r="N20" s="678"/>
      <c r="O20" s="117">
        <f>F20*M16/1000</f>
        <v>0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747"/>
      <c r="C21" s="684"/>
      <c r="D21" s="685"/>
      <c r="E21" s="101">
        <f t="shared" si="1"/>
        <v>0</v>
      </c>
      <c r="F21" s="139"/>
      <c r="G21" s="114" t="s">
        <v>107</v>
      </c>
      <c r="H21" s="155">
        <f>'Base Preços MP'!G42</f>
        <v>4.25</v>
      </c>
      <c r="I21" s="114">
        <f>E26*7/100</f>
        <v>0</v>
      </c>
      <c r="J21" s="151">
        <f t="shared" si="3"/>
        <v>0</v>
      </c>
      <c r="K21" s="111">
        <f t="shared" si="2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79"/>
      <c r="C22" s="680"/>
      <c r="D22" s="681"/>
      <c r="E22" s="101">
        <f t="shared" si="1"/>
        <v>0</v>
      </c>
      <c r="F22" s="139"/>
      <c r="G22" s="114" t="s">
        <v>108</v>
      </c>
      <c r="H22" s="155">
        <f>'Base Preços MP'!G41</f>
        <v>1.76</v>
      </c>
      <c r="I22" s="141">
        <f>E21*12/100</f>
        <v>0</v>
      </c>
      <c r="J22" s="151">
        <f>F22*H22</f>
        <v>0</v>
      </c>
      <c r="K22" s="111">
        <f t="shared" si="2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/>
      <c r="C23" s="680"/>
      <c r="D23" s="681"/>
      <c r="E23" s="101">
        <f t="shared" si="1"/>
        <v>0</v>
      </c>
      <c r="F23" s="83"/>
      <c r="G23" s="114" t="s">
        <v>109</v>
      </c>
      <c r="H23" s="155">
        <f>'Base Preços MP'!G29</f>
        <v>10.3</v>
      </c>
      <c r="I23" s="141">
        <f>E22*15/100</f>
        <v>0</v>
      </c>
      <c r="J23" s="151">
        <f t="shared" si="3"/>
        <v>0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/>
      <c r="C24" s="680"/>
      <c r="D24" s="681"/>
      <c r="E24" s="101">
        <f t="shared" si="1"/>
        <v>0</v>
      </c>
      <c r="F24" s="83"/>
      <c r="G24" s="114" t="s">
        <v>111</v>
      </c>
      <c r="H24" s="155">
        <f>'Base Preços MP'!G28</f>
        <v>1.7</v>
      </c>
      <c r="I24" s="101">
        <f>E24*14/100</f>
        <v>0</v>
      </c>
      <c r="J24" s="151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79"/>
      <c r="C25" s="680"/>
      <c r="D25" s="681"/>
      <c r="E25" s="101">
        <f t="shared" si="1"/>
        <v>0</v>
      </c>
      <c r="F25" s="83"/>
      <c r="G25" s="114" t="s">
        <v>112</v>
      </c>
      <c r="H25" s="155">
        <f>'Base Preços MP'!G25</f>
        <v>1.64</v>
      </c>
      <c r="I25" s="101">
        <f>E23*13/100</f>
        <v>0</v>
      </c>
      <c r="J25" s="151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82"/>
      <c r="C26" s="680"/>
      <c r="D26" s="681"/>
      <c r="E26" s="101">
        <f t="shared" si="1"/>
        <v>0</v>
      </c>
      <c r="F26" s="83"/>
      <c r="G26" s="114" t="s">
        <v>105</v>
      </c>
      <c r="H26" s="149">
        <f>'Base Preços MP'!G45</f>
        <v>1.81</v>
      </c>
      <c r="I26" s="141">
        <f>E28*17/100</f>
        <v>0</v>
      </c>
      <c r="J26" s="151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79"/>
      <c r="C27" s="680"/>
      <c r="D27" s="681"/>
      <c r="E27" s="101">
        <f t="shared" si="1"/>
        <v>0</v>
      </c>
      <c r="F27" s="83"/>
      <c r="G27" s="114" t="s">
        <v>122</v>
      </c>
      <c r="H27" s="149">
        <f>'Base Preços MP'!G30</f>
        <v>2.1</v>
      </c>
      <c r="I27" s="141">
        <f>E29*39/100</f>
        <v>0</v>
      </c>
      <c r="J27" s="151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/>
      <c r="C28" s="680"/>
      <c r="D28" s="681"/>
      <c r="E28" s="101">
        <f t="shared" si="1"/>
        <v>0</v>
      </c>
      <c r="F28" s="83"/>
      <c r="G28" s="107"/>
      <c r="H28" s="149">
        <f>'Base Preços MP'!G11</f>
        <v>3.4</v>
      </c>
      <c r="I28" s="107"/>
      <c r="J28" s="151">
        <f t="shared" si="3"/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/>
      <c r="C29" s="680"/>
      <c r="D29" s="681"/>
      <c r="E29" s="101">
        <f t="shared" si="1"/>
        <v>0</v>
      </c>
      <c r="F29" s="83"/>
      <c r="G29" s="107"/>
      <c r="H29" s="149">
        <f>'Base Preços MP'!G36</f>
        <v>6.5</v>
      </c>
      <c r="I29" s="107"/>
      <c r="J29" s="151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/>
      <c r="C30" s="680"/>
      <c r="D30" s="681"/>
      <c r="E30" s="101">
        <f t="shared" si="1"/>
        <v>0</v>
      </c>
      <c r="F30" s="83"/>
      <c r="G30" s="107"/>
      <c r="H30" s="149">
        <f>'Base Preços MP'!G45</f>
        <v>1.81</v>
      </c>
      <c r="I30" s="107"/>
      <c r="J30" s="151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747"/>
      <c r="C31" s="684"/>
      <c r="D31" s="685"/>
      <c r="E31" s="101">
        <f t="shared" si="1"/>
        <v>0</v>
      </c>
      <c r="F31" s="83"/>
      <c r="G31" s="107"/>
      <c r="H31" s="149">
        <f>'Base Preços MP'!G24</f>
        <v>4.3</v>
      </c>
      <c r="I31" s="107"/>
      <c r="J31" s="151">
        <f t="shared" si="3"/>
        <v>0</v>
      </c>
      <c r="K31" s="103"/>
      <c r="L31" s="789">
        <f>B31</f>
        <v>0</v>
      </c>
      <c r="M31" s="790"/>
      <c r="N31" s="791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59" t="s">
        <v>104</v>
      </c>
      <c r="C32" s="660"/>
      <c r="D32" s="661"/>
      <c r="E32" s="147">
        <f>SUM(E17:E31)</f>
        <v>100</v>
      </c>
      <c r="F32" s="140">
        <f>SUM(F17:F31)</f>
        <v>1000</v>
      </c>
      <c r="G32" s="103"/>
      <c r="H32" s="113"/>
      <c r="I32" s="103"/>
      <c r="J32" s="112"/>
      <c r="K32" s="103"/>
      <c r="L32" s="691" t="s">
        <v>43</v>
      </c>
      <c r="M32" s="692"/>
      <c r="N32" s="692"/>
      <c r="O32" s="121">
        <f>SUM(O17:O31)</f>
        <v>40040</v>
      </c>
      <c r="P32" s="103"/>
      <c r="Q32" s="103"/>
      <c r="R32" s="103"/>
      <c r="U32" s="145"/>
    </row>
    <row r="33" spans="1:18" x14ac:dyDescent="0.2">
      <c r="A33" s="1"/>
      <c r="B33" s="4"/>
      <c r="C33" s="4"/>
      <c r="D33" s="4"/>
      <c r="E33" s="1"/>
      <c r="F33" s="4"/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x14ac:dyDescent="0.2">
      <c r="A34" s="22">
        <v>1</v>
      </c>
      <c r="B34" s="21" t="s">
        <v>8</v>
      </c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101"/>
      <c r="Q34" s="103"/>
      <c r="R34" s="103"/>
    </row>
    <row r="35" spans="1:18" ht="13.5" thickBot="1" x14ac:dyDescent="0.25">
      <c r="A35" s="1"/>
      <c r="B35" s="1"/>
      <c r="C35" s="1"/>
      <c r="D35" s="1">
        <v>1.19</v>
      </c>
      <c r="E35" s="1"/>
      <c r="F35" s="1"/>
      <c r="G35" s="1"/>
      <c r="H35" s="1"/>
      <c r="I35" s="1"/>
      <c r="J35" s="1"/>
      <c r="K35" s="103"/>
      <c r="L35" s="103"/>
      <c r="M35" s="103"/>
      <c r="N35" s="103"/>
      <c r="O35" s="103"/>
      <c r="P35" s="114"/>
      <c r="Q35" s="103"/>
      <c r="R35" s="103"/>
    </row>
    <row r="36" spans="1:18" ht="13.5" thickBot="1" x14ac:dyDescent="0.25">
      <c r="A36" s="1"/>
      <c r="B36" s="3" t="s">
        <v>2</v>
      </c>
      <c r="C36" s="1"/>
      <c r="D36" s="82">
        <v>1.43</v>
      </c>
      <c r="E36" s="1"/>
      <c r="F36" s="1"/>
      <c r="G36" s="1"/>
      <c r="H36" s="17" t="s">
        <v>1</v>
      </c>
      <c r="I36" s="1"/>
      <c r="J36" s="25">
        <f>SUM(J17:J35)</f>
        <v>1052.02</v>
      </c>
      <c r="K36" s="103"/>
      <c r="L36" s="103"/>
      <c r="M36" s="103"/>
      <c r="N36" s="103"/>
      <c r="O36" s="103"/>
      <c r="P36" s="114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 t="s">
        <v>26</v>
      </c>
      <c r="I37" s="1"/>
      <c r="J37" s="18">
        <v>1000</v>
      </c>
      <c r="K37" s="103"/>
      <c r="L37" s="103"/>
      <c r="M37" s="103" t="s">
        <v>258</v>
      </c>
      <c r="N37" s="103" t="s">
        <v>259</v>
      </c>
      <c r="O37" s="103"/>
      <c r="P37" s="114"/>
      <c r="Q37" s="103"/>
      <c r="R37" s="103"/>
    </row>
    <row r="38" spans="1:18" x14ac:dyDescent="0.2">
      <c r="A38" s="1"/>
      <c r="B38" s="1"/>
      <c r="C38" s="1"/>
      <c r="D38" s="1"/>
      <c r="E38" s="1"/>
      <c r="F38" s="1"/>
      <c r="G38" s="1"/>
      <c r="H38" s="19"/>
      <c r="I38" s="1"/>
      <c r="J38" s="30"/>
      <c r="K38" s="103"/>
      <c r="L38" s="103"/>
      <c r="M38" s="189" t="s">
        <v>256</v>
      </c>
      <c r="N38" s="189">
        <v>30</v>
      </c>
      <c r="O38" s="114"/>
      <c r="P38" s="103"/>
      <c r="Q38" s="103"/>
    </row>
    <row r="39" spans="1:18" x14ac:dyDescent="0.2">
      <c r="A39" s="1"/>
      <c r="B39" s="23" t="s">
        <v>15</v>
      </c>
      <c r="C39" s="1"/>
      <c r="D39" s="526"/>
      <c r="E39" s="23" t="s">
        <v>77</v>
      </c>
      <c r="F39" s="101"/>
      <c r="G39" s="1"/>
      <c r="H39" s="23"/>
      <c r="I39" s="27"/>
      <c r="J39" s="29" t="s">
        <v>78</v>
      </c>
      <c r="K39" s="103"/>
      <c r="L39" s="103"/>
      <c r="M39" s="103" t="s">
        <v>105</v>
      </c>
      <c r="N39" s="103"/>
      <c r="O39" s="114"/>
      <c r="P39" s="103"/>
      <c r="Q39" s="103"/>
    </row>
    <row r="40" spans="1:18" x14ac:dyDescent="0.2">
      <c r="A40" s="1"/>
      <c r="B40" s="3" t="s">
        <v>10</v>
      </c>
      <c r="C40" s="1"/>
      <c r="D40" s="520"/>
      <c r="E40" s="524">
        <f>J36/J37</f>
        <v>1.05202</v>
      </c>
      <c r="F40" s="102"/>
      <c r="G40" s="3" t="s">
        <v>16</v>
      </c>
      <c r="H40" s="1"/>
      <c r="I40" s="39"/>
      <c r="J40" s="68">
        <f>E40*D36</f>
        <v>1.5043886</v>
      </c>
      <c r="K40" s="103"/>
      <c r="L40" s="103"/>
      <c r="M40" s="103" t="s">
        <v>257</v>
      </c>
      <c r="N40" s="103"/>
      <c r="O40" s="114"/>
      <c r="P40" s="103"/>
      <c r="Q40" s="103"/>
    </row>
    <row r="41" spans="1:18" x14ac:dyDescent="0.2">
      <c r="A41" s="1"/>
      <c r="B41" s="19" t="s">
        <v>11</v>
      </c>
      <c r="C41" s="4"/>
      <c r="D41" s="521"/>
      <c r="E41" s="524">
        <v>0.1</v>
      </c>
      <c r="F41" s="16"/>
      <c r="G41" s="19" t="s">
        <v>17</v>
      </c>
      <c r="H41" s="4"/>
      <c r="I41" s="39"/>
      <c r="J41" s="68">
        <f>E41*D36</f>
        <v>0.14299999999999999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14</v>
      </c>
      <c r="C42" s="1"/>
      <c r="D42" s="521">
        <v>0.25</v>
      </c>
      <c r="E42" s="524"/>
      <c r="F42" s="6"/>
      <c r="G42" s="3" t="s">
        <v>18</v>
      </c>
      <c r="H42" s="1"/>
      <c r="I42" s="39"/>
      <c r="J42" s="68">
        <f>E42*D36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79</v>
      </c>
      <c r="C43" s="1"/>
      <c r="D43" s="521"/>
      <c r="E43" s="524"/>
      <c r="F43" s="3"/>
      <c r="G43" s="3" t="s">
        <v>80</v>
      </c>
      <c r="H43" s="1"/>
      <c r="I43" s="39"/>
      <c r="J43" s="68">
        <f>E43*D36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42</v>
      </c>
      <c r="C44" s="1"/>
      <c r="D44" s="521"/>
      <c r="E44" s="524"/>
      <c r="F44" s="3"/>
      <c r="G44" s="3" t="s">
        <v>81</v>
      </c>
      <c r="H44" s="1"/>
      <c r="I44" s="39"/>
      <c r="J44" s="68">
        <f>E44*D36</f>
        <v>0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3" t="s">
        <v>12</v>
      </c>
      <c r="C45" s="1"/>
      <c r="D45" s="520"/>
      <c r="E45" s="525">
        <f>E40+E41+E42+E43+E44</f>
        <v>1.15202</v>
      </c>
      <c r="F45" s="3"/>
      <c r="G45" s="3" t="s">
        <v>19</v>
      </c>
      <c r="H45" s="1"/>
      <c r="I45" s="33"/>
      <c r="J45" s="142">
        <f>J40+J41+J42+J43+J44</f>
        <v>1.6473886</v>
      </c>
      <c r="K45" s="103"/>
      <c r="L45" s="103"/>
      <c r="M45" s="103"/>
      <c r="N45" s="103"/>
      <c r="O45" s="103"/>
      <c r="P45" s="114"/>
      <c r="Q45" s="103"/>
      <c r="R45" s="103"/>
    </row>
    <row r="46" spans="1:18" x14ac:dyDescent="0.2">
      <c r="A46" s="1"/>
      <c r="B46" s="1"/>
      <c r="C46" s="1"/>
      <c r="D46" s="4"/>
      <c r="E46" s="1"/>
      <c r="F46" s="19"/>
      <c r="G46" s="4"/>
      <c r="H46" s="4"/>
      <c r="I46" s="6"/>
      <c r="J46" s="28" t="s">
        <v>21</v>
      </c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>
        <v>2</v>
      </c>
      <c r="B47" s="22" t="s">
        <v>9</v>
      </c>
      <c r="C47" s="22"/>
      <c r="D47" s="1"/>
      <c r="E47" s="1"/>
      <c r="F47" s="19"/>
      <c r="G47" s="4"/>
      <c r="H47" s="27" t="s">
        <v>20</v>
      </c>
      <c r="I47" s="33">
        <f>(100-J47)/100</f>
        <v>1</v>
      </c>
      <c r="J47" s="76">
        <v>0</v>
      </c>
      <c r="K47" s="103"/>
      <c r="L47" s="748"/>
      <c r="M47" s="697"/>
      <c r="N47" s="748"/>
      <c r="O47" s="697"/>
      <c r="P47" s="748"/>
      <c r="Q47" s="697"/>
      <c r="R47" s="103"/>
    </row>
    <row r="48" spans="1:18" x14ac:dyDescent="0.2">
      <c r="A48" s="1"/>
      <c r="B48" s="23"/>
      <c r="C48" s="23"/>
      <c r="D48" s="29"/>
      <c r="E48" s="3" t="s">
        <v>84</v>
      </c>
      <c r="F48" s="6" t="s">
        <v>85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 t="s">
        <v>22</v>
      </c>
      <c r="C49" s="11"/>
      <c r="D49" s="31" t="s">
        <v>13</v>
      </c>
      <c r="E49" s="36">
        <v>0</v>
      </c>
      <c r="F49" s="36">
        <v>0</v>
      </c>
      <c r="G49" s="19"/>
      <c r="H49" s="26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60</v>
      </c>
      <c r="E50" s="36">
        <f>F50/D36</f>
        <v>0.17544055944055945</v>
      </c>
      <c r="F50" s="36">
        <f>'Base Preços MP'!C85</f>
        <v>0.25087999999999999</v>
      </c>
      <c r="G50" s="4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82</v>
      </c>
      <c r="E51" s="36">
        <v>0.17403225806451611</v>
      </c>
      <c r="F51" s="36">
        <v>0.21579999999999999</v>
      </c>
      <c r="G51" s="19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0.62903225806451613</v>
      </c>
      <c r="F52" s="36">
        <v>0.78</v>
      </c>
      <c r="G52" s="4"/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50</v>
      </c>
      <c r="E53" s="36">
        <v>0.41161290322580651</v>
      </c>
      <c r="F53" s="36">
        <v>0.51040000000000008</v>
      </c>
      <c r="G53" s="19" t="s">
        <v>86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59</v>
      </c>
      <c r="E54" s="36">
        <v>0.96008064516129044</v>
      </c>
      <c r="F54" s="36">
        <v>1.1905000000000001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>
        <v>3</v>
      </c>
      <c r="B55" s="22" t="s">
        <v>25</v>
      </c>
      <c r="C55" s="35"/>
      <c r="D55" s="24" t="s">
        <v>61</v>
      </c>
      <c r="E55" s="36">
        <v>2.4294354838709675</v>
      </c>
      <c r="F55" s="36">
        <v>3.0124999999999997</v>
      </c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/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241</v>
      </c>
      <c r="D58" s="1"/>
      <c r="E58" s="369" t="s">
        <v>193</v>
      </c>
      <c r="F58" s="19"/>
      <c r="G58" s="4"/>
      <c r="H58" s="56"/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5" t="s">
        <v>64</v>
      </c>
      <c r="D59" s="65" t="s">
        <v>65</v>
      </c>
      <c r="E59" s="65" t="s">
        <v>66</v>
      </c>
      <c r="F59" s="58" t="s">
        <v>87</v>
      </c>
      <c r="G59" s="27" t="s">
        <v>401</v>
      </c>
      <c r="H59" s="56" t="s">
        <v>414</v>
      </c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6" t="s">
        <v>23</v>
      </c>
      <c r="D60" s="67">
        <f>E45/I47+D42</f>
        <v>1.40202</v>
      </c>
      <c r="E60" s="67">
        <f>D60*D36</f>
        <v>2.0048886000000001</v>
      </c>
      <c r="F60" s="72" t="s">
        <v>88</v>
      </c>
      <c r="G60" s="33"/>
      <c r="H60" s="56"/>
      <c r="I60" s="19">
        <f>E60*10/100</f>
        <v>0.20048886000000002</v>
      </c>
      <c r="J60" s="204">
        <f>E60+I60</f>
        <v>2.2053774600000002</v>
      </c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 t="str">
        <f>'FUEL BLACK 20% NÃO USAR'!A60:B60</f>
        <v>Contentor Incluido</v>
      </c>
      <c r="B61" s="694"/>
      <c r="C61" s="74">
        <v>1000</v>
      </c>
      <c r="D61" s="70">
        <f>E45/I47+D42+E50</f>
        <v>1.5774605594405595</v>
      </c>
      <c r="E61" s="70">
        <f>D61*D36</f>
        <v>2.2557686000000001</v>
      </c>
      <c r="F61" s="61" t="s">
        <v>89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50</v>
      </c>
      <c r="D62" s="70"/>
      <c r="E62" s="70"/>
      <c r="F62" s="51" t="s">
        <v>90</v>
      </c>
      <c r="G62" s="33"/>
      <c r="H62" s="56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/>
      <c r="E63" s="70"/>
      <c r="F63" s="61" t="s">
        <v>89</v>
      </c>
      <c r="G63" s="33"/>
      <c r="H63" s="7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E45/I47+D42+E53</f>
        <v>1.8136329032258065</v>
      </c>
      <c r="E64" s="70">
        <f>D64*D36</f>
        <v>2.5934950516129032</v>
      </c>
      <c r="F64" s="51" t="s">
        <v>90</v>
      </c>
      <c r="G64" s="33">
        <f>E64/0.88</f>
        <v>2.9471534677419355</v>
      </c>
      <c r="H64" s="20">
        <f>G64+0.5</f>
        <v>3.4471534677419355</v>
      </c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5</v>
      </c>
      <c r="D65" s="70">
        <f>E45/I47+D42+E54</f>
        <v>2.3621006451612905</v>
      </c>
      <c r="E65" s="70">
        <f>D65*D36</f>
        <v>3.3778039225806453</v>
      </c>
      <c r="F65" s="61" t="s">
        <v>94</v>
      </c>
      <c r="G65" s="39">
        <f>E65/0.88</f>
        <v>3.8384135483870971</v>
      </c>
      <c r="H65" s="7">
        <f>G65+0.5</f>
        <v>4.3384135483870967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69">
        <v>1</v>
      </c>
      <c r="D66" s="70">
        <f>E45/I47+D42+E55</f>
        <v>3.8314554838709673</v>
      </c>
      <c r="E66" s="70">
        <f>D66*D36</f>
        <v>5.4789813419354827</v>
      </c>
      <c r="F66" s="61" t="s">
        <v>95</v>
      </c>
      <c r="G66" s="87">
        <f>E66/0.88</f>
        <v>6.2261151612903216</v>
      </c>
      <c r="H66" s="7">
        <f>G66+0.5</f>
        <v>6.7261151612903216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88"/>
      <c r="E67" s="86"/>
      <c r="F67" s="86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89"/>
      <c r="D68" s="89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91"/>
      <c r="F70" s="92"/>
      <c r="G70" s="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B19:D19"/>
    <mergeCell ref="B23:D23"/>
    <mergeCell ref="B27:D27"/>
    <mergeCell ref="I6:K6"/>
    <mergeCell ref="I7:J7"/>
    <mergeCell ref="I8:J8"/>
    <mergeCell ref="G9:H9"/>
    <mergeCell ref="I9:J9"/>
    <mergeCell ref="B22:D22"/>
    <mergeCell ref="L22:N22"/>
    <mergeCell ref="L14:M14"/>
    <mergeCell ref="N16:O16"/>
    <mergeCell ref="B17:D17"/>
    <mergeCell ref="L17:N17"/>
    <mergeCell ref="B18:D18"/>
    <mergeCell ref="L18:N18"/>
    <mergeCell ref="L19:N19"/>
    <mergeCell ref="B20:D20"/>
    <mergeCell ref="L20:N20"/>
    <mergeCell ref="B21:D21"/>
    <mergeCell ref="L21:N21"/>
    <mergeCell ref="B30:D30"/>
    <mergeCell ref="L30:N30"/>
    <mergeCell ref="L23:N23"/>
    <mergeCell ref="B24:D24"/>
    <mergeCell ref="L24:N24"/>
    <mergeCell ref="B25:D25"/>
    <mergeCell ref="L25:N25"/>
    <mergeCell ref="B26:D26"/>
    <mergeCell ref="L26:N26"/>
    <mergeCell ref="L27:N27"/>
    <mergeCell ref="B28:D28"/>
    <mergeCell ref="L28:N28"/>
    <mergeCell ref="B29:D29"/>
    <mergeCell ref="L29:N29"/>
    <mergeCell ref="P48:Q48"/>
    <mergeCell ref="L49:M49"/>
    <mergeCell ref="N49:O49"/>
    <mergeCell ref="P49:Q49"/>
    <mergeCell ref="B32:D32"/>
    <mergeCell ref="L32:N32"/>
    <mergeCell ref="L46:Q46"/>
    <mergeCell ref="L47:M47"/>
    <mergeCell ref="N47:O47"/>
    <mergeCell ref="P47:Q47"/>
    <mergeCell ref="P52:Q52"/>
    <mergeCell ref="L53:M53"/>
    <mergeCell ref="N53:O53"/>
    <mergeCell ref="P53:Q53"/>
    <mergeCell ref="L50:M50"/>
    <mergeCell ref="N50:O50"/>
    <mergeCell ref="P50:Q50"/>
    <mergeCell ref="L51:M51"/>
    <mergeCell ref="N51:O51"/>
    <mergeCell ref="P51:Q51"/>
    <mergeCell ref="P56:Q56"/>
    <mergeCell ref="A67:B67"/>
    <mergeCell ref="A68:B68"/>
    <mergeCell ref="A69:B69"/>
    <mergeCell ref="L54:M54"/>
    <mergeCell ref="N54:O54"/>
    <mergeCell ref="P54:Q54"/>
    <mergeCell ref="L55:M55"/>
    <mergeCell ref="N55:O55"/>
    <mergeCell ref="P55:Q55"/>
    <mergeCell ref="A61:B61"/>
    <mergeCell ref="A70:B70"/>
    <mergeCell ref="B31:D31"/>
    <mergeCell ref="L31:N31"/>
    <mergeCell ref="L56:M56"/>
    <mergeCell ref="N56:O56"/>
    <mergeCell ref="L52:M52"/>
    <mergeCell ref="N52:O52"/>
    <mergeCell ref="L48:M48"/>
    <mergeCell ref="N48:O48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V69"/>
  <sheetViews>
    <sheetView topLeftCell="A27" zoomScale="65" zoomScaleNormal="65" workbookViewId="0">
      <selection activeCell="H59" sqref="H59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137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318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62" t="s">
        <v>21</v>
      </c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/>
      <c r="G16" s="101" t="s">
        <v>124</v>
      </c>
      <c r="H16" s="16" t="s">
        <v>137</v>
      </c>
      <c r="I16" s="101" t="s">
        <v>21</v>
      </c>
      <c r="J16" s="16"/>
      <c r="K16" s="136" t="s">
        <v>121</v>
      </c>
      <c r="L16" s="118">
        <v>2000</v>
      </c>
      <c r="M16" s="116">
        <f>L16*D35</f>
        <v>2640</v>
      </c>
      <c r="N16" s="671"/>
      <c r="O16" s="672"/>
      <c r="P16" s="138" t="s">
        <v>152</v>
      </c>
      <c r="Q16" s="160" t="s">
        <v>154</v>
      </c>
      <c r="R16" s="162" t="s">
        <v>158</v>
      </c>
    </row>
    <row r="17" spans="1:22" x14ac:dyDescent="0.2">
      <c r="A17" s="1"/>
      <c r="B17" s="673" t="s">
        <v>49</v>
      </c>
      <c r="C17" s="674"/>
      <c r="D17" s="675"/>
      <c r="E17" s="101">
        <f>F17/10</f>
        <v>44.4</v>
      </c>
      <c r="F17" s="110">
        <v>444</v>
      </c>
      <c r="G17" s="114" t="s">
        <v>125</v>
      </c>
      <c r="H17" s="115">
        <f>'Base Preços MP'!G10</f>
        <v>0.01</v>
      </c>
      <c r="I17" s="114">
        <f>E20*31/100+E26*7/100+E21*5/100+E22*6/100</f>
        <v>0</v>
      </c>
      <c r="J17" s="150">
        <f>F17*H17</f>
        <v>4.4400000000000004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1172.1600000000001</v>
      </c>
      <c r="P17" s="109">
        <v>7.0724400000000003</v>
      </c>
      <c r="Q17" s="165" t="s">
        <v>125</v>
      </c>
      <c r="R17" s="166">
        <f>J17/1097.83</f>
        <v>4.0443420201670575E-3</v>
      </c>
      <c r="U17" s="144"/>
      <c r="V17" s="146"/>
    </row>
    <row r="18" spans="1:22" x14ac:dyDescent="0.2">
      <c r="A18" s="1"/>
      <c r="B18" s="682" t="s">
        <v>598</v>
      </c>
      <c r="C18" s="680"/>
      <c r="D18" s="681"/>
      <c r="E18" s="101">
        <f t="shared" ref="E18:E30" si="1">F18/10</f>
        <v>53.6</v>
      </c>
      <c r="F18" s="83">
        <v>536</v>
      </c>
      <c r="G18" s="114" t="s">
        <v>69</v>
      </c>
      <c r="H18" s="154">
        <f>'Base Preços MP'!G66</f>
        <v>3.05</v>
      </c>
      <c r="I18" s="114">
        <f>E19*60/100</f>
        <v>1.2</v>
      </c>
      <c r="J18" s="150">
        <f>F18*H18</f>
        <v>1634.8</v>
      </c>
      <c r="K18" s="111">
        <f>I18*1.34*10</f>
        <v>16.080000000000002</v>
      </c>
      <c r="L18" s="676" t="str">
        <f t="shared" si="0"/>
        <v>NITRATO DE MG YARA</v>
      </c>
      <c r="M18" s="677"/>
      <c r="N18" s="678"/>
      <c r="O18" s="117">
        <f>F18*M16/1000</f>
        <v>1415.04</v>
      </c>
      <c r="P18" s="109">
        <v>1.7885999999999997</v>
      </c>
      <c r="Q18" s="165" t="s">
        <v>69</v>
      </c>
      <c r="R18" s="166">
        <f t="shared" ref="R18:R30" si="2">J18/1097.83</f>
        <v>1.4891194447227714</v>
      </c>
      <c r="U18" s="144"/>
      <c r="V18" s="146"/>
    </row>
    <row r="19" spans="1:22" x14ac:dyDescent="0.2">
      <c r="A19" s="1"/>
      <c r="B19" s="682" t="s">
        <v>214</v>
      </c>
      <c r="C19" s="680"/>
      <c r="D19" s="681"/>
      <c r="E19" s="101">
        <f t="shared" si="1"/>
        <v>2</v>
      </c>
      <c r="F19" s="83">
        <v>20</v>
      </c>
      <c r="G19" s="114" t="s">
        <v>110</v>
      </c>
      <c r="H19" s="154">
        <f>'Base Preços MP'!G38</f>
        <v>0.9</v>
      </c>
      <c r="I19" s="114">
        <f>E18*72.15/100+E25*60/100+E20*2/100</f>
        <v>38.672400000000003</v>
      </c>
      <c r="J19" s="150">
        <f>F19*H19</f>
        <v>18</v>
      </c>
      <c r="K19" s="111">
        <f>I19*1.34*10</f>
        <v>518.21016000000009</v>
      </c>
      <c r="L19" s="676" t="str">
        <f t="shared" si="0"/>
        <v>NITREX</v>
      </c>
      <c r="M19" s="677"/>
      <c r="N19" s="678"/>
      <c r="O19" s="117">
        <f>F19*M16/1000</f>
        <v>52.8</v>
      </c>
      <c r="P19" s="109">
        <v>5.9720309999999994</v>
      </c>
      <c r="Q19" s="165" t="s">
        <v>110</v>
      </c>
      <c r="R19" s="166">
        <f t="shared" si="2"/>
        <v>1.6395981162839419E-2</v>
      </c>
      <c r="U19" s="144"/>
      <c r="V19" s="146"/>
    </row>
    <row r="20" spans="1:22" x14ac:dyDescent="0.2">
      <c r="A20" s="1"/>
      <c r="B20" s="688"/>
      <c r="C20" s="689"/>
      <c r="D20" s="690"/>
      <c r="E20" s="101">
        <f t="shared" si="1"/>
        <v>0</v>
      </c>
      <c r="F20" s="83"/>
      <c r="G20" s="114" t="s">
        <v>106</v>
      </c>
      <c r="H20" s="155"/>
      <c r="I20" s="114">
        <f>E27*27/100</f>
        <v>0</v>
      </c>
      <c r="J20" s="150">
        <f>H20*F20</f>
        <v>0</v>
      </c>
      <c r="K20" s="111">
        <f t="shared" ref="K20:K27" si="3">I20*1.34*10</f>
        <v>0</v>
      </c>
      <c r="L20" s="676">
        <f t="shared" si="0"/>
        <v>0</v>
      </c>
      <c r="M20" s="677"/>
      <c r="N20" s="678"/>
      <c r="O20" s="117">
        <f>F20*M16/1000</f>
        <v>0</v>
      </c>
      <c r="P20" s="109">
        <v>4.3502400000000003</v>
      </c>
      <c r="Q20" s="165" t="s">
        <v>106</v>
      </c>
      <c r="R20" s="166">
        <f t="shared" si="2"/>
        <v>0</v>
      </c>
      <c r="U20" s="144"/>
      <c r="V20" s="146"/>
    </row>
    <row r="21" spans="1:22" x14ac:dyDescent="0.2">
      <c r="A21" s="1"/>
      <c r="B21" s="683"/>
      <c r="C21" s="684"/>
      <c r="D21" s="685"/>
      <c r="E21" s="101">
        <f t="shared" si="1"/>
        <v>0</v>
      </c>
      <c r="F21" s="139"/>
      <c r="G21" s="114" t="s">
        <v>107</v>
      </c>
      <c r="H21" s="155"/>
      <c r="I21" s="141">
        <f>E26*7/100</f>
        <v>0</v>
      </c>
      <c r="J21" s="150">
        <f t="shared" ref="J21:J30" si="4">F21*H21</f>
        <v>0</v>
      </c>
      <c r="K21" s="111">
        <f t="shared" si="3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0.41426000000000002</v>
      </c>
      <c r="Q21" s="165" t="s">
        <v>107</v>
      </c>
      <c r="R21" s="166">
        <f t="shared" si="2"/>
        <v>0</v>
      </c>
      <c r="U21" s="144"/>
      <c r="V21" s="146"/>
    </row>
    <row r="22" spans="1:22" x14ac:dyDescent="0.2">
      <c r="A22" s="1"/>
      <c r="B22" s="679"/>
      <c r="C22" s="680"/>
      <c r="D22" s="681"/>
      <c r="E22" s="101">
        <f t="shared" si="1"/>
        <v>0</v>
      </c>
      <c r="F22" s="139"/>
      <c r="G22" s="114" t="s">
        <v>108</v>
      </c>
      <c r="H22" s="155"/>
      <c r="I22" s="141">
        <f>E21*12/100</f>
        <v>0</v>
      </c>
      <c r="J22" s="150">
        <f>F22*H22</f>
        <v>0</v>
      </c>
      <c r="K22" s="111">
        <f t="shared" si="3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165" t="s">
        <v>108</v>
      </c>
      <c r="R22" s="166">
        <f t="shared" si="2"/>
        <v>0</v>
      </c>
      <c r="U22" s="144"/>
      <c r="V22" s="146"/>
    </row>
    <row r="23" spans="1:22" x14ac:dyDescent="0.2">
      <c r="A23" s="1"/>
      <c r="B23" s="679"/>
      <c r="C23" s="680"/>
      <c r="D23" s="681"/>
      <c r="E23" s="101">
        <f t="shared" si="1"/>
        <v>0</v>
      </c>
      <c r="F23" s="83"/>
      <c r="G23" s="114" t="s">
        <v>109</v>
      </c>
      <c r="H23" s="155"/>
      <c r="I23" s="141">
        <f>E22*15/100</f>
        <v>0</v>
      </c>
      <c r="J23" s="150">
        <f t="shared" si="4"/>
        <v>0</v>
      </c>
      <c r="K23" s="111">
        <f t="shared" si="3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165" t="s">
        <v>109</v>
      </c>
      <c r="R23" s="166">
        <f t="shared" si="2"/>
        <v>0</v>
      </c>
      <c r="U23" s="144"/>
      <c r="V23" s="146"/>
    </row>
    <row r="24" spans="1:22" x14ac:dyDescent="0.2">
      <c r="A24" s="1"/>
      <c r="B24" s="679"/>
      <c r="C24" s="680"/>
      <c r="D24" s="681"/>
      <c r="E24" s="101">
        <f t="shared" si="1"/>
        <v>0</v>
      </c>
      <c r="F24" s="83"/>
      <c r="G24" s="114" t="s">
        <v>111</v>
      </c>
      <c r="H24" s="155"/>
      <c r="I24" s="101">
        <f>E24*14/100</f>
        <v>0</v>
      </c>
      <c r="J24" s="150">
        <f>F24*H24</f>
        <v>0</v>
      </c>
      <c r="K24" s="111">
        <f t="shared" si="3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165" t="s">
        <v>111</v>
      </c>
      <c r="R24" s="166">
        <f t="shared" si="2"/>
        <v>0</v>
      </c>
      <c r="U24" s="144"/>
      <c r="V24" s="146"/>
    </row>
    <row r="25" spans="1:22" x14ac:dyDescent="0.2">
      <c r="A25" s="1"/>
      <c r="B25" s="679"/>
      <c r="C25" s="680"/>
      <c r="D25" s="681"/>
      <c r="E25" s="101">
        <f t="shared" si="1"/>
        <v>0</v>
      </c>
      <c r="F25" s="83"/>
      <c r="G25" s="114" t="s">
        <v>112</v>
      </c>
      <c r="H25" s="155"/>
      <c r="I25" s="101">
        <f>E23*13/100</f>
        <v>0</v>
      </c>
      <c r="J25" s="150">
        <f>F25*H25</f>
        <v>0</v>
      </c>
      <c r="K25" s="111">
        <f t="shared" si="3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165" t="s">
        <v>112</v>
      </c>
      <c r="R25" s="166">
        <f t="shared" si="2"/>
        <v>0</v>
      </c>
      <c r="U25" s="144"/>
      <c r="V25" s="146"/>
    </row>
    <row r="26" spans="1:22" x14ac:dyDescent="0.2">
      <c r="A26" s="1"/>
      <c r="B26" s="682"/>
      <c r="C26" s="680"/>
      <c r="D26" s="681"/>
      <c r="E26" s="101">
        <f t="shared" si="1"/>
        <v>0</v>
      </c>
      <c r="F26" s="83"/>
      <c r="G26" s="114" t="s">
        <v>105</v>
      </c>
      <c r="H26" s="149"/>
      <c r="I26" s="141">
        <f>E28*17/100</f>
        <v>0</v>
      </c>
      <c r="J26" s="150">
        <f>F26*H26</f>
        <v>0</v>
      </c>
      <c r="K26" s="111">
        <f t="shared" si="3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165" t="s">
        <v>105</v>
      </c>
      <c r="R26" s="166">
        <f t="shared" si="2"/>
        <v>0</v>
      </c>
      <c r="U26" s="144"/>
      <c r="V26" s="146"/>
    </row>
    <row r="27" spans="1:22" x14ac:dyDescent="0.2">
      <c r="A27" s="1"/>
      <c r="B27" s="688"/>
      <c r="C27" s="689"/>
      <c r="D27" s="690"/>
      <c r="E27" s="101">
        <f t="shared" si="1"/>
        <v>0</v>
      </c>
      <c r="F27" s="83"/>
      <c r="G27" s="114" t="s">
        <v>122</v>
      </c>
      <c r="H27" s="149"/>
      <c r="I27" s="141">
        <f>E29*39/100</f>
        <v>0</v>
      </c>
      <c r="J27" s="150">
        <f t="shared" si="4"/>
        <v>0</v>
      </c>
      <c r="K27" s="111">
        <f t="shared" si="3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165" t="s">
        <v>122</v>
      </c>
      <c r="R27" s="166">
        <f t="shared" si="2"/>
        <v>0</v>
      </c>
      <c r="U27" s="144"/>
      <c r="V27" s="146"/>
    </row>
    <row r="28" spans="1:22" x14ac:dyDescent="0.2">
      <c r="A28" s="1"/>
      <c r="B28" s="679"/>
      <c r="C28" s="680"/>
      <c r="D28" s="681"/>
      <c r="E28" s="101">
        <f t="shared" si="1"/>
        <v>0</v>
      </c>
      <c r="F28" s="83"/>
      <c r="G28" s="1"/>
      <c r="H28" s="149"/>
      <c r="I28" s="1"/>
      <c r="J28" s="150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66">
        <f t="shared" si="2"/>
        <v>0</v>
      </c>
      <c r="U28" s="144"/>
      <c r="V28" s="146"/>
    </row>
    <row r="29" spans="1:22" x14ac:dyDescent="0.2">
      <c r="A29" s="1"/>
      <c r="B29" s="679"/>
      <c r="C29" s="680"/>
      <c r="D29" s="681"/>
      <c r="E29" s="101">
        <f t="shared" si="1"/>
        <v>0</v>
      </c>
      <c r="F29" s="83"/>
      <c r="G29" s="1"/>
      <c r="H29" s="149"/>
      <c r="I29" s="1"/>
      <c r="J29" s="150">
        <f t="shared" si="4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66">
        <f t="shared" si="2"/>
        <v>0</v>
      </c>
      <c r="U29" s="144"/>
      <c r="V29" s="146"/>
    </row>
    <row r="30" spans="1:22" x14ac:dyDescent="0.2">
      <c r="A30" s="1"/>
      <c r="B30" s="679"/>
      <c r="C30" s="680"/>
      <c r="D30" s="681"/>
      <c r="E30" s="101">
        <f t="shared" si="1"/>
        <v>0</v>
      </c>
      <c r="F30" s="83"/>
      <c r="G30" s="1"/>
      <c r="H30" s="149"/>
      <c r="I30" s="1"/>
      <c r="J30" s="150">
        <f t="shared" si="4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>
        <f t="shared" si="2"/>
        <v>0</v>
      </c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235">
        <f>SUM(F17:F30)</f>
        <v>1000</v>
      </c>
      <c r="G31" s="103"/>
      <c r="H31" s="113"/>
      <c r="I31" s="103"/>
      <c r="J31" s="112"/>
      <c r="K31" s="103"/>
      <c r="L31" s="691" t="s">
        <v>43</v>
      </c>
      <c r="M31" s="692"/>
      <c r="N31" s="692"/>
      <c r="O31" s="121">
        <f>SUM(O17:O30)</f>
        <v>2640</v>
      </c>
      <c r="P31" s="103"/>
      <c r="Q31" s="103"/>
      <c r="R31" s="164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1.32</v>
      </c>
      <c r="E35" s="1"/>
      <c r="F35" s="1"/>
      <c r="G35" s="1"/>
      <c r="H35" s="17" t="s">
        <v>1</v>
      </c>
      <c r="I35" s="1"/>
      <c r="J35" s="25">
        <f>SUM(J17:J34)</f>
        <v>1657.24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259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30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101"/>
      <c r="G38" s="1"/>
      <c r="H38" s="23"/>
      <c r="I38" s="27"/>
      <c r="J38" s="29" t="s">
        <v>78</v>
      </c>
      <c r="K38" s="103"/>
      <c r="L38" s="103"/>
      <c r="M38" s="103" t="s">
        <v>105</v>
      </c>
      <c r="N38" s="189">
        <v>0</v>
      </c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68">
        <f>J35/J36</f>
        <v>1.65724</v>
      </c>
      <c r="F39" s="102"/>
      <c r="G39" s="3" t="s">
        <v>16</v>
      </c>
      <c r="H39" s="1"/>
      <c r="I39" s="39"/>
      <c r="J39" s="68">
        <f>E39*D35</f>
        <v>2.1875568000000003</v>
      </c>
      <c r="K39" s="103"/>
      <c r="L39" s="103"/>
      <c r="M39" s="103" t="s">
        <v>257</v>
      </c>
      <c r="N39" s="189">
        <v>0</v>
      </c>
      <c r="O39" s="103"/>
      <c r="P39" s="103"/>
      <c r="Q39" s="103"/>
    </row>
    <row r="40" spans="1:18" x14ac:dyDescent="0.2">
      <c r="A40" s="1"/>
      <c r="B40" s="19" t="s">
        <v>11</v>
      </c>
      <c r="C40" s="4"/>
      <c r="D40" s="521"/>
      <c r="E40" s="68">
        <v>0.1</v>
      </c>
      <c r="F40" s="16"/>
      <c r="G40" s="19" t="s">
        <v>17</v>
      </c>
      <c r="H40" s="4"/>
      <c r="I40" s="39"/>
      <c r="J40" s="68">
        <f>E40*D35</f>
        <v>0.13200000000000001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1.7572400000000001</v>
      </c>
      <c r="F44" s="3"/>
      <c r="G44" s="3" t="s">
        <v>19</v>
      </c>
      <c r="H44" s="1"/>
      <c r="I44" s="33"/>
      <c r="J44" s="142">
        <f>J39+J40+J41+J42+J43</f>
        <v>2.3195568000000004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>
        <v>45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>
        <v>0</v>
      </c>
      <c r="K46" s="103"/>
      <c r="L46" s="748"/>
      <c r="M46" s="697"/>
      <c r="N46" s="748"/>
      <c r="O46" s="697"/>
      <c r="P46" s="748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26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0.19006060606060604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0.65333333333333321</v>
      </c>
      <c r="F51" s="36">
        <f>'Base Preços MP'!C88</f>
        <v>0.86239999999999994</v>
      </c>
      <c r="G51" s="4" t="s">
        <v>599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0.41696969696969705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1.0018939393939394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2.4337121212121211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318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1.7572400000000001</v>
      </c>
      <c r="E59" s="67">
        <f>D59*D35</f>
        <v>2.3195568000000004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'FUEL BLACK 20% NÃO USAR'!A60:B60</f>
        <v>Contentor Incluido</v>
      </c>
      <c r="B60" s="694"/>
      <c r="C60" s="74">
        <v>1000</v>
      </c>
      <c r="D60" s="70">
        <f>E44/I46+D41+E49</f>
        <v>1.9473006060606062</v>
      </c>
      <c r="E60" s="70">
        <f>(J44+F49)/I46</f>
        <v>2.5704368000000004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E44/I46+E51</f>
        <v>2.4105733333333332</v>
      </c>
      <c r="E62" s="70">
        <f>D62*D35</f>
        <v>3.1819568</v>
      </c>
      <c r="F62" s="61" t="s">
        <v>573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2.1742096969696973</v>
      </c>
      <c r="E63" s="70">
        <f>D63*D35</f>
        <v>2.8699568000000006</v>
      </c>
      <c r="F63" s="51" t="s">
        <v>90</v>
      </c>
      <c r="G63" s="33">
        <f>E63/0.88</f>
        <v>3.261314545454546</v>
      </c>
      <c r="H63" s="20">
        <f>G63+0.5</f>
        <v>3.761314545454546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2.7591339393939398</v>
      </c>
      <c r="E64" s="70">
        <f>D64*D35</f>
        <v>3.6420568000000006</v>
      </c>
      <c r="F64" s="61" t="s">
        <v>94</v>
      </c>
      <c r="G64" s="39">
        <f>E64/0.88</f>
        <v>4.1387009090909102</v>
      </c>
      <c r="H64" s="7">
        <f>G64+0.5</f>
        <v>4.6387009090909102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4.1909521212121215</v>
      </c>
      <c r="E65" s="70">
        <f>D65*D35</f>
        <v>5.5320568000000003</v>
      </c>
      <c r="F65" s="61" t="s">
        <v>95</v>
      </c>
      <c r="G65" s="87">
        <f>E65/0.88</f>
        <v>6.2864281818181817</v>
      </c>
      <c r="H65" s="7">
        <f>G65+0.5</f>
        <v>6.7864281818181817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88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91"/>
      <c r="F68" s="92"/>
      <c r="G68" s="91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  <mergeCell ref="L52:M52"/>
    <mergeCell ref="N52:O52"/>
    <mergeCell ref="P52:Q52"/>
    <mergeCell ref="L53:M53"/>
    <mergeCell ref="N53:O53"/>
    <mergeCell ref="P53:Q53"/>
    <mergeCell ref="L50:M50"/>
    <mergeCell ref="N50:O50"/>
    <mergeCell ref="P50:Q50"/>
    <mergeCell ref="L51:M51"/>
    <mergeCell ref="N51:O51"/>
    <mergeCell ref="P51:Q51"/>
    <mergeCell ref="L48:M48"/>
    <mergeCell ref="N48:O48"/>
    <mergeCell ref="P48:Q48"/>
    <mergeCell ref="L49:M49"/>
    <mergeCell ref="N49:O49"/>
    <mergeCell ref="P49:Q49"/>
    <mergeCell ref="L46:M46"/>
    <mergeCell ref="N46:O46"/>
    <mergeCell ref="P46:Q46"/>
    <mergeCell ref="L47:M47"/>
    <mergeCell ref="N47:O47"/>
    <mergeCell ref="P47:Q47"/>
    <mergeCell ref="B30:D30"/>
    <mergeCell ref="L30:N30"/>
    <mergeCell ref="B31:D31"/>
    <mergeCell ref="L31:N31"/>
    <mergeCell ref="L45:Q45"/>
    <mergeCell ref="B27:D27"/>
    <mergeCell ref="L27:N27"/>
    <mergeCell ref="B28:D28"/>
    <mergeCell ref="L28:N28"/>
    <mergeCell ref="B29:D29"/>
    <mergeCell ref="L29:N29"/>
    <mergeCell ref="B24:D24"/>
    <mergeCell ref="L24:N24"/>
    <mergeCell ref="B25:D25"/>
    <mergeCell ref="L25:N25"/>
    <mergeCell ref="B26:D26"/>
    <mergeCell ref="L26:N26"/>
    <mergeCell ref="B21:D21"/>
    <mergeCell ref="L21:N21"/>
    <mergeCell ref="B22:D22"/>
    <mergeCell ref="L22:N22"/>
    <mergeCell ref="B23:D23"/>
    <mergeCell ref="L23:N23"/>
    <mergeCell ref="B18:D18"/>
    <mergeCell ref="L18:N18"/>
    <mergeCell ref="B19:D19"/>
    <mergeCell ref="L19:N19"/>
    <mergeCell ref="B20:D20"/>
    <mergeCell ref="L20:N20"/>
    <mergeCell ref="I10:J10"/>
    <mergeCell ref="L14:M14"/>
    <mergeCell ref="N16:O16"/>
    <mergeCell ref="B17:D17"/>
    <mergeCell ref="L17:N17"/>
    <mergeCell ref="I6:K6"/>
    <mergeCell ref="I7:J7"/>
    <mergeCell ref="I8:J8"/>
    <mergeCell ref="G9:H9"/>
    <mergeCell ref="I9:J9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V69"/>
  <sheetViews>
    <sheetView topLeftCell="A19" workbookViewId="0">
      <selection activeCell="H27" sqref="H27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346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120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251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43268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9" t="s">
        <v>67</v>
      </c>
      <c r="M15" s="349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1000</v>
      </c>
      <c r="M16" s="116">
        <f>L16*D35</f>
        <v>1390</v>
      </c>
      <c r="N16" s="714"/>
      <c r="O16" s="715"/>
      <c r="P16" s="350" t="s">
        <v>152</v>
      </c>
      <c r="Q16" s="366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48.148000000000003</v>
      </c>
      <c r="F17" s="367">
        <v>481.48</v>
      </c>
      <c r="G17" s="357" t="s">
        <v>125</v>
      </c>
      <c r="H17" s="358">
        <f>'[7]Base Preços MP'!G10</f>
        <v>0.01</v>
      </c>
      <c r="I17" s="357">
        <f>E20*30/100+E26*7/100+E21*5/100+E22*6/100</f>
        <v>0</v>
      </c>
      <c r="J17" s="359">
        <f>F17*H17</f>
        <v>4.8148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669.25720000000013</v>
      </c>
      <c r="P17" s="109">
        <v>7.0724400000000003</v>
      </c>
      <c r="Q17" s="350" t="s">
        <v>125</v>
      </c>
      <c r="R17" s="103"/>
      <c r="U17" s="144"/>
      <c r="V17" s="146"/>
    </row>
    <row r="18" spans="1:22" x14ac:dyDescent="0.2">
      <c r="A18" s="1"/>
      <c r="B18" s="682" t="s">
        <v>333</v>
      </c>
      <c r="C18" s="724"/>
      <c r="D18" s="725"/>
      <c r="E18" s="315">
        <f t="shared" ref="E18:E30" si="1">F18/10</f>
        <v>0</v>
      </c>
      <c r="F18" s="83"/>
      <c r="G18" s="357" t="s">
        <v>69</v>
      </c>
      <c r="H18" s="360">
        <f>'Base Preços MP'!G24</f>
        <v>4.3</v>
      </c>
      <c r="I18" s="357">
        <f>E19*60/100</f>
        <v>0</v>
      </c>
      <c r="J18" s="359">
        <f>F18*H18</f>
        <v>0</v>
      </c>
      <c r="K18" s="111">
        <f t="shared" ref="K18:K27" si="2">I18*1.34*10</f>
        <v>0</v>
      </c>
      <c r="L18" s="676" t="str">
        <f t="shared" si="0"/>
        <v>ACIDO NITRICO 11.8%</v>
      </c>
      <c r="M18" s="677"/>
      <c r="N18" s="678"/>
      <c r="O18" s="117">
        <f>F18*M16/1000</f>
        <v>0</v>
      </c>
      <c r="P18" s="109">
        <v>1.7885999999999997</v>
      </c>
      <c r="Q18" s="350" t="s">
        <v>69</v>
      </c>
      <c r="R18" s="103"/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0</v>
      </c>
      <c r="F19" s="83"/>
      <c r="G19" s="357" t="s">
        <v>110</v>
      </c>
      <c r="H19" s="360">
        <f>'[7]Base Preços MP'!G14</f>
        <v>5.4969999999999999</v>
      </c>
      <c r="I19" s="357">
        <f>E18*72.15/100+E25*60/100</f>
        <v>0</v>
      </c>
      <c r="J19" s="359">
        <f t="shared" ref="J19:J30" si="3">F19*H19</f>
        <v>0</v>
      </c>
      <c r="K19" s="111">
        <f t="shared" si="2"/>
        <v>0</v>
      </c>
      <c r="L19" s="676" t="str">
        <f t="shared" si="0"/>
        <v>Acido Fosforico Tecnico 60% liquido</v>
      </c>
      <c r="M19" s="677"/>
      <c r="N19" s="678"/>
      <c r="O19" s="117">
        <f>F19*M16/1000</f>
        <v>0</v>
      </c>
      <c r="P19" s="109">
        <v>5.9720309999999994</v>
      </c>
      <c r="Q19" s="350" t="s">
        <v>110</v>
      </c>
      <c r="R19" s="103"/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315">
        <f t="shared" si="1"/>
        <v>0</v>
      </c>
      <c r="F20" s="83"/>
      <c r="G20" s="357" t="s">
        <v>106</v>
      </c>
      <c r="H20" s="361">
        <f>'[7]Base Preços MP'!G38</f>
        <v>1.01</v>
      </c>
      <c r="I20" s="357">
        <f>E27*27/100</f>
        <v>14.000039999999998</v>
      </c>
      <c r="J20" s="359">
        <f>H20*F20</f>
        <v>0</v>
      </c>
      <c r="K20" s="111">
        <f t="shared" si="2"/>
        <v>187.60053599999998</v>
      </c>
      <c r="L20" s="676" t="str">
        <f t="shared" si="0"/>
        <v>UREIA</v>
      </c>
      <c r="M20" s="677"/>
      <c r="N20" s="678"/>
      <c r="O20" s="117">
        <f>F20*M16/1000</f>
        <v>0</v>
      </c>
      <c r="P20" s="109">
        <v>4.3502400000000003</v>
      </c>
      <c r="Q20" s="350" t="s">
        <v>106</v>
      </c>
      <c r="R20" s="103"/>
      <c r="U20" s="144"/>
      <c r="V20" s="146"/>
    </row>
    <row r="21" spans="1:22" x14ac:dyDescent="0.2">
      <c r="A21" s="1"/>
      <c r="B21" s="683" t="s">
        <v>150</v>
      </c>
      <c r="C21" s="726"/>
      <c r="D21" s="727"/>
      <c r="E21" s="315">
        <f t="shared" si="1"/>
        <v>0</v>
      </c>
      <c r="F21" s="368"/>
      <c r="G21" s="357" t="s">
        <v>107</v>
      </c>
      <c r="H21" s="361">
        <f>'[7]Base Preços MP'!G37</f>
        <v>2.65</v>
      </c>
      <c r="I21" s="369">
        <f>E26*7/100</f>
        <v>0</v>
      </c>
      <c r="J21" s="359">
        <f t="shared" si="3"/>
        <v>0</v>
      </c>
      <c r="K21" s="111">
        <f t="shared" si="2"/>
        <v>0</v>
      </c>
      <c r="L21" s="686" t="str">
        <f t="shared" si="0"/>
        <v>Nitrato de Mn  12 % Liquido</v>
      </c>
      <c r="M21" s="686"/>
      <c r="N21" s="686"/>
      <c r="O21" s="117">
        <f>F21*M16/1000</f>
        <v>0</v>
      </c>
      <c r="P21" s="161">
        <v>0.41426000000000002</v>
      </c>
      <c r="Q21" s="350" t="s">
        <v>107</v>
      </c>
      <c r="R21" s="103"/>
      <c r="U21" s="144"/>
      <c r="V21" s="146"/>
    </row>
    <row r="22" spans="1:22" x14ac:dyDescent="0.2">
      <c r="A22" s="1"/>
      <c r="B22" s="682" t="s">
        <v>151</v>
      </c>
      <c r="C22" s="724"/>
      <c r="D22" s="725"/>
      <c r="E22" s="315">
        <f t="shared" si="1"/>
        <v>0</v>
      </c>
      <c r="F22" s="368"/>
      <c r="G22" s="357" t="s">
        <v>108</v>
      </c>
      <c r="H22" s="361">
        <f>'[7]Base Preços MP'!G27</f>
        <v>2.7530000000000001</v>
      </c>
      <c r="I22" s="369">
        <f>E21*12/100</f>
        <v>0</v>
      </c>
      <c r="J22" s="359">
        <f>F22*H22</f>
        <v>0</v>
      </c>
      <c r="K22" s="111">
        <f t="shared" si="2"/>
        <v>0</v>
      </c>
      <c r="L22" s="687" t="str">
        <f t="shared" si="0"/>
        <v>Nitrato de Zn 15 % Liquido</v>
      </c>
      <c r="M22" s="687"/>
      <c r="N22" s="687"/>
      <c r="O22" s="117">
        <f>F22*M16/1000</f>
        <v>0</v>
      </c>
      <c r="P22" s="161">
        <v>2.198E-2</v>
      </c>
      <c r="Q22" s="350" t="s">
        <v>108</v>
      </c>
      <c r="R22" s="103"/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1"/>
        <v>0</v>
      </c>
      <c r="F23" s="83"/>
      <c r="G23" s="357" t="s">
        <v>109</v>
      </c>
      <c r="H23" s="361">
        <f>'[7]Base Preços MP'!G36</f>
        <v>3.17</v>
      </c>
      <c r="I23" s="369">
        <f>E22*15/100</f>
        <v>0</v>
      </c>
      <c r="J23" s="359">
        <f t="shared" si="3"/>
        <v>0</v>
      </c>
      <c r="K23" s="111">
        <f t="shared" si="2"/>
        <v>0</v>
      </c>
      <c r="L23" s="687" t="str">
        <f t="shared" si="0"/>
        <v xml:space="preserve">Cloreto Ferrico Sol al 40% </v>
      </c>
      <c r="M23" s="687"/>
      <c r="N23" s="687"/>
      <c r="O23" s="117">
        <f>F23*M16/1000</f>
        <v>0</v>
      </c>
      <c r="P23" s="161">
        <v>1.4070000000000001E-2</v>
      </c>
      <c r="Q23" s="350" t="s">
        <v>109</v>
      </c>
      <c r="R23" s="103"/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1"/>
        <v>0</v>
      </c>
      <c r="F24" s="83"/>
      <c r="G24" s="357" t="s">
        <v>111</v>
      </c>
      <c r="H24" s="361">
        <f>'[7]Base Preços MP'!G23</f>
        <v>7.3</v>
      </c>
      <c r="I24" s="315">
        <f>E24*14/100</f>
        <v>0</v>
      </c>
      <c r="J24" s="359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350" t="s">
        <v>111</v>
      </c>
      <c r="R24" s="103"/>
      <c r="U24" s="144"/>
      <c r="V24" s="146"/>
    </row>
    <row r="25" spans="1:22" x14ac:dyDescent="0.2">
      <c r="A25" s="1"/>
      <c r="B25" s="688" t="s">
        <v>139</v>
      </c>
      <c r="C25" s="689"/>
      <c r="D25" s="690"/>
      <c r="E25" s="315">
        <f t="shared" si="1"/>
        <v>0</v>
      </c>
      <c r="F25" s="83"/>
      <c r="G25" s="357" t="s">
        <v>112</v>
      </c>
      <c r="H25" s="361">
        <f>'[7]Base Preços MP'!G19</f>
        <v>1.2185999999999999</v>
      </c>
      <c r="I25" s="315">
        <f>E23*13/100</f>
        <v>0</v>
      </c>
      <c r="J25" s="359">
        <f>F25*H25</f>
        <v>0</v>
      </c>
      <c r="K25" s="111">
        <f t="shared" si="2"/>
        <v>0</v>
      </c>
      <c r="L25" s="687" t="str">
        <f t="shared" si="0"/>
        <v>Cloreto de Potasio 60 &amp;</v>
      </c>
      <c r="M25" s="687"/>
      <c r="N25" s="687"/>
      <c r="O25" s="117">
        <f>F25*M16/1000</f>
        <v>0</v>
      </c>
      <c r="P25" s="161">
        <v>5.382E-2</v>
      </c>
      <c r="Q25" s="350" t="s">
        <v>112</v>
      </c>
      <c r="R25" s="103"/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1"/>
        <v>0</v>
      </c>
      <c r="F26" s="83"/>
      <c r="G26" s="357" t="s">
        <v>105</v>
      </c>
      <c r="H26" s="362">
        <f>'[7]Base Preços MP'!G35</f>
        <v>1.4</v>
      </c>
      <c r="I26" s="369">
        <f>E28*17/100</f>
        <v>0</v>
      </c>
      <c r="J26" s="359">
        <f t="shared" si="3"/>
        <v>0</v>
      </c>
      <c r="K26" s="111">
        <f t="shared" si="2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0</v>
      </c>
      <c r="P26" s="161">
        <v>9.3500000000000024E-3</v>
      </c>
      <c r="Q26" s="350" t="s">
        <v>105</v>
      </c>
      <c r="R26" s="103"/>
      <c r="U26" s="144"/>
      <c r="V26" s="146"/>
    </row>
    <row r="27" spans="1:22" x14ac:dyDescent="0.2">
      <c r="A27" s="1"/>
      <c r="B27" s="688" t="s">
        <v>138</v>
      </c>
      <c r="C27" s="689"/>
      <c r="D27" s="690"/>
      <c r="E27" s="315">
        <f t="shared" si="1"/>
        <v>51.851999999999997</v>
      </c>
      <c r="F27" s="83">
        <v>518.52</v>
      </c>
      <c r="G27" s="357" t="s">
        <v>122</v>
      </c>
      <c r="H27" s="362">
        <f>'Base Preços MP'!G32</f>
        <v>1.84</v>
      </c>
      <c r="I27" s="369">
        <f>E29*39/100</f>
        <v>0</v>
      </c>
      <c r="J27" s="359">
        <f t="shared" si="3"/>
        <v>954.07680000000005</v>
      </c>
      <c r="K27" s="111">
        <f t="shared" si="2"/>
        <v>0</v>
      </c>
      <c r="L27" s="687" t="str">
        <f t="shared" si="0"/>
        <v>Cloreto de Calcio em Po 27 % Ca</v>
      </c>
      <c r="M27" s="687"/>
      <c r="N27" s="687"/>
      <c r="O27" s="117">
        <f>F27*M16/1000</f>
        <v>720.74279999999987</v>
      </c>
      <c r="P27" s="161">
        <v>2.7300000000000002E-3</v>
      </c>
      <c r="Q27" s="350" t="s">
        <v>122</v>
      </c>
      <c r="R27" s="103"/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1"/>
        <v>0</v>
      </c>
      <c r="F28" s="83"/>
      <c r="G28" s="1"/>
      <c r="H28" s="362">
        <f>'[7]Base Preços MP'!G11</f>
        <v>2.99</v>
      </c>
      <c r="I28" s="1"/>
      <c r="J28" s="359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 t="s">
        <v>28</v>
      </c>
      <c r="C29" s="724"/>
      <c r="D29" s="725"/>
      <c r="E29" s="315">
        <f t="shared" si="1"/>
        <v>0</v>
      </c>
      <c r="F29" s="83"/>
      <c r="G29" s="1"/>
      <c r="H29" s="362">
        <f>'[7]Base Preços MP'!G31</f>
        <v>39.200000000000003</v>
      </c>
      <c r="I29" s="1"/>
      <c r="J29" s="359">
        <f t="shared" si="3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 t="s">
        <v>68</v>
      </c>
      <c r="C30" s="724"/>
      <c r="D30" s="725"/>
      <c r="E30" s="315">
        <f t="shared" si="1"/>
        <v>0</v>
      </c>
      <c r="F30" s="83"/>
      <c r="G30" s="1"/>
      <c r="H30" s="362">
        <f>'[7]Base Preços MP'!G29</f>
        <v>3</v>
      </c>
      <c r="I30" s="1"/>
      <c r="J30" s="359">
        <f t="shared" si="3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235">
        <f>SUM(F17:F30)</f>
        <v>1000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121">
        <f>SUM(O17:O30)</f>
        <v>1390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1.39</v>
      </c>
      <c r="E35" s="1"/>
      <c r="F35" s="1"/>
      <c r="G35" s="1"/>
      <c r="H35" s="17" t="s">
        <v>1</v>
      </c>
      <c r="I35" s="1"/>
      <c r="J35" s="25">
        <f>SUM(J17:J34)</f>
        <v>958.89160000000004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259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46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68">
        <f>J35/J36</f>
        <v>0.95889160000000007</v>
      </c>
      <c r="F39" s="364"/>
      <c r="G39" s="3" t="s">
        <v>16</v>
      </c>
      <c r="H39" s="1"/>
      <c r="I39" s="39"/>
      <c r="J39" s="68">
        <f>E39*D35</f>
        <v>1.332859324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521"/>
      <c r="E40" s="68">
        <v>0.1</v>
      </c>
      <c r="F40" s="16"/>
      <c r="G40" s="19" t="s">
        <v>17</v>
      </c>
      <c r="H40" s="4"/>
      <c r="I40" s="39"/>
      <c r="J40" s="68">
        <f>E40*D35</f>
        <v>0.13899999999999998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1.0588916000000002</v>
      </c>
      <c r="F44" s="3"/>
      <c r="G44" s="3" t="s">
        <v>19</v>
      </c>
      <c r="H44" s="1"/>
      <c r="I44" s="33"/>
      <c r="J44" s="142">
        <f>J39+J40+J41+J42+J43</f>
        <v>1.471859324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0.18048920863309353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0.39597122302158283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0.95143884892086339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2.3111510791366907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>
        <v>50</v>
      </c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251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1.0588916000000002</v>
      </c>
      <c r="E59" s="67">
        <f>D59*D35</f>
        <v>1.4718593240000002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'[7]FUEL BLACK 20%'!A60:B60</f>
        <v>Contentor Incluido</v>
      </c>
      <c r="B60" s="694"/>
      <c r="C60" s="74">
        <v>1000</v>
      </c>
      <c r="D60" s="70">
        <f>E44/I46+D41+E49</f>
        <v>1.2393808086330937</v>
      </c>
      <c r="E60" s="70">
        <f>D60*D35</f>
        <v>1.7227393240000002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1.454862823021583</v>
      </c>
      <c r="E63" s="70">
        <f>D63*D35</f>
        <v>2.0222593240000002</v>
      </c>
      <c r="F63" s="51" t="s">
        <v>90</v>
      </c>
      <c r="G63" s="33">
        <f>E63/0.88</f>
        <v>2.2980219590909092</v>
      </c>
      <c r="H63" s="20">
        <f>G63+0.5</f>
        <v>2.7980219590909092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2.0103304489208638</v>
      </c>
      <c r="E64" s="70">
        <f>D64*D35</f>
        <v>2.7943593240000006</v>
      </c>
      <c r="F64" s="61" t="s">
        <v>94</v>
      </c>
      <c r="G64" s="39">
        <f>E64/0.88</f>
        <v>3.1754083227272734</v>
      </c>
      <c r="H64" s="7">
        <f>G64+0.5</f>
        <v>3.6754083227272734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3.3700426791366906</v>
      </c>
      <c r="E65" s="70">
        <f>D65*D35</f>
        <v>4.6843593239999999</v>
      </c>
      <c r="F65" s="61" t="s">
        <v>95</v>
      </c>
      <c r="G65" s="87">
        <f>E65/0.88</f>
        <v>5.323135595454545</v>
      </c>
      <c r="H65" s="7">
        <f>G65+0.5</f>
        <v>5.823135595454545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348"/>
      <c r="F68" s="92"/>
      <c r="G68" s="348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8"/>
      <c r="F69" s="92"/>
      <c r="G69" s="348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69"/>
  <sheetViews>
    <sheetView topLeftCell="A38" zoomScale="82" zoomScaleNormal="82" workbookViewId="0">
      <selection activeCell="B27" sqref="B27:D27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168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/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69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169" t="s">
        <v>121</v>
      </c>
      <c r="L16" s="118">
        <v>28000</v>
      </c>
      <c r="M16" s="116">
        <f>L16*D36</f>
        <v>32199.999999999996</v>
      </c>
      <c r="N16" s="671"/>
      <c r="O16" s="672"/>
      <c r="P16" s="138" t="s">
        <v>152</v>
      </c>
      <c r="Q16" s="160" t="s">
        <v>154</v>
      </c>
      <c r="R16" s="169"/>
    </row>
    <row r="17" spans="1:22" x14ac:dyDescent="0.2">
      <c r="A17" s="1"/>
      <c r="B17" s="673" t="s">
        <v>49</v>
      </c>
      <c r="C17" s="674"/>
      <c r="D17" s="675"/>
      <c r="E17" s="101">
        <f>F17/10</f>
        <v>19.649999999999999</v>
      </c>
      <c r="F17" s="110">
        <v>196.5</v>
      </c>
      <c r="G17" s="114" t="s">
        <v>125</v>
      </c>
      <c r="H17" s="115">
        <f>'Base Preços MP'!G10</f>
        <v>0.01</v>
      </c>
      <c r="I17" s="170">
        <f>E20*21/100+E26*7/100+E22*6/100+E21*5/100</f>
        <v>3.7132999999999998</v>
      </c>
      <c r="J17" s="150">
        <f>F17*H17</f>
        <v>1.9650000000000001</v>
      </c>
      <c r="K17" s="111">
        <f>I17*1.34*10</f>
        <v>49.758220000000001</v>
      </c>
      <c r="L17" s="676" t="str">
        <f t="shared" ref="L17:L30" si="0">B17</f>
        <v>Agua</v>
      </c>
      <c r="M17" s="677"/>
      <c r="N17" s="678"/>
      <c r="O17" s="117">
        <f>F17*M16/1000</f>
        <v>6327.2999999999993</v>
      </c>
      <c r="P17" s="109">
        <v>7.0724400000000003</v>
      </c>
      <c r="Q17" s="165" t="s">
        <v>125</v>
      </c>
      <c r="R17" s="166"/>
      <c r="U17" s="144"/>
      <c r="V17" s="146"/>
    </row>
    <row r="18" spans="1:22" x14ac:dyDescent="0.2">
      <c r="A18" s="1"/>
      <c r="B18" s="682" t="s">
        <v>287</v>
      </c>
      <c r="C18" s="680"/>
      <c r="D18" s="681"/>
      <c r="E18" s="101">
        <f t="shared" ref="E18:E31" si="1">F18/10</f>
        <v>0</v>
      </c>
      <c r="F18" s="83"/>
      <c r="G18" s="114" t="s">
        <v>69</v>
      </c>
      <c r="H18" s="154">
        <f>'Base Preços MP'!G49</f>
        <v>0.81399999999999995</v>
      </c>
      <c r="I18" s="170">
        <f>E19*60/100</f>
        <v>7.8119999999999994</v>
      </c>
      <c r="J18" s="150">
        <f>F18*H18</f>
        <v>0</v>
      </c>
      <c r="K18" s="111">
        <f t="shared" ref="K18:K27" si="2">I18*1.34*10</f>
        <v>104.6808</v>
      </c>
      <c r="L18" s="676" t="str">
        <f t="shared" si="0"/>
        <v>Lignosulfonatos</v>
      </c>
      <c r="M18" s="677"/>
      <c r="N18" s="678"/>
      <c r="O18" s="117">
        <f>F18*M16/1000</f>
        <v>0</v>
      </c>
      <c r="P18" s="109">
        <v>1.7885999999999997</v>
      </c>
      <c r="Q18" s="165" t="s">
        <v>69</v>
      </c>
      <c r="R18" s="166"/>
      <c r="U18" s="144"/>
      <c r="V18" s="146"/>
    </row>
    <row r="19" spans="1:22" x14ac:dyDescent="0.2">
      <c r="A19" s="1"/>
      <c r="B19" s="679" t="s">
        <v>131</v>
      </c>
      <c r="C19" s="680"/>
      <c r="D19" s="681"/>
      <c r="E19" s="101">
        <f t="shared" si="1"/>
        <v>13.02</v>
      </c>
      <c r="F19" s="83">
        <v>130.19999999999999</v>
      </c>
      <c r="G19" s="114" t="s">
        <v>110</v>
      </c>
      <c r="H19" s="154">
        <f>'Base Preços MP'!G15</f>
        <v>4.95</v>
      </c>
      <c r="I19" s="170">
        <f>E18*72.15/100+E25*15/100+E31*60/100</f>
        <v>0</v>
      </c>
      <c r="J19" s="150">
        <f t="shared" ref="J19:J31" si="3">F19*H19</f>
        <v>644.49</v>
      </c>
      <c r="K19" s="111">
        <f t="shared" si="2"/>
        <v>0</v>
      </c>
      <c r="L19" s="676" t="str">
        <f t="shared" si="0"/>
        <v>Acido Fosforico Tecnico 60% liquido</v>
      </c>
      <c r="M19" s="677"/>
      <c r="N19" s="678"/>
      <c r="O19" s="117">
        <f>F19*M16/1000</f>
        <v>4192.4399999999987</v>
      </c>
      <c r="P19" s="109">
        <v>5.9720309999999994</v>
      </c>
      <c r="Q19" s="165" t="s">
        <v>110</v>
      </c>
      <c r="R19" s="166"/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101">
        <f t="shared" si="1"/>
        <v>2.23</v>
      </c>
      <c r="F20" s="83">
        <v>22.3</v>
      </c>
      <c r="G20" s="114" t="s">
        <v>106</v>
      </c>
      <c r="H20" s="155">
        <f>'Base Preços MP'!G38</f>
        <v>0.9</v>
      </c>
      <c r="I20" s="170">
        <f>E27*14/100</f>
        <v>0</v>
      </c>
      <c r="J20" s="150">
        <f>H20*F20</f>
        <v>20.07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718.05999999999983</v>
      </c>
      <c r="P20" s="109">
        <v>4.3502400000000003</v>
      </c>
      <c r="Q20" s="165" t="s">
        <v>106</v>
      </c>
      <c r="R20" s="166"/>
      <c r="U20" s="144"/>
      <c r="V20" s="146"/>
    </row>
    <row r="21" spans="1:22" x14ac:dyDescent="0.2">
      <c r="A21" s="1"/>
      <c r="B21" s="747" t="s">
        <v>143</v>
      </c>
      <c r="C21" s="684"/>
      <c r="D21" s="685"/>
      <c r="E21" s="101">
        <f t="shared" si="1"/>
        <v>64.599999999999994</v>
      </c>
      <c r="F21" s="139">
        <v>646</v>
      </c>
      <c r="G21" s="114" t="s">
        <v>107</v>
      </c>
      <c r="H21" s="155">
        <f>'Base Preços MP'!G42</f>
        <v>4.25</v>
      </c>
      <c r="I21" s="171">
        <f>E26*7/100</f>
        <v>0</v>
      </c>
      <c r="J21" s="150">
        <f t="shared" si="3"/>
        <v>2745.5</v>
      </c>
      <c r="K21" s="111">
        <f t="shared" si="2"/>
        <v>0</v>
      </c>
      <c r="L21" s="686" t="str">
        <f t="shared" si="0"/>
        <v>Nitrato de Manganes liquido 12 % Bren</v>
      </c>
      <c r="M21" s="686"/>
      <c r="N21" s="686"/>
      <c r="O21" s="117">
        <f>F21*M16/1000</f>
        <v>20801.199999999997</v>
      </c>
      <c r="P21" s="161">
        <v>0.41426000000000002</v>
      </c>
      <c r="Q21" s="165" t="s">
        <v>107</v>
      </c>
      <c r="R21" s="166"/>
      <c r="U21" s="144"/>
      <c r="V21" s="146"/>
    </row>
    <row r="22" spans="1:22" x14ac:dyDescent="0.2">
      <c r="A22" s="1"/>
      <c r="B22" s="679" t="s">
        <v>144</v>
      </c>
      <c r="C22" s="680"/>
      <c r="D22" s="681"/>
      <c r="E22" s="101">
        <f t="shared" si="1"/>
        <v>0.25</v>
      </c>
      <c r="F22" s="139">
        <v>2.5</v>
      </c>
      <c r="G22" s="114" t="s">
        <v>108</v>
      </c>
      <c r="H22" s="155">
        <f>'Base Preços MP'!G41</f>
        <v>1.76</v>
      </c>
      <c r="I22" s="171">
        <f>E21*12/100</f>
        <v>7.7519999999999989</v>
      </c>
      <c r="J22" s="150">
        <f>F22*H22</f>
        <v>4.4000000000000004</v>
      </c>
      <c r="K22" s="111">
        <f t="shared" si="2"/>
        <v>103.8768</v>
      </c>
      <c r="L22" s="687" t="str">
        <f t="shared" si="0"/>
        <v>Nitrato de Zinco Liquido 15 % Bren</v>
      </c>
      <c r="M22" s="687"/>
      <c r="N22" s="687"/>
      <c r="O22" s="117">
        <f>F22*M16/1000</f>
        <v>80.499999999999986</v>
      </c>
      <c r="P22" s="161">
        <v>2.198E-2</v>
      </c>
      <c r="Q22" s="165" t="s">
        <v>108</v>
      </c>
      <c r="R22" s="166"/>
      <c r="U22" s="144"/>
      <c r="V22" s="146"/>
    </row>
    <row r="23" spans="1:22" x14ac:dyDescent="0.2">
      <c r="A23" s="1"/>
      <c r="B23" s="679" t="s">
        <v>70</v>
      </c>
      <c r="C23" s="680"/>
      <c r="D23" s="681"/>
      <c r="E23" s="101">
        <f t="shared" si="1"/>
        <v>0.25</v>
      </c>
      <c r="F23" s="83">
        <v>2.5</v>
      </c>
      <c r="G23" s="114" t="s">
        <v>109</v>
      </c>
      <c r="H23" s="155">
        <f>'Base Preços MP'!G29</f>
        <v>10.3</v>
      </c>
      <c r="I23" s="171">
        <f>E22*15/100</f>
        <v>3.7499999999999999E-2</v>
      </c>
      <c r="J23" s="150">
        <f t="shared" si="3"/>
        <v>25.75</v>
      </c>
      <c r="K23" s="111">
        <f t="shared" si="2"/>
        <v>0.50250000000000006</v>
      </c>
      <c r="L23" s="687" t="str">
        <f t="shared" si="0"/>
        <v xml:space="preserve">Cloreto Ferrico Sol al 40% </v>
      </c>
      <c r="M23" s="687"/>
      <c r="N23" s="687"/>
      <c r="O23" s="117">
        <f>F23*M16/1000</f>
        <v>80.499999999999986</v>
      </c>
      <c r="P23" s="161">
        <v>1.4070000000000001E-2</v>
      </c>
      <c r="Q23" s="165" t="s">
        <v>109</v>
      </c>
      <c r="R23" s="166"/>
      <c r="U23" s="144"/>
      <c r="V23" s="146"/>
    </row>
    <row r="24" spans="1:22" x14ac:dyDescent="0.2">
      <c r="A24" s="1"/>
      <c r="B24" s="679" t="s">
        <v>130</v>
      </c>
      <c r="C24" s="680"/>
      <c r="D24" s="681"/>
      <c r="E24" s="101">
        <f t="shared" si="1"/>
        <v>0</v>
      </c>
      <c r="F24" s="83"/>
      <c r="G24" s="114" t="s">
        <v>111</v>
      </c>
      <c r="H24" s="155">
        <f>'Base Preços MP'!G28</f>
        <v>1.7</v>
      </c>
      <c r="I24" s="172">
        <f>E24*14/100</f>
        <v>0</v>
      </c>
      <c r="J24" s="150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165" t="s">
        <v>111</v>
      </c>
      <c r="R24" s="166"/>
      <c r="U24" s="144"/>
      <c r="V24" s="146"/>
    </row>
    <row r="25" spans="1:22" x14ac:dyDescent="0.2">
      <c r="A25" s="1"/>
      <c r="B25" s="679" t="s">
        <v>145</v>
      </c>
      <c r="C25" s="680"/>
      <c r="D25" s="681"/>
      <c r="E25" s="101">
        <f t="shared" si="1"/>
        <v>0</v>
      </c>
      <c r="F25" s="83"/>
      <c r="G25" s="114" t="s">
        <v>112</v>
      </c>
      <c r="H25" s="155">
        <f>'Base Preços MP'!G25</f>
        <v>1.64</v>
      </c>
      <c r="I25" s="172">
        <f>E23*13/100</f>
        <v>3.2500000000000001E-2</v>
      </c>
      <c r="J25" s="150">
        <f>F25*H25</f>
        <v>0</v>
      </c>
      <c r="K25" s="111">
        <f t="shared" si="2"/>
        <v>0.43550000000000005</v>
      </c>
      <c r="L25" s="687" t="str">
        <f t="shared" si="0"/>
        <v>Cloreto de Potassio liquido 15 % Bunge</v>
      </c>
      <c r="M25" s="687"/>
      <c r="N25" s="687"/>
      <c r="O25" s="117">
        <f>F25*M16/1000</f>
        <v>0</v>
      </c>
      <c r="P25" s="161">
        <v>5.382E-2</v>
      </c>
      <c r="Q25" s="165" t="s">
        <v>112</v>
      </c>
      <c r="R25" s="166"/>
      <c r="U25" s="144"/>
      <c r="V25" s="146"/>
    </row>
    <row r="26" spans="1:22" x14ac:dyDescent="0.2">
      <c r="A26" s="1"/>
      <c r="B26" s="679" t="s">
        <v>128</v>
      </c>
      <c r="C26" s="680"/>
      <c r="D26" s="681"/>
      <c r="E26" s="101">
        <f t="shared" si="1"/>
        <v>0</v>
      </c>
      <c r="F26" s="83">
        <v>0</v>
      </c>
      <c r="G26" s="114" t="s">
        <v>105</v>
      </c>
      <c r="H26" s="149">
        <f>'Base Preços MP'!G40</f>
        <v>1.4</v>
      </c>
      <c r="I26" s="171">
        <f>E28*17/100</f>
        <v>0</v>
      </c>
      <c r="J26" s="150">
        <f t="shared" si="3"/>
        <v>0</v>
      </c>
      <c r="K26" s="111">
        <f t="shared" si="2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0</v>
      </c>
      <c r="P26" s="161">
        <v>9.3500000000000024E-3</v>
      </c>
      <c r="Q26" s="165" t="s">
        <v>105</v>
      </c>
      <c r="R26" s="166"/>
      <c r="U26" s="144"/>
      <c r="V26" s="146"/>
    </row>
    <row r="27" spans="1:22" x14ac:dyDescent="0.2">
      <c r="A27" s="1"/>
      <c r="B27" s="688" t="s">
        <v>146</v>
      </c>
      <c r="C27" s="689"/>
      <c r="D27" s="690"/>
      <c r="E27" s="101">
        <f t="shared" si="1"/>
        <v>0</v>
      </c>
      <c r="F27" s="83"/>
      <c r="G27" s="114" t="s">
        <v>122</v>
      </c>
      <c r="H27" s="149">
        <f>'Base Preços MP'!G30</f>
        <v>2.1</v>
      </c>
      <c r="I27" s="171">
        <f>E29*39/100</f>
        <v>6.3765000000000009</v>
      </c>
      <c r="J27" s="150">
        <f t="shared" si="3"/>
        <v>0</v>
      </c>
      <c r="K27" s="111">
        <f t="shared" si="2"/>
        <v>85.445100000000025</v>
      </c>
      <c r="L27" s="687" t="str">
        <f t="shared" si="0"/>
        <v>Cloreto de Calcio liquido River 14 %</v>
      </c>
      <c r="M27" s="687"/>
      <c r="N27" s="687"/>
      <c r="O27" s="117">
        <f>F27*M16/1000</f>
        <v>0</v>
      </c>
      <c r="P27" s="161">
        <v>2.7300000000000002E-3</v>
      </c>
      <c r="Q27" s="165" t="s">
        <v>122</v>
      </c>
      <c r="R27" s="166"/>
      <c r="U27" s="144"/>
      <c r="V27" s="146"/>
    </row>
    <row r="28" spans="1:22" x14ac:dyDescent="0.2">
      <c r="A28" s="1"/>
      <c r="B28" s="679" t="s">
        <v>30</v>
      </c>
      <c r="C28" s="680"/>
      <c r="D28" s="681"/>
      <c r="E28" s="101">
        <f t="shared" si="1"/>
        <v>0</v>
      </c>
      <c r="F28" s="83"/>
      <c r="G28" s="1"/>
      <c r="H28" s="149">
        <f>'Base Preços MP'!G11</f>
        <v>3.4</v>
      </c>
      <c r="I28" s="1"/>
      <c r="J28" s="150">
        <f t="shared" si="3"/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66"/>
      <c r="U28" s="144"/>
      <c r="V28" s="146"/>
    </row>
    <row r="29" spans="1:22" x14ac:dyDescent="0.2">
      <c r="A29" s="1"/>
      <c r="B29" s="682" t="s">
        <v>472</v>
      </c>
      <c r="C29" s="680"/>
      <c r="D29" s="681"/>
      <c r="E29" s="101">
        <f t="shared" si="1"/>
        <v>16.350000000000001</v>
      </c>
      <c r="F29" s="173">
        <v>163.5</v>
      </c>
      <c r="G29" s="1"/>
      <c r="H29" s="149">
        <f>'Base Preços MP'!G19</f>
        <v>3.5</v>
      </c>
      <c r="I29" s="1"/>
      <c r="J29" s="150">
        <f t="shared" si="3"/>
        <v>572.25</v>
      </c>
      <c r="K29" s="103"/>
      <c r="L29" s="687" t="str">
        <f t="shared" si="0"/>
        <v>MAP CRISTALINO</v>
      </c>
      <c r="M29" s="687"/>
      <c r="N29" s="687"/>
      <c r="O29" s="117">
        <f>F29*M16/1000</f>
        <v>5264.6999999999989</v>
      </c>
      <c r="P29" s="103"/>
      <c r="Q29" s="103"/>
      <c r="R29" s="166"/>
      <c r="U29" s="144"/>
      <c r="V29" s="146"/>
    </row>
    <row r="30" spans="1:22" x14ac:dyDescent="0.2">
      <c r="A30" s="1"/>
      <c r="B30" s="679" t="s">
        <v>113</v>
      </c>
      <c r="C30" s="680"/>
      <c r="D30" s="681"/>
      <c r="E30" s="101">
        <f t="shared" si="1"/>
        <v>0</v>
      </c>
      <c r="F30" s="83"/>
      <c r="G30" s="1"/>
      <c r="H30" s="149">
        <f>'Base Preços MP'!G45</f>
        <v>1.81</v>
      </c>
      <c r="I30" s="1"/>
      <c r="J30" s="150">
        <f t="shared" si="3"/>
        <v>0</v>
      </c>
      <c r="K30" s="103"/>
      <c r="L30" s="687" t="str">
        <f t="shared" si="0"/>
        <v>UREIA</v>
      </c>
      <c r="M30" s="687"/>
      <c r="N30" s="687"/>
      <c r="O30" s="117">
        <f>F30*M16/1000</f>
        <v>0</v>
      </c>
      <c r="P30" s="103"/>
      <c r="Q30" s="103"/>
      <c r="R30" s="166"/>
      <c r="U30" s="144"/>
      <c r="V30" s="146"/>
    </row>
    <row r="31" spans="1:22" x14ac:dyDescent="0.2">
      <c r="A31" s="1"/>
      <c r="B31" s="659" t="s">
        <v>147</v>
      </c>
      <c r="C31" s="660"/>
      <c r="D31" s="661"/>
      <c r="E31" s="147">
        <f t="shared" si="1"/>
        <v>0</v>
      </c>
      <c r="F31" s="140"/>
      <c r="G31" s="103"/>
      <c r="H31" s="113">
        <f>'Base Preços MP'!G24</f>
        <v>4.3</v>
      </c>
      <c r="I31" s="103"/>
      <c r="J31" s="112">
        <f t="shared" si="3"/>
        <v>0</v>
      </c>
      <c r="K31" s="103"/>
      <c r="L31" s="691" t="str">
        <f>B31</f>
        <v>Cloreto de Potasio 60 % Solido</v>
      </c>
      <c r="M31" s="692"/>
      <c r="N31" s="692"/>
      <c r="O31" s="121">
        <f>F31*M16/1000</f>
        <v>0</v>
      </c>
      <c r="P31" s="103"/>
      <c r="Q31" s="103"/>
      <c r="R31" s="164"/>
      <c r="U31" s="145"/>
    </row>
    <row r="32" spans="1:22" x14ac:dyDescent="0.2">
      <c r="A32" s="1"/>
      <c r="B32" s="4" t="s">
        <v>104</v>
      </c>
      <c r="C32" s="4"/>
      <c r="D32" s="4"/>
      <c r="E32" s="1">
        <f>SUM(E17:E31)</f>
        <v>116.35</v>
      </c>
      <c r="F32" s="4">
        <f>SUM(F17:F31)</f>
        <v>1163.5</v>
      </c>
      <c r="G32" s="103"/>
      <c r="H32" s="108"/>
      <c r="I32" s="103"/>
      <c r="J32" s="108"/>
      <c r="K32" s="103"/>
      <c r="L32" s="103" t="s">
        <v>43</v>
      </c>
      <c r="M32" s="103"/>
      <c r="N32" s="103"/>
      <c r="O32" s="103">
        <f>SUM(O17:O31)</f>
        <v>37464.69999999999</v>
      </c>
      <c r="P32" s="103"/>
      <c r="Q32" s="103"/>
      <c r="R32" s="103"/>
    </row>
    <row r="33" spans="1:18" x14ac:dyDescent="0.2">
      <c r="A33" s="22"/>
      <c r="B33" s="21"/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>
        <v>1</v>
      </c>
      <c r="B34" s="1" t="s">
        <v>8</v>
      </c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/>
      <c r="C35" s="1"/>
      <c r="D35" s="304">
        <v>1.19</v>
      </c>
      <c r="E35" s="1"/>
      <c r="F35" s="1"/>
      <c r="G35" s="1"/>
      <c r="H35" s="17"/>
      <c r="I35" s="1"/>
      <c r="J35" s="25"/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 t="s">
        <v>2</v>
      </c>
      <c r="C36" s="1"/>
      <c r="D36" s="303">
        <v>1.1499999999999999</v>
      </c>
      <c r="E36" s="1"/>
      <c r="F36" s="1"/>
      <c r="G36" s="1"/>
      <c r="H36" s="17" t="s">
        <v>1</v>
      </c>
      <c r="I36" s="1"/>
      <c r="J36" s="18">
        <f>SUM(J17:J35)</f>
        <v>4014.4250000000002</v>
      </c>
      <c r="K36" s="103"/>
      <c r="L36" s="103"/>
      <c r="M36" s="103" t="s">
        <v>256</v>
      </c>
      <c r="N36" s="103">
        <v>0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 t="s">
        <v>26</v>
      </c>
      <c r="I37" s="1"/>
      <c r="J37" s="30">
        <v>1000</v>
      </c>
      <c r="K37" s="103"/>
      <c r="L37" s="103"/>
      <c r="M37" s="103" t="s">
        <v>105</v>
      </c>
      <c r="N37" s="103">
        <v>65</v>
      </c>
      <c r="O37" s="103"/>
      <c r="P37" s="103"/>
      <c r="Q37" s="103"/>
      <c r="R37" s="103"/>
    </row>
    <row r="38" spans="1:18" x14ac:dyDescent="0.2">
      <c r="A38" s="1"/>
      <c r="B38" s="23"/>
      <c r="C38" s="1"/>
      <c r="D38" s="27"/>
      <c r="E38" s="23"/>
      <c r="F38" s="101"/>
      <c r="G38" s="1"/>
      <c r="H38" s="23"/>
      <c r="I38" s="27"/>
      <c r="J38" s="29"/>
      <c r="K38" s="103"/>
      <c r="L38" s="103"/>
      <c r="M38" s="103" t="s">
        <v>257</v>
      </c>
      <c r="N38" s="103">
        <v>70</v>
      </c>
      <c r="O38" s="103"/>
      <c r="P38" s="103"/>
      <c r="Q38" s="103"/>
      <c r="R38" s="103"/>
    </row>
    <row r="39" spans="1:18" x14ac:dyDescent="0.2">
      <c r="A39" s="1"/>
      <c r="B39" s="3" t="s">
        <v>15</v>
      </c>
      <c r="C39" s="1"/>
      <c r="D39" s="520"/>
      <c r="E39" s="68" t="s">
        <v>77</v>
      </c>
      <c r="F39" s="102"/>
      <c r="G39" s="3"/>
      <c r="H39" s="1"/>
      <c r="I39" s="39"/>
      <c r="J39" s="68" t="s">
        <v>78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10</v>
      </c>
      <c r="C40" s="4"/>
      <c r="D40" s="521"/>
      <c r="E40" s="68">
        <f>J36/J37</f>
        <v>4.0144250000000001</v>
      </c>
      <c r="F40" s="16"/>
      <c r="G40" s="19" t="s">
        <v>16</v>
      </c>
      <c r="H40" s="4"/>
      <c r="I40" s="39"/>
      <c r="J40" s="68">
        <f>E40*D36</f>
        <v>4.61658875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11</v>
      </c>
      <c r="C41" s="1"/>
      <c r="D41" s="521"/>
      <c r="E41" s="68">
        <v>0.09</v>
      </c>
      <c r="F41" s="6"/>
      <c r="G41" s="3" t="s">
        <v>17</v>
      </c>
      <c r="H41" s="1"/>
      <c r="I41" s="39"/>
      <c r="J41" s="68">
        <f>E41*D36</f>
        <v>0.10349999999999999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14</v>
      </c>
      <c r="C42" s="1"/>
      <c r="D42" s="521"/>
      <c r="E42" s="68">
        <v>0</v>
      </c>
      <c r="F42" s="3"/>
      <c r="G42" s="3" t="s">
        <v>18</v>
      </c>
      <c r="H42" s="1"/>
      <c r="I42" s="39"/>
      <c r="J42" s="68">
        <f>E42*D36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79</v>
      </c>
      <c r="C43" s="1"/>
      <c r="D43" s="521"/>
      <c r="E43" s="68"/>
      <c r="F43" s="3"/>
      <c r="G43" s="3" t="s">
        <v>80</v>
      </c>
      <c r="H43" s="1"/>
      <c r="I43" s="39"/>
      <c r="J43" s="68">
        <f>E43*D36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42</v>
      </c>
      <c r="C44" s="1"/>
      <c r="D44" s="520"/>
      <c r="E44" s="142"/>
      <c r="F44" s="3"/>
      <c r="G44" s="3" t="s">
        <v>81</v>
      </c>
      <c r="H44" s="1"/>
      <c r="I44" s="33"/>
      <c r="J44" s="142">
        <f>E44*D36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 t="s">
        <v>12</v>
      </c>
      <c r="C45" s="1"/>
      <c r="D45" s="4"/>
      <c r="E45" s="1">
        <f>E40+E41+E42+E43+E44</f>
        <v>4.104425</v>
      </c>
      <c r="F45" s="19"/>
      <c r="G45" s="4" t="s">
        <v>19</v>
      </c>
      <c r="H45" s="4"/>
      <c r="I45" s="6"/>
      <c r="J45" s="28">
        <f>J40+J41+J42+J43+J44</f>
        <v>4.7200887500000004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/>
      <c r="B46" s="22"/>
      <c r="C46" s="22"/>
      <c r="D46" s="1"/>
      <c r="E46" s="1"/>
      <c r="F46" s="19"/>
      <c r="G46" s="4"/>
      <c r="H46" s="27"/>
      <c r="I46" s="33"/>
      <c r="J46" s="76"/>
      <c r="K46" s="103"/>
      <c r="L46" s="748"/>
      <c r="M46" s="697"/>
      <c r="N46" s="748"/>
      <c r="O46" s="697"/>
      <c r="P46" s="748"/>
      <c r="Q46" s="697"/>
      <c r="R46" s="103"/>
    </row>
    <row r="47" spans="1:18" x14ac:dyDescent="0.2">
      <c r="A47" s="1">
        <v>2</v>
      </c>
      <c r="B47" s="23" t="s">
        <v>9</v>
      </c>
      <c r="C47" s="23"/>
      <c r="D47" s="29"/>
      <c r="E47" s="3"/>
      <c r="F47" s="6"/>
      <c r="G47" s="4"/>
      <c r="H47" s="4" t="s">
        <v>20</v>
      </c>
      <c r="I47" s="527">
        <f>(100-J46)/100</f>
        <v>1</v>
      </c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/>
      <c r="C48" s="11"/>
      <c r="D48" s="31"/>
      <c r="E48" s="3" t="s">
        <v>84</v>
      </c>
      <c r="F48" s="6" t="s">
        <v>85</v>
      </c>
      <c r="G48" s="19"/>
      <c r="H48" s="26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 t="s">
        <v>22</v>
      </c>
      <c r="C49" s="1"/>
      <c r="D49" s="24" t="s">
        <v>13</v>
      </c>
      <c r="E49" s="36">
        <v>0</v>
      </c>
      <c r="F49" s="36">
        <v>0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60</v>
      </c>
      <c r="E50" s="36">
        <f>F50/D36</f>
        <v>0.48260869565217401</v>
      </c>
      <c r="F50" s="36">
        <f>'Base Preços MP'!C86</f>
        <v>0.55500000000000005</v>
      </c>
      <c r="G50" s="19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82</v>
      </c>
      <c r="E51" s="36"/>
      <c r="F51" s="36"/>
      <c r="G51" s="4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/>
      <c r="F52" s="36"/>
      <c r="G52" s="19" t="s">
        <v>471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315" t="s">
        <v>59</v>
      </c>
      <c r="E53" s="36">
        <f>F53/D36</f>
        <v>0.62521739130434795</v>
      </c>
      <c r="F53" s="36">
        <f>'Base Preços MP'!C90</f>
        <v>0.71900000000000008</v>
      </c>
      <c r="G53" s="1" t="s">
        <v>86</v>
      </c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/>
      <c r="B54" s="22"/>
      <c r="C54" s="35"/>
      <c r="D54" s="315" t="s">
        <v>61</v>
      </c>
      <c r="E54" s="36">
        <f>F54/D36</f>
        <v>2.7934782608695654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>
        <v>3</v>
      </c>
      <c r="B55" s="1" t="s">
        <v>25</v>
      </c>
      <c r="C55" s="1"/>
      <c r="D55" s="1"/>
      <c r="E55" s="36">
        <f>F55/D36</f>
        <v>0</v>
      </c>
      <c r="F55" s="36">
        <f>'Base Preços MP'!C93</f>
        <v>0</v>
      </c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/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288</v>
      </c>
      <c r="D58" s="65"/>
      <c r="E58" s="65"/>
      <c r="F58" s="58"/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64</v>
      </c>
      <c r="D59" s="67" t="s">
        <v>65</v>
      </c>
      <c r="E59" s="67" t="s">
        <v>66</v>
      </c>
      <c r="F59" s="72" t="s">
        <v>87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/>
      <c r="B60" s="694"/>
      <c r="C60" s="74" t="s">
        <v>23</v>
      </c>
      <c r="D60" s="70">
        <f>E45/I47+D42</f>
        <v>4.104425</v>
      </c>
      <c r="E60" s="70">
        <f>D60*D36</f>
        <v>4.7200887499999995</v>
      </c>
      <c r="F60" s="61" t="s">
        <v>88</v>
      </c>
      <c r="G60" s="33"/>
      <c r="H60" s="56"/>
      <c r="I60" s="19">
        <f>E60*10/100</f>
        <v>0.47200887499999994</v>
      </c>
      <c r="J60" s="41">
        <f>E60+I60</f>
        <v>5.1920976249999997</v>
      </c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 t="str">
        <f>'FUEL BLACK 20% NÃO USAR'!A60:B60</f>
        <v>Contentor Incluido</v>
      </c>
      <c r="B61" s="1"/>
      <c r="C61" s="69">
        <v>1000</v>
      </c>
      <c r="D61" s="70">
        <f>E45/I47+D42+E50</f>
        <v>4.587033695652174</v>
      </c>
      <c r="E61" s="70">
        <f>(J45+F50)/I47</f>
        <v>5.2750887500000001</v>
      </c>
      <c r="F61" s="51" t="s">
        <v>89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50</v>
      </c>
      <c r="D62" s="70"/>
      <c r="E62" s="70"/>
      <c r="F62" s="61" t="s">
        <v>90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/>
      <c r="E63" s="70"/>
      <c r="F63" s="51" t="s">
        <v>89</v>
      </c>
      <c r="G63" s="33">
        <f>E63/0.88</f>
        <v>0</v>
      </c>
      <c r="H63" s="20">
        <f>G63+0.5</f>
        <v>0.5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E45/I47+D42+E52</f>
        <v>4.104425</v>
      </c>
      <c r="E64" s="70">
        <f>D64*D36</f>
        <v>4.7200887499999995</v>
      </c>
      <c r="F64" s="61" t="s">
        <v>90</v>
      </c>
      <c r="G64" s="39">
        <f>E64/0.88</f>
        <v>5.3637372159090901</v>
      </c>
      <c r="H64" s="7">
        <f>G64+0.5</f>
        <v>5.8637372159090901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5</v>
      </c>
      <c r="D65" s="70">
        <f>E45/I47+D42+E53</f>
        <v>4.7296423913043482</v>
      </c>
      <c r="E65" s="70">
        <f>D65*D36</f>
        <v>5.4390887499999998</v>
      </c>
      <c r="F65" s="61" t="s">
        <v>94</v>
      </c>
      <c r="G65" s="87">
        <f>E65/0.88</f>
        <v>6.180782670454545</v>
      </c>
      <c r="H65" s="7">
        <f>G65+0.5</f>
        <v>6.680782670454545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300">
        <v>1</v>
      </c>
      <c r="D66" s="301">
        <f>E45/I47+D42+E54</f>
        <v>6.8979032608695654</v>
      </c>
      <c r="E66" s="301">
        <f>D66*D36</f>
        <v>7.9325887499999999</v>
      </c>
      <c r="F66" s="302" t="s">
        <v>95</v>
      </c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91"/>
      <c r="F68" s="92"/>
      <c r="G68" s="91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69"/>
  <sheetViews>
    <sheetView topLeftCell="A30" zoomScale="65" zoomScaleNormal="65" workbookViewId="0">
      <selection activeCell="J53" sqref="J53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 t="s">
        <v>34</v>
      </c>
      <c r="E7" s="63"/>
      <c r="F7" s="63"/>
      <c r="G7" s="24"/>
      <c r="H7" s="343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186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4" t="s">
        <v>67</v>
      </c>
      <c r="M15" s="34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1000</v>
      </c>
      <c r="M16" s="116">
        <f>+D35*L16</f>
        <v>1280</v>
      </c>
      <c r="N16" s="714"/>
      <c r="O16" s="715"/>
      <c r="P16" s="345" t="s">
        <v>152</v>
      </c>
      <c r="Q16" s="345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0</v>
      </c>
      <c r="F17" s="367"/>
      <c r="G17" s="357" t="s">
        <v>125</v>
      </c>
      <c r="H17" s="358">
        <f>'[6]Base Preços MP'!G10</f>
        <v>0.01</v>
      </c>
      <c r="I17" s="357">
        <f>E20*31/100+E26*7/100</f>
        <v>4.2202000000000002</v>
      </c>
      <c r="J17" s="359">
        <f>F17*H17</f>
        <v>0</v>
      </c>
      <c r="K17" s="111">
        <f>I17*1.34*10</f>
        <v>56.550680000000007</v>
      </c>
      <c r="L17" s="676" t="str">
        <f t="shared" ref="L17:L30" si="0">B17</f>
        <v>Agua</v>
      </c>
      <c r="M17" s="677"/>
      <c r="N17" s="678"/>
      <c r="O17" s="117">
        <f>F17*M16/1000</f>
        <v>0</v>
      </c>
      <c r="P17" s="109">
        <v>7.0724400000000003</v>
      </c>
      <c r="Q17" s="345" t="s">
        <v>125</v>
      </c>
      <c r="R17" s="103"/>
      <c r="U17" s="144"/>
      <c r="V17" s="146"/>
    </row>
    <row r="18" spans="1:22" x14ac:dyDescent="0.2">
      <c r="A18" s="1"/>
      <c r="B18" s="682" t="s">
        <v>126</v>
      </c>
      <c r="C18" s="724"/>
      <c r="D18" s="725"/>
      <c r="E18" s="315">
        <f t="shared" ref="E18:E30" si="1">F18/10</f>
        <v>0.5</v>
      </c>
      <c r="F18" s="83">
        <v>5</v>
      </c>
      <c r="G18" s="357" t="s">
        <v>69</v>
      </c>
      <c r="H18" s="360">
        <f>'Base Preços MP'!G12</f>
        <v>5.0999999999999996</v>
      </c>
      <c r="I18" s="357">
        <f>E19*60/100</f>
        <v>1.7460000000000002</v>
      </c>
      <c r="J18" s="359">
        <f>F18*H18</f>
        <v>25.5</v>
      </c>
      <c r="K18" s="111">
        <f t="shared" ref="K18:K27" si="2">I18*1.34*10</f>
        <v>23.396400000000007</v>
      </c>
      <c r="L18" s="676" t="str">
        <f t="shared" si="0"/>
        <v>Potasa Caustica en Escamas 86 %</v>
      </c>
      <c r="M18" s="677"/>
      <c r="N18" s="678"/>
      <c r="O18" s="117">
        <f>F18*M16/1000</f>
        <v>6.4</v>
      </c>
      <c r="P18" s="109">
        <v>1.7885999999999997</v>
      </c>
      <c r="Q18" s="345" t="s">
        <v>69</v>
      </c>
      <c r="R18" s="103"/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2.91</v>
      </c>
      <c r="F19" s="83">
        <v>29.1</v>
      </c>
      <c r="G19" s="357" t="s">
        <v>110</v>
      </c>
      <c r="H19" s="360">
        <f>'Base Preços MP'!G15</f>
        <v>4.95</v>
      </c>
      <c r="I19" s="357">
        <f>E18*72.15/100+E25*60/100+E20*2/100</f>
        <v>22.213150000000002</v>
      </c>
      <c r="J19" s="359">
        <f t="shared" ref="J19:J30" si="3">F19*H19</f>
        <v>144.04500000000002</v>
      </c>
      <c r="K19" s="111">
        <f t="shared" si="2"/>
        <v>297.65621000000004</v>
      </c>
      <c r="L19" s="676" t="str">
        <f t="shared" si="0"/>
        <v>Acido Fosforico Tecnico 60% liquido</v>
      </c>
      <c r="M19" s="677"/>
      <c r="N19" s="678"/>
      <c r="O19" s="117">
        <f>F19*M16/1000</f>
        <v>37.247999999999998</v>
      </c>
      <c r="P19" s="109">
        <v>5.9720309999999994</v>
      </c>
      <c r="Q19" s="345" t="s">
        <v>110</v>
      </c>
      <c r="R19" s="103"/>
      <c r="U19" s="144"/>
      <c r="V19" s="146"/>
    </row>
    <row r="20" spans="1:22" x14ac:dyDescent="0.2">
      <c r="A20" s="1"/>
      <c r="B20" s="682" t="s">
        <v>540</v>
      </c>
      <c r="C20" s="724"/>
      <c r="D20" s="725"/>
      <c r="E20" s="315">
        <f t="shared" si="1"/>
        <v>12.620000000000001</v>
      </c>
      <c r="F20" s="83">
        <v>126.2</v>
      </c>
      <c r="G20" s="357" t="s">
        <v>106</v>
      </c>
      <c r="H20" s="361">
        <f>'Base Preços MP'!G38</f>
        <v>0.9</v>
      </c>
      <c r="I20" s="357">
        <f>E27*27/100</f>
        <v>10.692</v>
      </c>
      <c r="J20" s="359">
        <f>H20*F20</f>
        <v>113.58</v>
      </c>
      <c r="K20" s="111">
        <f t="shared" si="2"/>
        <v>143.27280000000002</v>
      </c>
      <c r="L20" s="676" t="str">
        <f t="shared" si="0"/>
        <v>nitrato de amonio liquido</v>
      </c>
      <c r="M20" s="677"/>
      <c r="N20" s="678"/>
      <c r="O20" s="117">
        <f>F20*M16/1000</f>
        <v>161.536</v>
      </c>
      <c r="P20" s="109">
        <v>4.3502400000000003</v>
      </c>
      <c r="Q20" s="345" t="s">
        <v>106</v>
      </c>
      <c r="R20" s="103"/>
      <c r="U20" s="144"/>
      <c r="V20" s="146"/>
    </row>
    <row r="21" spans="1:22" x14ac:dyDescent="0.2">
      <c r="A21" s="1"/>
      <c r="B21" s="683" t="s">
        <v>44</v>
      </c>
      <c r="C21" s="726"/>
      <c r="D21" s="727"/>
      <c r="E21" s="315">
        <f t="shared" si="1"/>
        <v>0.18</v>
      </c>
      <c r="F21" s="368">
        <v>1.8</v>
      </c>
      <c r="G21" s="357" t="s">
        <v>107</v>
      </c>
      <c r="H21" s="361">
        <f>'Base Preços MP'!G43</f>
        <v>2.7</v>
      </c>
      <c r="I21" s="357">
        <f>E26*7/100</f>
        <v>0.30800000000000005</v>
      </c>
      <c r="J21" s="359">
        <f t="shared" si="3"/>
        <v>4.8600000000000003</v>
      </c>
      <c r="K21" s="111">
        <f t="shared" si="2"/>
        <v>4.1272000000000011</v>
      </c>
      <c r="L21" s="686" t="str">
        <f t="shared" si="0"/>
        <v>Nitrato de Mn</v>
      </c>
      <c r="M21" s="686"/>
      <c r="N21" s="686"/>
      <c r="O21" s="117">
        <f>F21*M16/1000</f>
        <v>2.3039999999999998</v>
      </c>
      <c r="P21" s="161">
        <v>0.41426000000000002</v>
      </c>
      <c r="Q21" s="345" t="s">
        <v>107</v>
      </c>
      <c r="R21" s="103"/>
      <c r="U21" s="144"/>
      <c r="V21" s="146"/>
    </row>
    <row r="22" spans="1:22" x14ac:dyDescent="0.2">
      <c r="A22" s="1"/>
      <c r="B22" s="682" t="s">
        <v>597</v>
      </c>
      <c r="C22" s="724"/>
      <c r="D22" s="725"/>
      <c r="E22" s="315">
        <f t="shared" si="1"/>
        <v>4.0999999999999995E-2</v>
      </c>
      <c r="F22" s="368">
        <v>0.41</v>
      </c>
      <c r="G22" s="357" t="s">
        <v>108</v>
      </c>
      <c r="H22" s="361">
        <f>'Base Preços MP'!G59</f>
        <v>3.8</v>
      </c>
      <c r="I22" s="357">
        <f>E21*14/100</f>
        <v>2.52E-2</v>
      </c>
      <c r="J22" s="359">
        <f>F22*H22</f>
        <v>1.5579999999999998</v>
      </c>
      <c r="K22" s="111">
        <f t="shared" si="2"/>
        <v>0.33767999999999998</v>
      </c>
      <c r="L22" s="687" t="str">
        <f t="shared" si="0"/>
        <v>SULFATO DE ZINCO</v>
      </c>
      <c r="M22" s="687"/>
      <c r="N22" s="687"/>
      <c r="O22" s="117">
        <f>F22*M16/1000</f>
        <v>0.52479999999999993</v>
      </c>
      <c r="P22" s="161">
        <v>2.198E-2</v>
      </c>
      <c r="Q22" s="345" t="s">
        <v>108</v>
      </c>
      <c r="R22" s="103"/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1"/>
        <v>0.41</v>
      </c>
      <c r="F23" s="83">
        <v>4.0999999999999996</v>
      </c>
      <c r="G23" s="357" t="s">
        <v>109</v>
      </c>
      <c r="H23" s="361">
        <f>'Base Preços MP'!G30</f>
        <v>2.1</v>
      </c>
      <c r="I23" s="315">
        <f>E22*21/100</f>
        <v>8.6099999999999996E-3</v>
      </c>
      <c r="J23" s="359">
        <f t="shared" si="3"/>
        <v>8.61</v>
      </c>
      <c r="K23" s="111">
        <f t="shared" si="2"/>
        <v>0.115374</v>
      </c>
      <c r="L23" s="687" t="str">
        <f t="shared" si="0"/>
        <v xml:space="preserve">Cloreto Ferrico Sol al 40% </v>
      </c>
      <c r="M23" s="687"/>
      <c r="N23" s="687"/>
      <c r="O23" s="117">
        <f>F23*M16/1000</f>
        <v>5.2480000000000002</v>
      </c>
      <c r="P23" s="161">
        <v>1.4070000000000001E-2</v>
      </c>
      <c r="Q23" s="345" t="s">
        <v>109</v>
      </c>
      <c r="R23" s="103"/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1"/>
        <v>0.53</v>
      </c>
      <c r="F24" s="83">
        <v>5.3</v>
      </c>
      <c r="G24" s="357" t="s">
        <v>111</v>
      </c>
      <c r="H24" s="361">
        <f>'Base Preços MP'!G29</f>
        <v>10.3</v>
      </c>
      <c r="I24" s="315">
        <f>E24*14/100</f>
        <v>7.4200000000000002E-2</v>
      </c>
      <c r="J24" s="359">
        <f>F24*H24</f>
        <v>54.59</v>
      </c>
      <c r="K24" s="111">
        <f t="shared" si="2"/>
        <v>0.99428000000000005</v>
      </c>
      <c r="L24" s="687" t="str">
        <f t="shared" si="0"/>
        <v>Cloreto de Cu 14% liquido</v>
      </c>
      <c r="M24" s="687"/>
      <c r="N24" s="687"/>
      <c r="O24" s="117">
        <f>F24*M16/1000</f>
        <v>6.7839999999999998</v>
      </c>
      <c r="P24" s="161">
        <v>7.4200000000000002E-2</v>
      </c>
      <c r="Q24" s="345" t="s">
        <v>111</v>
      </c>
      <c r="R24" s="103"/>
      <c r="U24" s="144"/>
      <c r="V24" s="146"/>
    </row>
    <row r="25" spans="1:22" x14ac:dyDescent="0.2">
      <c r="A25" s="1"/>
      <c r="B25" s="682" t="s">
        <v>170</v>
      </c>
      <c r="C25" s="724"/>
      <c r="D25" s="725"/>
      <c r="E25" s="315">
        <f t="shared" si="1"/>
        <v>36</v>
      </c>
      <c r="F25" s="83">
        <v>360</v>
      </c>
      <c r="G25" s="357" t="s">
        <v>112</v>
      </c>
      <c r="H25" s="361">
        <f>'Base Preços MP'!G26</f>
        <v>0.53</v>
      </c>
      <c r="I25" s="315">
        <f>E23*13/100</f>
        <v>5.33E-2</v>
      </c>
      <c r="J25" s="359">
        <f>F25*H25</f>
        <v>190.8</v>
      </c>
      <c r="K25" s="111">
        <f t="shared" si="2"/>
        <v>0.71421999999999997</v>
      </c>
      <c r="L25" s="687" t="str">
        <f t="shared" si="0"/>
        <v>Cloreto de Potasio 15%</v>
      </c>
      <c r="M25" s="687"/>
      <c r="N25" s="687"/>
      <c r="O25" s="117">
        <f>F25*M16/1000</f>
        <v>460.8</v>
      </c>
      <c r="P25" s="161">
        <v>5.382E-2</v>
      </c>
      <c r="Q25" s="345" t="s">
        <v>112</v>
      </c>
      <c r="R25" s="103"/>
      <c r="U25" s="144"/>
      <c r="V25" s="146"/>
    </row>
    <row r="26" spans="1:22" x14ac:dyDescent="0.2">
      <c r="A26" s="1"/>
      <c r="B26" s="682" t="s">
        <v>596</v>
      </c>
      <c r="C26" s="724"/>
      <c r="D26" s="725"/>
      <c r="E26" s="315">
        <f t="shared" si="1"/>
        <v>4.4000000000000004</v>
      </c>
      <c r="F26" s="83">
        <v>44</v>
      </c>
      <c r="G26" s="357" t="s">
        <v>105</v>
      </c>
      <c r="H26" s="362">
        <f>'Base Preços MP'!G66</f>
        <v>3.05</v>
      </c>
      <c r="I26" s="369">
        <f>E28*17/100</f>
        <v>1.0200000000000001E-2</v>
      </c>
      <c r="J26" s="359">
        <f t="shared" si="3"/>
        <v>134.19999999999999</v>
      </c>
      <c r="K26" s="111">
        <f t="shared" si="2"/>
        <v>0.13668000000000002</v>
      </c>
      <c r="L26" s="687" t="str">
        <f t="shared" si="0"/>
        <v>NITRATO MAG YARA</v>
      </c>
      <c r="M26" s="687"/>
      <c r="N26" s="687"/>
      <c r="O26" s="117">
        <f>F26*M16/1000</f>
        <v>56.32</v>
      </c>
      <c r="P26" s="161">
        <v>9.3500000000000024E-3</v>
      </c>
      <c r="Q26" s="345" t="s">
        <v>105</v>
      </c>
      <c r="R26" s="103"/>
      <c r="U26" s="144"/>
      <c r="V26" s="146"/>
    </row>
    <row r="27" spans="1:22" x14ac:dyDescent="0.2">
      <c r="A27" s="1"/>
      <c r="B27" s="682" t="s">
        <v>241</v>
      </c>
      <c r="C27" s="724"/>
      <c r="D27" s="725"/>
      <c r="E27" s="315">
        <f t="shared" si="1"/>
        <v>39.6</v>
      </c>
      <c r="F27" s="83">
        <v>396</v>
      </c>
      <c r="G27" s="357" t="s">
        <v>122</v>
      </c>
      <c r="H27" s="362">
        <f>'Base Preços MP'!G40</f>
        <v>1.4</v>
      </c>
      <c r="I27" s="369">
        <f>E29*39/100</f>
        <v>3.9000000000000003E-3</v>
      </c>
      <c r="J27" s="359">
        <f t="shared" si="3"/>
        <v>554.4</v>
      </c>
      <c r="K27" s="111">
        <f t="shared" si="2"/>
        <v>5.2260000000000008E-2</v>
      </c>
      <c r="L27" s="687" t="str">
        <f t="shared" si="0"/>
        <v>FERT CALCIO</v>
      </c>
      <c r="M27" s="687"/>
      <c r="N27" s="687"/>
      <c r="O27" s="117">
        <f>F27*M16/1000</f>
        <v>506.88</v>
      </c>
      <c r="P27" s="161">
        <v>2.7300000000000002E-3</v>
      </c>
      <c r="Q27" s="345" t="s">
        <v>122</v>
      </c>
      <c r="R27" s="103"/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1"/>
        <v>0.06</v>
      </c>
      <c r="F28" s="83">
        <v>0.6</v>
      </c>
      <c r="G28" s="1"/>
      <c r="H28" s="362">
        <f>'Base Preços MP'!G11</f>
        <v>3.4</v>
      </c>
      <c r="I28" s="1"/>
      <c r="J28" s="359">
        <f>F28*H28</f>
        <v>2.04</v>
      </c>
      <c r="K28" s="103"/>
      <c r="L28" s="687" t="str">
        <f t="shared" si="0"/>
        <v>Acido Borico</v>
      </c>
      <c r="M28" s="687"/>
      <c r="N28" s="687"/>
      <c r="O28" s="117">
        <f>F28*M16/1000</f>
        <v>0.76800000000000002</v>
      </c>
      <c r="P28" s="103"/>
      <c r="Q28" s="103"/>
      <c r="R28" s="103"/>
      <c r="U28" s="144"/>
      <c r="V28" s="146"/>
    </row>
    <row r="29" spans="1:22" x14ac:dyDescent="0.2">
      <c r="A29" s="1"/>
      <c r="B29" s="682" t="s">
        <v>28</v>
      </c>
      <c r="C29" s="724"/>
      <c r="D29" s="725"/>
      <c r="E29" s="315">
        <f t="shared" si="1"/>
        <v>0.01</v>
      </c>
      <c r="F29" s="83">
        <v>0.1</v>
      </c>
      <c r="G29" s="1"/>
      <c r="H29" s="362">
        <f>'Base Preços MP'!G37</f>
        <v>52</v>
      </c>
      <c r="I29" s="1"/>
      <c r="J29" s="359">
        <f t="shared" si="3"/>
        <v>5.2</v>
      </c>
      <c r="K29" s="103"/>
      <c r="L29" s="687" t="str">
        <f t="shared" si="0"/>
        <v>Molbdato de Sodio</v>
      </c>
      <c r="M29" s="687"/>
      <c r="N29" s="687"/>
      <c r="O29" s="117">
        <f>F29*M16/1000</f>
        <v>0.128</v>
      </c>
      <c r="P29" s="103"/>
      <c r="Q29" s="103"/>
      <c r="R29" s="103"/>
      <c r="U29" s="144"/>
      <c r="V29" s="146"/>
    </row>
    <row r="30" spans="1:22" x14ac:dyDescent="0.2">
      <c r="A30" s="1"/>
      <c r="B30" s="682" t="s">
        <v>240</v>
      </c>
      <c r="C30" s="724"/>
      <c r="D30" s="725"/>
      <c r="E30" s="315">
        <f t="shared" si="1"/>
        <v>2.9</v>
      </c>
      <c r="F30" s="83">
        <v>29</v>
      </c>
      <c r="G30" s="1"/>
      <c r="H30" s="362">
        <f>'Base Preços MP'!G34</f>
        <v>7.75</v>
      </c>
      <c r="I30" s="1"/>
      <c r="J30" s="359">
        <f t="shared" si="3"/>
        <v>224.75</v>
      </c>
      <c r="K30" s="103"/>
      <c r="L30" s="687" t="str">
        <f t="shared" si="0"/>
        <v>EDTA</v>
      </c>
      <c r="M30" s="687"/>
      <c r="N30" s="687"/>
      <c r="O30" s="117">
        <f>F30*M16/1000</f>
        <v>37.119999999999997</v>
      </c>
      <c r="P30" s="103"/>
      <c r="Q30" s="103"/>
      <c r="R30" s="103"/>
      <c r="U30" s="144"/>
      <c r="V30" s="146"/>
    </row>
    <row r="31" spans="1:22" x14ac:dyDescent="0.2">
      <c r="A31" s="1"/>
      <c r="B31" s="783" t="s">
        <v>172</v>
      </c>
      <c r="C31" s="784"/>
      <c r="D31" s="785"/>
      <c r="E31" s="370">
        <f>F31/10</f>
        <v>0</v>
      </c>
      <c r="F31" s="371"/>
      <c r="G31" s="103"/>
      <c r="H31" s="362">
        <f>'Base Preços MP'!G46</f>
        <v>1.7</v>
      </c>
      <c r="I31" s="103"/>
      <c r="J31" s="281">
        <f>F31*H31</f>
        <v>0</v>
      </c>
      <c r="K31" s="103"/>
      <c r="L31" s="786" t="str">
        <f>B31</f>
        <v>Ureia</v>
      </c>
      <c r="M31" s="787"/>
      <c r="N31" s="788"/>
      <c r="O31" s="372">
        <v>83.2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24">
        <f>SUM(E17:E31)</f>
        <v>100.16100000000002</v>
      </c>
      <c r="F32" s="4">
        <f>SUM(F17:F31)</f>
        <v>1001.6100000000001</v>
      </c>
      <c r="G32" s="103"/>
      <c r="H32" s="108"/>
      <c r="I32" s="103"/>
      <c r="J32" s="108"/>
      <c r="K32" s="103"/>
      <c r="L32" s="103"/>
      <c r="M32" s="103"/>
      <c r="N32" s="103"/>
      <c r="O32" s="121">
        <f>SUM(O17:O31)</f>
        <v>1365.2608</v>
      </c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1.28</v>
      </c>
      <c r="E35" s="1"/>
      <c r="F35" s="1"/>
      <c r="G35" s="1"/>
      <c r="H35" s="17" t="s">
        <v>1</v>
      </c>
      <c r="I35" s="1"/>
      <c r="J35" s="25">
        <f>SUM(J17:J34)</f>
        <v>1464.133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259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0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526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524">
        <f>J35/J36</f>
        <v>1.4641330000000001</v>
      </c>
      <c r="F39" s="364"/>
      <c r="G39" s="3" t="s">
        <v>16</v>
      </c>
      <c r="H39" s="1"/>
      <c r="I39" s="39"/>
      <c r="J39" s="68">
        <f>E39*D35</f>
        <v>1.8740902400000001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521"/>
      <c r="E40" s="524">
        <v>0.09</v>
      </c>
      <c r="F40" s="16"/>
      <c r="G40" s="19" t="s">
        <v>17</v>
      </c>
      <c r="H40" s="4"/>
      <c r="I40" s="39"/>
      <c r="J40" s="68">
        <f>E40*D35</f>
        <v>0.1152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524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524">
        <v>0</v>
      </c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524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525">
        <f>E39+E40+E41+E42+E43</f>
        <v>1.5541330000000002</v>
      </c>
      <c r="F44" s="3"/>
      <c r="G44" s="3" t="s">
        <v>19</v>
      </c>
      <c r="H44" s="1"/>
      <c r="I44" s="33"/>
      <c r="J44" s="142">
        <f>J39+J40+J41+J42+J43</f>
        <v>1.9892902400000001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/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0.19599999999999998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0.4300000000000001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1.033203125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2.509765625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/>
      <c r="D57" s="1"/>
      <c r="E57" s="1"/>
      <c r="F57" s="19"/>
      <c r="G57" s="4"/>
      <c r="H57" s="56" t="s">
        <v>323</v>
      </c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/>
      <c r="H58" s="56">
        <v>1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1.5541330000000002</v>
      </c>
      <c r="E59" s="67">
        <f>D59*D35</f>
        <v>1.9892902400000003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'[6]FUEL BLACK 20%'!A60:B60</f>
        <v>Contentor Incluido</v>
      </c>
      <c r="B60" s="694"/>
      <c r="C60" s="74">
        <v>1000</v>
      </c>
      <c r="D60" s="70">
        <f>E44/I46+D41+E49</f>
        <v>1.7501330000000002</v>
      </c>
      <c r="E60" s="70">
        <f>D60*D35</f>
        <v>2.2401702400000003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1.9841330000000004</v>
      </c>
      <c r="E63" s="70">
        <f>D63*D35</f>
        <v>2.5396902400000005</v>
      </c>
      <c r="F63" s="51" t="s">
        <v>90</v>
      </c>
      <c r="G63" s="465">
        <v>5.5</v>
      </c>
      <c r="H63" s="465">
        <v>6</v>
      </c>
      <c r="I63" s="466"/>
      <c r="J63" s="467">
        <v>7</v>
      </c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2.5873361250000002</v>
      </c>
      <c r="E64" s="70">
        <f>D64*D35</f>
        <v>3.3117902400000006</v>
      </c>
      <c r="F64" s="61" t="s">
        <v>94</v>
      </c>
      <c r="G64" s="39"/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4.0638986250000002</v>
      </c>
      <c r="E65" s="70">
        <f>D65*D35</f>
        <v>5.2017902400000002</v>
      </c>
      <c r="F65" s="61" t="s">
        <v>95</v>
      </c>
      <c r="G65" s="8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342"/>
      <c r="F68" s="92"/>
      <c r="G68" s="342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2"/>
      <c r="F69" s="92"/>
      <c r="G69" s="342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A69:B69"/>
    <mergeCell ref="B26:D26"/>
    <mergeCell ref="L26:N26"/>
    <mergeCell ref="B27:D27"/>
    <mergeCell ref="L27:N27"/>
    <mergeCell ref="B29:D29"/>
    <mergeCell ref="L29:N29"/>
    <mergeCell ref="L45:Q45"/>
    <mergeCell ref="P50:Q50"/>
    <mergeCell ref="L51:M51"/>
    <mergeCell ref="N51:O51"/>
    <mergeCell ref="P51:Q51"/>
    <mergeCell ref="L48:M48"/>
    <mergeCell ref="N48:O48"/>
    <mergeCell ref="P48:Q48"/>
    <mergeCell ref="L49:M49"/>
    <mergeCell ref="B19:D19"/>
    <mergeCell ref="L19:N19"/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L18:N18"/>
    <mergeCell ref="B18:D18"/>
    <mergeCell ref="L46:M46"/>
    <mergeCell ref="N46:O46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N49:O49"/>
    <mergeCell ref="P49:Q49"/>
    <mergeCell ref="L50:M50"/>
    <mergeCell ref="N50:O50"/>
    <mergeCell ref="B25:D25"/>
    <mergeCell ref="L25:N25"/>
    <mergeCell ref="B28:D28"/>
    <mergeCell ref="L28:N28"/>
    <mergeCell ref="B30:D30"/>
    <mergeCell ref="L30:N30"/>
    <mergeCell ref="B31:D31"/>
    <mergeCell ref="L31:N31"/>
    <mergeCell ref="P46:Q46"/>
    <mergeCell ref="L47:M47"/>
    <mergeCell ref="N47:O47"/>
    <mergeCell ref="P47:Q47"/>
    <mergeCell ref="L52:M52"/>
    <mergeCell ref="N52:O52"/>
    <mergeCell ref="P52:Q52"/>
    <mergeCell ref="L53:M53"/>
    <mergeCell ref="N53:O53"/>
    <mergeCell ref="P53:Q53"/>
    <mergeCell ref="A67:B67"/>
    <mergeCell ref="A68:B68"/>
    <mergeCell ref="L54:M54"/>
    <mergeCell ref="N54:O54"/>
    <mergeCell ref="P54:Q54"/>
    <mergeCell ref="A66:B66"/>
    <mergeCell ref="L55:M55"/>
    <mergeCell ref="N55:O55"/>
    <mergeCell ref="P55:Q55"/>
    <mergeCell ref="A60:B60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70"/>
  <sheetViews>
    <sheetView topLeftCell="A32" zoomScale="69" zoomScaleNormal="69" workbookViewId="0">
      <selection activeCell="F68" sqref="F68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343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4" t="s">
        <v>67</v>
      </c>
      <c r="M15" s="34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1000</v>
      </c>
      <c r="M16" s="116">
        <f>L16*D35</f>
        <v>1190</v>
      </c>
      <c r="N16" s="714"/>
      <c r="O16" s="715"/>
      <c r="P16" s="344" t="s">
        <v>153</v>
      </c>
      <c r="Q16" s="344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19.649999999999999</v>
      </c>
      <c r="F17" s="367">
        <v>196.5</v>
      </c>
      <c r="G17" s="357" t="s">
        <v>125</v>
      </c>
      <c r="H17" s="156">
        <f>'[6]Base Preços MP'!G10</f>
        <v>0.01</v>
      </c>
      <c r="I17" s="357">
        <f>E20*21/100+E26*7/100</f>
        <v>0.88829999999999998</v>
      </c>
      <c r="J17" s="374">
        <f>F17*H17</f>
        <v>1.9650000000000001</v>
      </c>
      <c r="K17" s="111">
        <f>I17*1.34*10</f>
        <v>11.903220000000001</v>
      </c>
      <c r="L17" s="676" t="str">
        <f t="shared" ref="L17:L30" si="0">B17</f>
        <v>Agua</v>
      </c>
      <c r="M17" s="677"/>
      <c r="N17" s="678"/>
      <c r="O17" s="117">
        <f>F17*M16/1000</f>
        <v>233.83500000000001</v>
      </c>
      <c r="P17" s="109">
        <v>7.0724400000000003</v>
      </c>
      <c r="Q17" s="375" t="s">
        <v>125</v>
      </c>
      <c r="R17" s="103"/>
      <c r="U17" s="144"/>
      <c r="V17" s="146"/>
    </row>
    <row r="18" spans="1:22" x14ac:dyDescent="0.2">
      <c r="A18" s="1"/>
      <c r="B18" s="682" t="s">
        <v>242</v>
      </c>
      <c r="C18" s="724"/>
      <c r="D18" s="725"/>
      <c r="E18" s="315">
        <f>F18/10</f>
        <v>0</v>
      </c>
      <c r="F18" s="83"/>
      <c r="G18" s="357" t="s">
        <v>69</v>
      </c>
      <c r="H18" s="157">
        <f>'[6]Base Preços MP'!G14</f>
        <v>5.4969999999999999</v>
      </c>
      <c r="I18" s="357">
        <f>E19*60/100</f>
        <v>7.8119999999999994</v>
      </c>
      <c r="J18" s="374">
        <f>F18*H18</f>
        <v>0</v>
      </c>
      <c r="K18" s="111">
        <f t="shared" ref="K18:K27" si="1">I18*1.34*10</f>
        <v>104.6808</v>
      </c>
      <c r="L18" s="676" t="str">
        <f t="shared" si="0"/>
        <v>Acido Fosforico</v>
      </c>
      <c r="M18" s="677"/>
      <c r="N18" s="678"/>
      <c r="O18" s="117">
        <f>F18*M16/1000</f>
        <v>0</v>
      </c>
      <c r="P18" s="109">
        <v>1.7885999999999997</v>
      </c>
      <c r="Q18" s="375" t="s">
        <v>69</v>
      </c>
      <c r="R18" s="103"/>
      <c r="U18" s="144"/>
      <c r="V18" s="146"/>
    </row>
    <row r="19" spans="1:22" x14ac:dyDescent="0.2">
      <c r="A19" s="1"/>
      <c r="B19" s="682" t="s">
        <v>271</v>
      </c>
      <c r="C19" s="724"/>
      <c r="D19" s="725"/>
      <c r="E19" s="315">
        <f t="shared" ref="E19:E30" si="2">F19/10</f>
        <v>13.02</v>
      </c>
      <c r="F19" s="83">
        <v>130.19999999999999</v>
      </c>
      <c r="G19" s="357" t="s">
        <v>110</v>
      </c>
      <c r="H19" s="157">
        <f>'[6]Base Preços MP'!G26</f>
        <v>1.31</v>
      </c>
      <c r="I19" s="357">
        <f>E18*75.5/100+E25*60/100</f>
        <v>0</v>
      </c>
      <c r="J19" s="374">
        <f>F19*H19</f>
        <v>170.56199999999998</v>
      </c>
      <c r="K19" s="111">
        <f t="shared" si="1"/>
        <v>0</v>
      </c>
      <c r="L19" s="676" t="str">
        <f t="shared" si="0"/>
        <v>Cloreto de Ca 27,5%</v>
      </c>
      <c r="M19" s="677"/>
      <c r="N19" s="678"/>
      <c r="O19" s="117">
        <f>F19*M16/1000</f>
        <v>154.93799999999999</v>
      </c>
      <c r="P19" s="109">
        <v>5.9720309999999994</v>
      </c>
      <c r="Q19" s="375" t="s">
        <v>110</v>
      </c>
      <c r="R19" s="103"/>
      <c r="U19" s="144"/>
      <c r="V19" s="146"/>
    </row>
    <row r="20" spans="1:22" x14ac:dyDescent="0.2">
      <c r="A20" s="1"/>
      <c r="B20" s="682" t="s">
        <v>113</v>
      </c>
      <c r="C20" s="724"/>
      <c r="D20" s="725"/>
      <c r="E20" s="315">
        <f t="shared" si="2"/>
        <v>2.23</v>
      </c>
      <c r="F20" s="83">
        <v>22.3</v>
      </c>
      <c r="G20" s="357" t="s">
        <v>106</v>
      </c>
      <c r="H20" s="158">
        <f>'[6]Base Preços MP'!G32</f>
        <v>0.875</v>
      </c>
      <c r="I20" s="357">
        <f>E27*27/100</f>
        <v>3.0804300000000002</v>
      </c>
      <c r="J20" s="374">
        <f>H20*F20</f>
        <v>19.512499999999999</v>
      </c>
      <c r="K20" s="111">
        <f t="shared" si="1"/>
        <v>41.277762000000003</v>
      </c>
      <c r="L20" s="676" t="str">
        <f t="shared" si="0"/>
        <v>UREIA</v>
      </c>
      <c r="M20" s="677"/>
      <c r="N20" s="678"/>
      <c r="O20" s="117">
        <f>F20*M16/1000</f>
        <v>26.536999999999999</v>
      </c>
      <c r="P20" s="109">
        <v>4.3502400000000003</v>
      </c>
      <c r="Q20" s="375" t="s">
        <v>106</v>
      </c>
      <c r="R20" s="103"/>
      <c r="U20" s="144"/>
      <c r="V20" s="146"/>
    </row>
    <row r="21" spans="1:22" x14ac:dyDescent="0.2">
      <c r="A21" s="1"/>
      <c r="B21" s="683" t="s">
        <v>244</v>
      </c>
      <c r="C21" s="726"/>
      <c r="D21" s="727"/>
      <c r="E21" s="315">
        <f t="shared" si="2"/>
        <v>64.599999999999994</v>
      </c>
      <c r="F21" s="368">
        <v>646</v>
      </c>
      <c r="G21" s="357" t="s">
        <v>107</v>
      </c>
      <c r="H21" s="158">
        <f>'[6]Base Preços MP'!G21</f>
        <v>2.1110000000000002</v>
      </c>
      <c r="I21" s="357">
        <f>E26*7/100</f>
        <v>0.42</v>
      </c>
      <c r="J21" s="374">
        <f t="shared" ref="J21:J30" si="3">F21*H21</f>
        <v>1363.7060000000001</v>
      </c>
      <c r="K21" s="111">
        <f t="shared" si="1"/>
        <v>5.6280000000000001</v>
      </c>
      <c r="L21" s="686" t="str">
        <f t="shared" si="0"/>
        <v>Nitrato de Mn 12%</v>
      </c>
      <c r="M21" s="686"/>
      <c r="N21" s="686"/>
      <c r="O21" s="117">
        <f>F21*M16/1000</f>
        <v>768.74</v>
      </c>
      <c r="P21" s="161">
        <v>0.41426000000000002</v>
      </c>
      <c r="Q21" s="375" t="s">
        <v>107</v>
      </c>
      <c r="R21" s="103"/>
      <c r="U21" s="144"/>
      <c r="V21" s="146"/>
    </row>
    <row r="22" spans="1:22" x14ac:dyDescent="0.2">
      <c r="A22" s="1"/>
      <c r="B22" s="682" t="s">
        <v>246</v>
      </c>
      <c r="C22" s="724"/>
      <c r="D22" s="725"/>
      <c r="E22" s="315">
        <f t="shared" si="2"/>
        <v>0.25</v>
      </c>
      <c r="F22" s="368">
        <v>2.5</v>
      </c>
      <c r="G22" s="357" t="s">
        <v>108</v>
      </c>
      <c r="H22" s="158">
        <f>'[6]Base Preços MP'!G27</f>
        <v>2.7530000000000001</v>
      </c>
      <c r="I22" s="357">
        <f>E21*14/100</f>
        <v>9.0439999999999987</v>
      </c>
      <c r="J22" s="374">
        <f>F22*H22</f>
        <v>6.8825000000000003</v>
      </c>
      <c r="K22" s="111">
        <f t="shared" si="1"/>
        <v>121.1896</v>
      </c>
      <c r="L22" s="687" t="str">
        <f t="shared" si="0"/>
        <v>Nitrato de Zn 15%</v>
      </c>
      <c r="M22" s="687"/>
      <c r="N22" s="687"/>
      <c r="O22" s="117">
        <f>F22*M16/1000</f>
        <v>2.9750000000000001</v>
      </c>
      <c r="P22" s="161">
        <v>2.198E-2</v>
      </c>
      <c r="Q22" s="375" t="s">
        <v>108</v>
      </c>
      <c r="R22" s="103"/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2"/>
        <v>0.25</v>
      </c>
      <c r="F23" s="83">
        <v>2.5</v>
      </c>
      <c r="G23" s="357" t="s">
        <v>109</v>
      </c>
      <c r="H23" s="158">
        <f>'[6]Base Preços MP'!G24</f>
        <v>1.32</v>
      </c>
      <c r="I23" s="315">
        <f>E22*21/100</f>
        <v>5.2499999999999998E-2</v>
      </c>
      <c r="J23" s="374">
        <f t="shared" si="3"/>
        <v>3.3000000000000003</v>
      </c>
      <c r="K23" s="111">
        <f t="shared" si="1"/>
        <v>0.70350000000000001</v>
      </c>
      <c r="L23" s="687" t="str">
        <f t="shared" si="0"/>
        <v xml:space="preserve">Cloreto Ferrico Sol al 40% </v>
      </c>
      <c r="M23" s="687"/>
      <c r="N23" s="687"/>
      <c r="O23" s="117">
        <f>F23*M16/1000</f>
        <v>2.9750000000000001</v>
      </c>
      <c r="P23" s="161">
        <v>1.4070000000000001E-2</v>
      </c>
      <c r="Q23" s="375" t="s">
        <v>109</v>
      </c>
      <c r="R23" s="103"/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2"/>
        <v>0</v>
      </c>
      <c r="F24" s="83"/>
      <c r="G24" s="357" t="s">
        <v>111</v>
      </c>
      <c r="H24" s="158">
        <f>'[6]Base Preços MP'!G23</f>
        <v>7.3</v>
      </c>
      <c r="I24" s="315">
        <f>E24*14/100</f>
        <v>0</v>
      </c>
      <c r="J24" s="374">
        <f>F24*H24</f>
        <v>0</v>
      </c>
      <c r="K24" s="111">
        <f t="shared" si="1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375" t="s">
        <v>111</v>
      </c>
      <c r="R24" s="103"/>
      <c r="U24" s="144"/>
      <c r="V24" s="146"/>
    </row>
    <row r="25" spans="1:22" x14ac:dyDescent="0.2">
      <c r="A25" s="1"/>
      <c r="B25" s="682" t="s">
        <v>170</v>
      </c>
      <c r="C25" s="724"/>
      <c r="D25" s="725"/>
      <c r="E25" s="315">
        <f t="shared" si="2"/>
        <v>0</v>
      </c>
      <c r="F25" s="83"/>
      <c r="G25" s="357" t="s">
        <v>112</v>
      </c>
      <c r="H25" s="158">
        <f>'[6]Base Preços MP'!G20</f>
        <v>0.57499999999999996</v>
      </c>
      <c r="I25" s="315">
        <f>E23*13/100</f>
        <v>3.2500000000000001E-2</v>
      </c>
      <c r="J25" s="374">
        <f>F25*H25</f>
        <v>0</v>
      </c>
      <c r="K25" s="111">
        <f t="shared" si="1"/>
        <v>0.43550000000000005</v>
      </c>
      <c r="L25" s="687" t="str">
        <f t="shared" si="0"/>
        <v>Cloreto de Potasio 15%</v>
      </c>
      <c r="M25" s="687"/>
      <c r="N25" s="687"/>
      <c r="O25" s="117">
        <f>F25*M16/1000</f>
        <v>0</v>
      </c>
      <c r="P25" s="161">
        <v>5.382E-2</v>
      </c>
      <c r="Q25" s="375" t="s">
        <v>112</v>
      </c>
      <c r="R25" s="103"/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2"/>
        <v>6</v>
      </c>
      <c r="F26" s="83">
        <v>60</v>
      </c>
      <c r="G26" s="357" t="s">
        <v>105</v>
      </c>
      <c r="H26" s="159">
        <f>'[6]Base Preços MP'!G35</f>
        <v>1.4</v>
      </c>
      <c r="I26" s="369">
        <f>E28*17/100</f>
        <v>1.0029999999999999E-2</v>
      </c>
      <c r="J26" s="374">
        <f t="shared" si="3"/>
        <v>84</v>
      </c>
      <c r="K26" s="111">
        <f t="shared" si="1"/>
        <v>0.13440199999999999</v>
      </c>
      <c r="L26" s="687" t="str">
        <f t="shared" si="0"/>
        <v>Nitrato de Magnesio liquido (7% Mg) liquido</v>
      </c>
      <c r="M26" s="687"/>
      <c r="N26" s="687"/>
      <c r="O26" s="117">
        <f>F26*M16/1000</f>
        <v>71.400000000000006</v>
      </c>
      <c r="P26" s="161">
        <v>9.3500000000000024E-3</v>
      </c>
      <c r="Q26" s="375" t="s">
        <v>105</v>
      </c>
      <c r="R26" s="103"/>
      <c r="U26" s="144"/>
      <c r="V26" s="146"/>
    </row>
    <row r="27" spans="1:22" x14ac:dyDescent="0.2">
      <c r="A27" s="1"/>
      <c r="B27" s="682" t="s">
        <v>243</v>
      </c>
      <c r="C27" s="724"/>
      <c r="D27" s="725"/>
      <c r="E27" s="315">
        <f t="shared" si="2"/>
        <v>11.409000000000001</v>
      </c>
      <c r="F27" s="83">
        <v>114.09</v>
      </c>
      <c r="G27" s="357" t="s">
        <v>122</v>
      </c>
      <c r="H27" s="159">
        <f>'[6]Base Preços MP'!G34</f>
        <v>1.73</v>
      </c>
      <c r="I27" s="369">
        <f>E29*39/100</f>
        <v>1.9500000000000001E-3</v>
      </c>
      <c r="J27" s="374">
        <f t="shared" si="3"/>
        <v>197.37569999999999</v>
      </c>
      <c r="K27" s="111">
        <f t="shared" si="1"/>
        <v>2.6130000000000004E-2</v>
      </c>
      <c r="L27" s="687" t="str">
        <f t="shared" si="0"/>
        <v>Nitrato de Ca 12%</v>
      </c>
      <c r="M27" s="687"/>
      <c r="N27" s="687"/>
      <c r="O27" s="117">
        <f>F27*M16/1000</f>
        <v>135.7671</v>
      </c>
      <c r="P27" s="161">
        <v>2.7300000000000002E-3</v>
      </c>
      <c r="Q27" s="375" t="s">
        <v>122</v>
      </c>
      <c r="R27" s="103"/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2"/>
        <v>5.8999999999999997E-2</v>
      </c>
      <c r="F28" s="83">
        <v>0.59</v>
      </c>
      <c r="G28" s="1"/>
      <c r="H28" s="159">
        <f>'[6]Base Preços MP'!G11</f>
        <v>2.99</v>
      </c>
      <c r="I28" s="1"/>
      <c r="J28" s="374">
        <f>F28*H28</f>
        <v>1.7641</v>
      </c>
      <c r="K28" s="103"/>
      <c r="L28" s="687" t="str">
        <f t="shared" si="0"/>
        <v>Acido Borico</v>
      </c>
      <c r="M28" s="687"/>
      <c r="N28" s="687"/>
      <c r="O28" s="117">
        <f>F28*M16/1000</f>
        <v>0.70209999999999995</v>
      </c>
      <c r="P28" s="103"/>
      <c r="Q28" s="103"/>
      <c r="R28" s="103"/>
      <c r="U28" s="144"/>
      <c r="V28" s="146"/>
    </row>
    <row r="29" spans="1:22" x14ac:dyDescent="0.2">
      <c r="A29" s="1"/>
      <c r="B29" s="682" t="s">
        <v>28</v>
      </c>
      <c r="C29" s="724"/>
      <c r="D29" s="725"/>
      <c r="E29" s="315">
        <f t="shared" si="2"/>
        <v>5.0000000000000001E-3</v>
      </c>
      <c r="F29" s="173">
        <v>0.05</v>
      </c>
      <c r="G29" s="1"/>
      <c r="H29" s="159">
        <f>'[6]Base Preços MP'!G31</f>
        <v>39.200000000000003</v>
      </c>
      <c r="I29" s="1"/>
      <c r="J29" s="374">
        <f t="shared" si="3"/>
        <v>1.9600000000000002</v>
      </c>
      <c r="K29" s="103"/>
      <c r="L29" s="687" t="str">
        <f t="shared" si="0"/>
        <v>Molbdato de Sodio</v>
      </c>
      <c r="M29" s="687"/>
      <c r="N29" s="687"/>
      <c r="O29" s="117">
        <f>F29*M16/1000</f>
        <v>5.9499999999999997E-2</v>
      </c>
      <c r="P29" s="103"/>
      <c r="Q29" s="103"/>
      <c r="R29" s="103"/>
      <c r="U29" s="144"/>
      <c r="V29" s="146"/>
    </row>
    <row r="30" spans="1:22" x14ac:dyDescent="0.2">
      <c r="A30" s="1"/>
      <c r="B30" s="682" t="s">
        <v>240</v>
      </c>
      <c r="C30" s="724"/>
      <c r="D30" s="725"/>
      <c r="E30" s="315">
        <f t="shared" si="2"/>
        <v>3.077</v>
      </c>
      <c r="F30" s="83">
        <v>30.77</v>
      </c>
      <c r="G30" s="1"/>
      <c r="H30" s="159">
        <f>'[6]Base Preços MP'!G28</f>
        <v>5.28</v>
      </c>
      <c r="I30" s="1"/>
      <c r="J30" s="374">
        <f t="shared" si="3"/>
        <v>162.46559999999999</v>
      </c>
      <c r="K30" s="103"/>
      <c r="L30" s="687" t="str">
        <f t="shared" si="0"/>
        <v>EDTA</v>
      </c>
      <c r="M30" s="687"/>
      <c r="N30" s="687"/>
      <c r="O30" s="117">
        <f>F30*M16/1000</f>
        <v>36.616300000000003</v>
      </c>
      <c r="P30" s="103"/>
      <c r="Q30" s="103"/>
      <c r="R30" s="103"/>
      <c r="U30" s="144"/>
      <c r="V30" s="146"/>
    </row>
    <row r="31" spans="1:22" x14ac:dyDescent="0.2">
      <c r="A31" s="1"/>
      <c r="B31" s="683" t="s">
        <v>172</v>
      </c>
      <c r="C31" s="726"/>
      <c r="D31" s="727"/>
      <c r="E31" s="315">
        <f>SUM(E17:E30)</f>
        <v>120.55</v>
      </c>
      <c r="F31" s="83">
        <v>58.5</v>
      </c>
      <c r="G31" s="1"/>
      <c r="H31" s="159">
        <f>'[6]Base Preços MP'!G40</f>
        <v>1.54</v>
      </c>
      <c r="I31" s="1"/>
      <c r="J31" s="374">
        <f>F31*H31</f>
        <v>90.09</v>
      </c>
      <c r="K31" s="103"/>
      <c r="L31" s="687" t="str">
        <f>B31</f>
        <v>Ureia</v>
      </c>
      <c r="M31" s="687"/>
      <c r="N31" s="687"/>
      <c r="O31" s="117">
        <f>F31*M16/1000</f>
        <v>69.614999999999995</v>
      </c>
      <c r="P31" s="103"/>
      <c r="Q31" s="103"/>
      <c r="R31" s="103"/>
      <c r="U31" s="144"/>
      <c r="V31" s="146"/>
    </row>
    <row r="32" spans="1:22" x14ac:dyDescent="0.2">
      <c r="A32" s="1"/>
      <c r="B32" s="722" t="s">
        <v>245</v>
      </c>
      <c r="C32" s="792"/>
      <c r="D32" s="781"/>
      <c r="E32" s="147"/>
      <c r="F32" s="376">
        <v>8.3000000000000007</v>
      </c>
      <c r="G32" s="103"/>
      <c r="H32" s="159">
        <f>'[6]Base Preços MP'!G12</f>
        <v>3.7</v>
      </c>
      <c r="I32" s="103"/>
      <c r="J32" s="281">
        <f>F32*H32</f>
        <v>30.710000000000004</v>
      </c>
      <c r="K32" s="103"/>
      <c r="L32" s="703" t="str">
        <f>B32</f>
        <v>Potassa caustica</v>
      </c>
      <c r="M32" s="692"/>
      <c r="N32" s="692"/>
      <c r="O32" s="205">
        <f>SUM(O17:O31)</f>
        <v>1504.1599999999999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>
        <f>SUM(F17:F32)</f>
        <v>1272.2999999999997</v>
      </c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315"/>
      <c r="Q34" s="103"/>
      <c r="R34" s="103"/>
    </row>
    <row r="35" spans="1:18" ht="13.5" thickBot="1" x14ac:dyDescent="0.25">
      <c r="A35" s="1"/>
      <c r="B35" s="1" t="s">
        <v>2</v>
      </c>
      <c r="C35" s="1"/>
      <c r="D35" s="206">
        <v>1.19</v>
      </c>
      <c r="E35" s="1"/>
      <c r="F35" s="1"/>
      <c r="G35" s="1"/>
      <c r="H35" s="1" t="s">
        <v>1</v>
      </c>
      <c r="I35" s="1"/>
      <c r="J35" s="1">
        <f>SUM(J17:J34)</f>
        <v>2134.2934</v>
      </c>
      <c r="K35" s="103"/>
      <c r="L35" s="103"/>
      <c r="M35" s="103"/>
      <c r="N35" s="103"/>
      <c r="O35" s="103"/>
      <c r="P35" s="357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259</v>
      </c>
      <c r="N36" s="103"/>
      <c r="O36" s="103"/>
      <c r="P36" s="357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89" t="s">
        <v>256</v>
      </c>
      <c r="M37" s="189">
        <v>0</v>
      </c>
      <c r="N37" s="103"/>
      <c r="O37" s="103"/>
      <c r="P37" s="357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/>
      <c r="N38" s="103"/>
      <c r="O38" s="103"/>
      <c r="P38" s="357"/>
      <c r="Q38" s="103"/>
      <c r="R38" s="103"/>
    </row>
    <row r="39" spans="1:18" x14ac:dyDescent="0.2">
      <c r="A39" s="1"/>
      <c r="B39" s="23" t="s">
        <v>10</v>
      </c>
      <c r="C39" s="1"/>
      <c r="D39" s="27"/>
      <c r="E39" s="264">
        <f>(J35/D35)/1000</f>
        <v>1.7935238655462185</v>
      </c>
      <c r="F39" s="315"/>
      <c r="G39" s="1" t="s">
        <v>16</v>
      </c>
      <c r="H39" s="23"/>
      <c r="I39" s="27"/>
      <c r="J39" s="29">
        <f>E39*D35</f>
        <v>2.1342933999999998</v>
      </c>
      <c r="K39" s="103"/>
      <c r="L39" s="103" t="s">
        <v>257</v>
      </c>
      <c r="M39" s="103"/>
      <c r="N39" s="103"/>
      <c r="O39" s="103"/>
      <c r="P39" s="357"/>
      <c r="Q39" s="103"/>
      <c r="R39" s="103"/>
    </row>
    <row r="40" spans="1:18" x14ac:dyDescent="0.2">
      <c r="A40" s="1"/>
      <c r="B40" s="3" t="s">
        <v>11</v>
      </c>
      <c r="C40" s="1"/>
      <c r="D40" s="28"/>
      <c r="E40" s="68">
        <v>0.09</v>
      </c>
      <c r="F40" s="364"/>
      <c r="G40" s="3" t="s">
        <v>17</v>
      </c>
      <c r="H40" s="1"/>
      <c r="I40" s="39"/>
      <c r="J40" s="68">
        <f>E40*D35</f>
        <v>0.10709999999999999</v>
      </c>
      <c r="K40" s="103"/>
      <c r="L40" s="103"/>
      <c r="M40" s="103"/>
      <c r="N40" s="103"/>
      <c r="O40" s="103"/>
      <c r="P40" s="357"/>
      <c r="Q40" s="103"/>
      <c r="R40" s="103"/>
    </row>
    <row r="41" spans="1:18" x14ac:dyDescent="0.2">
      <c r="A41" s="1"/>
      <c r="B41" s="19" t="s">
        <v>14</v>
      </c>
      <c r="C41" s="4"/>
      <c r="D41" s="71"/>
      <c r="E41" s="68"/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357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357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357"/>
      <c r="Q43" s="103"/>
      <c r="R43" s="103"/>
    </row>
    <row r="44" spans="1:18" x14ac:dyDescent="0.2">
      <c r="A44" s="1"/>
      <c r="B44" s="3" t="s">
        <v>12</v>
      </c>
      <c r="C44" s="1"/>
      <c r="D44" s="71"/>
      <c r="E44" s="68">
        <f>E39+E40+E41+E42+E43</f>
        <v>1.8835238655462185</v>
      </c>
      <c r="F44" s="3"/>
      <c r="G44" s="3" t="s">
        <v>19</v>
      </c>
      <c r="H44" s="1"/>
      <c r="I44" s="39"/>
      <c r="J44" s="68">
        <f>J39+J40+J41+J42+J43</f>
        <v>2.2413933999999998</v>
      </c>
      <c r="K44" s="103"/>
      <c r="L44" s="103"/>
      <c r="M44" s="103"/>
      <c r="N44" s="103"/>
      <c r="O44" s="103"/>
      <c r="P44" s="357"/>
      <c r="Q44" s="103"/>
      <c r="R44" s="103"/>
    </row>
    <row r="45" spans="1:18" x14ac:dyDescent="0.2">
      <c r="A45" s="1"/>
      <c r="B45" s="3"/>
      <c r="C45" s="1"/>
      <c r="D45" s="28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357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3" t="s">
        <v>84</v>
      </c>
      <c r="F47" s="6" t="s">
        <v>85</v>
      </c>
      <c r="G47" s="4"/>
      <c r="H47" s="27" t="s">
        <v>247</v>
      </c>
      <c r="I47" s="33">
        <f>(100-J47)/100</f>
        <v>1</v>
      </c>
      <c r="J47" s="267">
        <v>0</v>
      </c>
      <c r="K47" s="103"/>
      <c r="L47" s="702"/>
      <c r="M47" s="697"/>
      <c r="N47" s="702"/>
      <c r="O47" s="697"/>
      <c r="P47" s="702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36">
        <v>0</v>
      </c>
      <c r="F48" s="36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31" t="s">
        <v>60</v>
      </c>
      <c r="E49" s="36">
        <v>0.18048920863309353</v>
      </c>
      <c r="F49" s="36">
        <v>0.25087999999999999</v>
      </c>
      <c r="G49" s="19"/>
      <c r="H49" s="318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19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0.3671942446043166</v>
      </c>
      <c r="F52" s="36">
        <v>0.51040000000000008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0.85647482014388499</v>
      </c>
      <c r="F53" s="36">
        <v>1.1905000000000001</v>
      </c>
      <c r="G53" s="19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v>2.1672661870503598</v>
      </c>
      <c r="F54" s="36">
        <v>3.0124999999999997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179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4"/>
      <c r="H58" s="56"/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271" t="s">
        <v>23</v>
      </c>
      <c r="D59" s="265">
        <f>E44/I46</f>
        <v>1.8835238655462185</v>
      </c>
      <c r="E59" s="265">
        <f>J44/I46</f>
        <v>2.2413933999999998</v>
      </c>
      <c r="F59" s="58" t="s">
        <v>88</v>
      </c>
      <c r="G59" s="27" t="s">
        <v>401</v>
      </c>
      <c r="H59" s="56" t="s">
        <v>414</v>
      </c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'[6]FUEL BLACK 20%'!A60:B60</f>
        <v>Contentor Incluido</v>
      </c>
      <c r="B60" s="1"/>
      <c r="C60" s="377">
        <v>1000</v>
      </c>
      <c r="D60" s="268">
        <f>(E44+E49)/I46</f>
        <v>2.0640130741793121</v>
      </c>
      <c r="E60" s="268">
        <f>(J44+F49)/I46</f>
        <v>2.4922733999999998</v>
      </c>
      <c r="F60" s="72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269">
        <v>50</v>
      </c>
      <c r="D61" s="268">
        <f>(E44+E50)/I46</f>
        <v>1.8835238655462185</v>
      </c>
      <c r="E61" s="268">
        <f>(J44+F50)/I46</f>
        <v>2.2413933999999998</v>
      </c>
      <c r="F61" s="61" t="s">
        <v>90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270">
        <v>25</v>
      </c>
      <c r="D62" s="268">
        <f>(E44+E51)/I46</f>
        <v>1.8835238655462185</v>
      </c>
      <c r="E62" s="268">
        <f>(J44+F51)/I46</f>
        <v>2.2413933999999998</v>
      </c>
      <c r="F62" s="51" t="s">
        <v>89</v>
      </c>
      <c r="G62" s="33"/>
      <c r="H62" s="56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270">
        <v>25</v>
      </c>
      <c r="D63" s="268">
        <f>(E44+E52)/I46</f>
        <v>2.2507181101505349</v>
      </c>
      <c r="E63" s="268">
        <f>(J44+F52)/I46</f>
        <v>2.7517933999999999</v>
      </c>
      <c r="F63" s="61" t="s">
        <v>90</v>
      </c>
      <c r="G63" s="33"/>
      <c r="H63" s="7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270">
        <v>5</v>
      </c>
      <c r="D64" s="268">
        <f>(E44+E53)/I46</f>
        <v>2.7399986856901037</v>
      </c>
      <c r="E64" s="268">
        <f>D64*D35</f>
        <v>3.2605984359712235</v>
      </c>
      <c r="F64" s="51" t="s">
        <v>94</v>
      </c>
      <c r="G64" s="33">
        <f>E64/0.88</f>
        <v>3.7052254954218449</v>
      </c>
      <c r="H64" s="20">
        <f>G64+0.5</f>
        <v>4.2052254954218444</v>
      </c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270">
        <v>1</v>
      </c>
      <c r="D65" s="268">
        <f>(E54+E44)/I46</f>
        <v>4.0507900525965788</v>
      </c>
      <c r="E65" s="268">
        <f>D65*D35</f>
        <v>4.8204401625899287</v>
      </c>
      <c r="F65" s="61" t="s">
        <v>95</v>
      </c>
      <c r="G65" s="39">
        <f>E65/0.88</f>
        <v>5.47777291203401</v>
      </c>
      <c r="H65" s="7">
        <f>G65+0.5</f>
        <v>5.97777291203401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270"/>
      <c r="D66" s="268"/>
      <c r="E66" s="268"/>
      <c r="F66" s="61"/>
      <c r="G66" s="87">
        <f>E66/0.88</f>
        <v>0</v>
      </c>
      <c r="H66" s="7">
        <f>G66+0.5</f>
        <v>0.5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237"/>
      <c r="E67" s="86"/>
      <c r="F67" s="86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90"/>
      <c r="D68" s="90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2"/>
      <c r="F69" s="92"/>
      <c r="G69" s="342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342"/>
      <c r="F70" s="92"/>
      <c r="G70" s="342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A68:B68"/>
    <mergeCell ref="A69:B69"/>
    <mergeCell ref="A70:B70"/>
    <mergeCell ref="L56:M56"/>
    <mergeCell ref="N56:O56"/>
    <mergeCell ref="P56:Q56"/>
    <mergeCell ref="A61:B61"/>
    <mergeCell ref="A67:B67"/>
    <mergeCell ref="L54:M54"/>
    <mergeCell ref="N54:O54"/>
    <mergeCell ref="P54:Q54"/>
    <mergeCell ref="L55:M55"/>
    <mergeCell ref="N55:O55"/>
    <mergeCell ref="P55:Q55"/>
    <mergeCell ref="L52:M52"/>
    <mergeCell ref="N52:O52"/>
    <mergeCell ref="P52:Q52"/>
    <mergeCell ref="L53:M53"/>
    <mergeCell ref="N53:O53"/>
    <mergeCell ref="P53:Q53"/>
    <mergeCell ref="B31:D31"/>
    <mergeCell ref="L31:N31"/>
    <mergeCell ref="B32:D32"/>
    <mergeCell ref="L32:N32"/>
    <mergeCell ref="L46:Q46"/>
    <mergeCell ref="B28:D28"/>
    <mergeCell ref="L28:N28"/>
    <mergeCell ref="B29:D29"/>
    <mergeCell ref="L29:N29"/>
    <mergeCell ref="B30:D30"/>
    <mergeCell ref="L30:N30"/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L48:M48"/>
    <mergeCell ref="N48:O48"/>
    <mergeCell ref="P48:Q48"/>
    <mergeCell ref="L51:M51"/>
    <mergeCell ref="N51:O51"/>
    <mergeCell ref="P51:Q51"/>
    <mergeCell ref="L49:M49"/>
    <mergeCell ref="N49:O49"/>
    <mergeCell ref="P49:Q49"/>
    <mergeCell ref="L50:M50"/>
    <mergeCell ref="N50:O50"/>
    <mergeCell ref="P50:Q50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70"/>
  <sheetViews>
    <sheetView topLeftCell="A12" zoomScale="74" zoomScaleNormal="74" workbookViewId="0">
      <selection activeCell="L54" sqref="L54:M54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42578125" customWidth="1"/>
    <col min="17" max="17" width="9.14062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343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296" t="s">
        <v>252</v>
      </c>
      <c r="F9" s="296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4" t="s">
        <v>67</v>
      </c>
      <c r="M15" s="34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28000</v>
      </c>
      <c r="M16" s="116">
        <f>L16*D36</f>
        <v>35000</v>
      </c>
      <c r="N16" s="714"/>
      <c r="O16" s="715"/>
      <c r="P16" s="345" t="s">
        <v>152</v>
      </c>
      <c r="Q16" s="344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8</v>
      </c>
      <c r="F17" s="367">
        <v>80</v>
      </c>
      <c r="G17" s="357" t="s">
        <v>125</v>
      </c>
      <c r="H17" s="358">
        <f>'[8]Base Preços MP'!G10</f>
        <v>0.01</v>
      </c>
      <c r="I17" s="357">
        <f>E20*21/100+E26*7/100+E22*6/100+E21*5/100</f>
        <v>6.4074999999999998</v>
      </c>
      <c r="J17" s="374">
        <f>F17*H17</f>
        <v>0.8</v>
      </c>
      <c r="K17" s="111">
        <f>I17*1.34*10</f>
        <v>85.860500000000002</v>
      </c>
      <c r="L17" s="676" t="str">
        <f t="shared" ref="L17:L30" si="0">B17</f>
        <v>Agua</v>
      </c>
      <c r="M17" s="677"/>
      <c r="N17" s="678"/>
      <c r="O17" s="117">
        <f>F17*M16/1000</f>
        <v>2800</v>
      </c>
      <c r="P17" s="109">
        <v>7.0724400000000003</v>
      </c>
      <c r="Q17" s="375" t="s">
        <v>125</v>
      </c>
      <c r="R17" s="103"/>
      <c r="U17" s="144"/>
      <c r="V17" s="146"/>
    </row>
    <row r="18" spans="1:22" x14ac:dyDescent="0.2">
      <c r="A18" s="1"/>
      <c r="B18" s="682" t="s">
        <v>517</v>
      </c>
      <c r="C18" s="724"/>
      <c r="D18" s="725"/>
      <c r="E18" s="315">
        <f t="shared" ref="E18:E31" si="1">F18/10</f>
        <v>13.52</v>
      </c>
      <c r="F18" s="83">
        <v>135.19999999999999</v>
      </c>
      <c r="G18" s="357" t="s">
        <v>69</v>
      </c>
      <c r="H18" s="360">
        <f>'Base Preços MP'!G49</f>
        <v>0.81399999999999995</v>
      </c>
      <c r="I18" s="357">
        <f>E19*60/100</f>
        <v>18.798000000000002</v>
      </c>
      <c r="J18" s="374">
        <f>F18*H18</f>
        <v>110.05279999999998</v>
      </c>
      <c r="K18" s="111">
        <f t="shared" ref="K18:K27" si="2">I18*1.34*10</f>
        <v>251.89320000000006</v>
      </c>
      <c r="L18" s="676" t="str">
        <f t="shared" si="0"/>
        <v>melaço liquido</v>
      </c>
      <c r="M18" s="677"/>
      <c r="N18" s="678"/>
      <c r="O18" s="117">
        <f>F18*M16/1000</f>
        <v>4732</v>
      </c>
      <c r="P18" s="109">
        <v>1.7885999999999997</v>
      </c>
      <c r="Q18" s="375" t="s">
        <v>69</v>
      </c>
      <c r="R18" s="103"/>
      <c r="U18" s="144"/>
      <c r="V18" s="146"/>
    </row>
    <row r="19" spans="1:22" x14ac:dyDescent="0.2">
      <c r="A19" s="1"/>
      <c r="B19" s="682" t="s">
        <v>560</v>
      </c>
      <c r="C19" s="724"/>
      <c r="D19" s="725"/>
      <c r="E19" s="315">
        <f t="shared" si="1"/>
        <v>31.330000000000002</v>
      </c>
      <c r="F19" s="83">
        <v>313.3</v>
      </c>
      <c r="G19" s="357" t="s">
        <v>110</v>
      </c>
      <c r="H19" s="360">
        <f>'Base Preços MP'!G26</f>
        <v>0.53</v>
      </c>
      <c r="I19" s="357">
        <f>E18*72.15/100+E25*15/100+E31*60/100</f>
        <v>9.7546800000000005</v>
      </c>
      <c r="J19" s="374">
        <f t="shared" ref="J19:J31" si="3">F19*H19</f>
        <v>166.04900000000001</v>
      </c>
      <c r="K19" s="111">
        <f t="shared" si="2"/>
        <v>130.71271200000001</v>
      </c>
      <c r="L19" s="676" t="str">
        <f t="shared" si="0"/>
        <v>liquid k</v>
      </c>
      <c r="M19" s="677"/>
      <c r="N19" s="678"/>
      <c r="O19" s="117">
        <f>F19*M16/1000</f>
        <v>10965.5</v>
      </c>
      <c r="P19" s="109">
        <v>5.9720309999999994</v>
      </c>
      <c r="Q19" s="375" t="s">
        <v>110</v>
      </c>
      <c r="R19" s="103"/>
      <c r="U19" s="144"/>
      <c r="V19" s="146"/>
    </row>
    <row r="20" spans="1:22" x14ac:dyDescent="0.2">
      <c r="A20" s="1"/>
      <c r="B20" s="682" t="s">
        <v>561</v>
      </c>
      <c r="C20" s="724"/>
      <c r="D20" s="725"/>
      <c r="E20" s="315">
        <f t="shared" si="1"/>
        <v>25.25</v>
      </c>
      <c r="F20" s="83">
        <v>252.5</v>
      </c>
      <c r="G20" s="357" t="s">
        <v>106</v>
      </c>
      <c r="H20" s="361">
        <f>'Base Preços MP'!G38</f>
        <v>0.9</v>
      </c>
      <c r="I20" s="357">
        <f>E27*14/100</f>
        <v>0</v>
      </c>
      <c r="J20" s="374">
        <f>H20*F20</f>
        <v>227.25</v>
      </c>
      <c r="K20" s="111">
        <f t="shared" si="2"/>
        <v>0</v>
      </c>
      <c r="L20" s="676" t="str">
        <f t="shared" si="0"/>
        <v>nitrex</v>
      </c>
      <c r="M20" s="677"/>
      <c r="N20" s="678"/>
      <c r="O20" s="117">
        <f>F20*M16/1000</f>
        <v>8837.5</v>
      </c>
      <c r="P20" s="109">
        <v>4.3502400000000003</v>
      </c>
      <c r="Q20" s="375" t="s">
        <v>106</v>
      </c>
      <c r="R20" s="103"/>
      <c r="U20" s="144"/>
      <c r="V20" s="146"/>
    </row>
    <row r="21" spans="1:22" x14ac:dyDescent="0.2">
      <c r="A21" s="1"/>
      <c r="B21" s="683" t="s">
        <v>562</v>
      </c>
      <c r="C21" s="726"/>
      <c r="D21" s="727"/>
      <c r="E21" s="315">
        <f t="shared" si="1"/>
        <v>20.9</v>
      </c>
      <c r="F21" s="368">
        <v>209</v>
      </c>
      <c r="G21" s="357" t="s">
        <v>107</v>
      </c>
      <c r="H21" s="361">
        <f>'Base Preços MP'!G46</f>
        <v>1.7</v>
      </c>
      <c r="I21" s="357">
        <f>E26*7/100</f>
        <v>0</v>
      </c>
      <c r="J21" s="374">
        <f t="shared" si="3"/>
        <v>355.3</v>
      </c>
      <c r="K21" s="111">
        <f t="shared" si="2"/>
        <v>0</v>
      </c>
      <c r="L21" s="686" t="str">
        <f t="shared" si="0"/>
        <v>ureia</v>
      </c>
      <c r="M21" s="686"/>
      <c r="N21" s="686"/>
      <c r="O21" s="117">
        <f>F21*M16/1000</f>
        <v>7315</v>
      </c>
      <c r="P21" s="161">
        <v>0.41426000000000002</v>
      </c>
      <c r="Q21" s="375" t="s">
        <v>107</v>
      </c>
      <c r="R21" s="103"/>
      <c r="U21" s="144"/>
      <c r="V21" s="146"/>
    </row>
    <row r="22" spans="1:22" x14ac:dyDescent="0.2">
      <c r="A22" s="1"/>
      <c r="B22" s="682" t="s">
        <v>563</v>
      </c>
      <c r="C22" s="724"/>
      <c r="D22" s="725"/>
      <c r="E22" s="315">
        <f t="shared" si="1"/>
        <v>1</v>
      </c>
      <c r="F22" s="368">
        <v>10</v>
      </c>
      <c r="G22" s="357" t="s">
        <v>108</v>
      </c>
      <c r="H22" s="361">
        <f>'Base Preços MP'!G79</f>
        <v>4.7</v>
      </c>
      <c r="I22" s="369">
        <f>E21*12/100</f>
        <v>2.508</v>
      </c>
      <c r="J22" s="374">
        <f>F22*H22</f>
        <v>47</v>
      </c>
      <c r="K22" s="111">
        <f t="shared" si="2"/>
        <v>33.607199999999999</v>
      </c>
      <c r="L22" s="687" t="str">
        <f t="shared" si="0"/>
        <v xml:space="preserve">aminoacidos </v>
      </c>
      <c r="M22" s="687"/>
      <c r="N22" s="687"/>
      <c r="O22" s="117">
        <f>F22*M16/1000</f>
        <v>350</v>
      </c>
      <c r="P22" s="161">
        <v>2.198E-2</v>
      </c>
      <c r="Q22" s="375" t="s">
        <v>108</v>
      </c>
      <c r="R22" s="103"/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83"/>
      <c r="G23" s="357" t="s">
        <v>109</v>
      </c>
      <c r="H23" s="361">
        <f>'[8]Base Preços MP'!G24</f>
        <v>1.32</v>
      </c>
      <c r="I23" s="369">
        <f>E22*15/100</f>
        <v>0.15</v>
      </c>
      <c r="J23" s="374">
        <f t="shared" si="3"/>
        <v>0</v>
      </c>
      <c r="K23" s="111">
        <f t="shared" si="2"/>
        <v>2.0100000000000002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375" t="s">
        <v>109</v>
      </c>
      <c r="R23" s="103"/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83"/>
      <c r="G24" s="357" t="s">
        <v>111</v>
      </c>
      <c r="H24" s="361">
        <f>'[8]Base Preços MP'!G23</f>
        <v>7.3</v>
      </c>
      <c r="I24" s="315">
        <f>E24*14/100</f>
        <v>0</v>
      </c>
      <c r="J24" s="374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375" t="s">
        <v>111</v>
      </c>
      <c r="R24" s="103"/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83"/>
      <c r="G25" s="357" t="s">
        <v>112</v>
      </c>
      <c r="H25" s="361">
        <f>'Base Preços MP'!G26</f>
        <v>0.53</v>
      </c>
      <c r="I25" s="315">
        <f>E23*13/100</f>
        <v>0</v>
      </c>
      <c r="J25" s="374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375" t="s">
        <v>112</v>
      </c>
      <c r="R25" s="103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62">
        <f>'[8]Base Preços MP'!G35</f>
        <v>1.58</v>
      </c>
      <c r="I26" s="369">
        <f>E28*17/100</f>
        <v>0</v>
      </c>
      <c r="J26" s="374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375" t="s">
        <v>105</v>
      </c>
      <c r="R26" s="103"/>
      <c r="U26" s="144"/>
      <c r="V26" s="146"/>
    </row>
    <row r="27" spans="1:22" x14ac:dyDescent="0.2">
      <c r="A27" s="1"/>
      <c r="B27" s="682"/>
      <c r="C27" s="724"/>
      <c r="D27" s="725"/>
      <c r="E27" s="315">
        <f t="shared" si="1"/>
        <v>0</v>
      </c>
      <c r="F27" s="83"/>
      <c r="G27" s="357" t="s">
        <v>122</v>
      </c>
      <c r="H27" s="362">
        <f>'[8]Base Preços MP'!G25</f>
        <v>1.55</v>
      </c>
      <c r="I27" s="369">
        <f>E29*39/100</f>
        <v>0</v>
      </c>
      <c r="J27" s="374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375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07"/>
      <c r="H28" s="362">
        <f>'[8]Base Preços MP'!G11</f>
        <v>2.99</v>
      </c>
      <c r="I28" s="107"/>
      <c r="J28" s="374">
        <f t="shared" si="3"/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07"/>
      <c r="H29" s="362">
        <f>'[8]Base Preços MP'!G31</f>
        <v>39.200000000000003</v>
      </c>
      <c r="I29" s="107"/>
      <c r="J29" s="374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07"/>
      <c r="H30" s="362">
        <f>'Base Preços MP'!G46</f>
        <v>1.7</v>
      </c>
      <c r="I30" s="107"/>
      <c r="J30" s="374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83"/>
      <c r="C31" s="726"/>
      <c r="D31" s="727"/>
      <c r="E31" s="315">
        <f t="shared" si="1"/>
        <v>0</v>
      </c>
      <c r="F31" s="83"/>
      <c r="G31" s="107"/>
      <c r="H31" s="362">
        <f>'[8]Base Preços MP'!G19</f>
        <v>1.51</v>
      </c>
      <c r="I31" s="107"/>
      <c r="J31" s="374">
        <f t="shared" si="3"/>
        <v>0</v>
      </c>
      <c r="K31" s="103"/>
      <c r="L31" s="789">
        <f>B31</f>
        <v>0</v>
      </c>
      <c r="M31" s="790"/>
      <c r="N31" s="791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59" t="s">
        <v>104</v>
      </c>
      <c r="C32" s="660"/>
      <c r="D32" s="661"/>
      <c r="E32" s="147">
        <f>SUM(E17:E31)</f>
        <v>100</v>
      </c>
      <c r="F32" s="140">
        <f>SUM(F17:F31)</f>
        <v>1000</v>
      </c>
      <c r="G32" s="103"/>
      <c r="H32" s="113"/>
      <c r="I32" s="103"/>
      <c r="J32" s="112"/>
      <c r="K32" s="103"/>
      <c r="L32" s="703" t="s">
        <v>43</v>
      </c>
      <c r="M32" s="692"/>
      <c r="N32" s="692"/>
      <c r="O32" s="121">
        <f>SUM(O17:O31)</f>
        <v>35000</v>
      </c>
      <c r="P32" s="103"/>
      <c r="Q32" s="103"/>
      <c r="R32" s="103"/>
      <c r="U32" s="145"/>
    </row>
    <row r="33" spans="1:18" x14ac:dyDescent="0.2">
      <c r="A33" s="1"/>
      <c r="B33" s="4"/>
      <c r="C33" s="4"/>
      <c r="D33" s="4"/>
      <c r="E33" s="1"/>
      <c r="F33" s="4"/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x14ac:dyDescent="0.2">
      <c r="A34" s="22">
        <v>1</v>
      </c>
      <c r="B34" s="21" t="s">
        <v>8</v>
      </c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315"/>
      <c r="Q34" s="103"/>
      <c r="R34" s="103"/>
    </row>
    <row r="35" spans="1:18" ht="13.5" thickBot="1" x14ac:dyDescent="0.25">
      <c r="A35" s="1"/>
      <c r="B35" s="1"/>
      <c r="C35" s="1"/>
      <c r="D35" s="1">
        <v>1.19</v>
      </c>
      <c r="E35" s="1"/>
      <c r="F35" s="1"/>
      <c r="G35" s="1"/>
      <c r="H35" s="1"/>
      <c r="I35" s="1"/>
      <c r="J35" s="1"/>
      <c r="K35" s="103"/>
      <c r="L35" s="103"/>
      <c r="M35" s="103"/>
      <c r="N35" s="103"/>
      <c r="O35" s="103"/>
      <c r="P35" s="357"/>
      <c r="Q35" s="103"/>
      <c r="R35" s="103"/>
    </row>
    <row r="36" spans="1:18" ht="13.5" thickBot="1" x14ac:dyDescent="0.25">
      <c r="A36" s="1"/>
      <c r="B36" s="3" t="s">
        <v>2</v>
      </c>
      <c r="C36" s="1"/>
      <c r="D36" s="82">
        <v>1.25</v>
      </c>
      <c r="E36" s="1"/>
      <c r="F36" s="1"/>
      <c r="G36" s="1"/>
      <c r="H36" s="17" t="s">
        <v>1</v>
      </c>
      <c r="I36" s="1"/>
      <c r="J36" s="25">
        <f>SUM(J17:J35)</f>
        <v>906.45180000000005</v>
      </c>
      <c r="K36" s="103"/>
      <c r="L36" s="103"/>
      <c r="M36" s="103"/>
      <c r="N36" s="103"/>
      <c r="O36" s="103"/>
      <c r="P36" s="357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 t="s">
        <v>26</v>
      </c>
      <c r="I37" s="1"/>
      <c r="J37" s="18">
        <v>1000</v>
      </c>
      <c r="K37" s="103"/>
      <c r="L37" s="103"/>
      <c r="M37" s="103" t="s">
        <v>258</v>
      </c>
      <c r="N37" s="103" t="s">
        <v>259</v>
      </c>
      <c r="O37" s="103"/>
      <c r="P37" s="357"/>
      <c r="Q37" s="103"/>
      <c r="R37" s="103"/>
    </row>
    <row r="38" spans="1:18" x14ac:dyDescent="0.2">
      <c r="A38" s="1"/>
      <c r="B38" s="1"/>
      <c r="C38" s="1"/>
      <c r="D38" s="1"/>
      <c r="E38" s="1"/>
      <c r="F38" s="1"/>
      <c r="G38" s="1"/>
      <c r="H38" s="19"/>
      <c r="I38" s="1"/>
      <c r="J38" s="30"/>
      <c r="K38" s="103"/>
      <c r="L38" s="103"/>
      <c r="M38" s="189" t="s">
        <v>256</v>
      </c>
      <c r="N38" s="189">
        <v>35</v>
      </c>
      <c r="O38" s="357"/>
      <c r="P38" s="103"/>
      <c r="Q38" s="103"/>
    </row>
    <row r="39" spans="1:18" x14ac:dyDescent="0.2">
      <c r="A39" s="1"/>
      <c r="B39" s="23" t="s">
        <v>15</v>
      </c>
      <c r="C39" s="1"/>
      <c r="D39" s="27"/>
      <c r="E39" s="23" t="s">
        <v>77</v>
      </c>
      <c r="F39" s="315"/>
      <c r="G39" s="1"/>
      <c r="H39" s="23"/>
      <c r="I39" s="27"/>
      <c r="J39" s="29" t="s">
        <v>78</v>
      </c>
      <c r="K39" s="103"/>
      <c r="L39" s="103"/>
      <c r="M39" s="103" t="s">
        <v>105</v>
      </c>
      <c r="N39" s="103"/>
      <c r="O39" s="357"/>
      <c r="P39" s="103"/>
      <c r="Q39" s="103"/>
    </row>
    <row r="40" spans="1:18" x14ac:dyDescent="0.2">
      <c r="A40" s="1"/>
      <c r="B40" s="3" t="s">
        <v>10</v>
      </c>
      <c r="C40" s="1"/>
      <c r="D40" s="520"/>
      <c r="E40" s="68">
        <f>J36/J37</f>
        <v>0.90645180000000003</v>
      </c>
      <c r="F40" s="364"/>
      <c r="G40" s="3" t="s">
        <v>16</v>
      </c>
      <c r="H40" s="1"/>
      <c r="I40" s="39"/>
      <c r="J40" s="68">
        <f>E40*D36</f>
        <v>1.13306475</v>
      </c>
      <c r="K40" s="103"/>
      <c r="L40" s="103"/>
      <c r="M40" s="103" t="s">
        <v>257</v>
      </c>
      <c r="N40" s="103"/>
      <c r="O40" s="357"/>
      <c r="P40" s="103"/>
      <c r="Q40" s="103"/>
    </row>
    <row r="41" spans="1:18" x14ac:dyDescent="0.2">
      <c r="A41" s="1"/>
      <c r="B41" s="19" t="s">
        <v>11</v>
      </c>
      <c r="C41" s="4"/>
      <c r="D41" s="521"/>
      <c r="E41" s="68">
        <v>0.1</v>
      </c>
      <c r="F41" s="16"/>
      <c r="G41" s="19" t="s">
        <v>17</v>
      </c>
      <c r="H41" s="4"/>
      <c r="I41" s="39"/>
      <c r="J41" s="68">
        <f>E41*D36</f>
        <v>0.125</v>
      </c>
      <c r="K41" s="103"/>
      <c r="L41" s="103"/>
      <c r="M41" s="103"/>
      <c r="N41" s="103"/>
      <c r="O41" s="103"/>
      <c r="P41" s="357"/>
      <c r="Q41" s="103"/>
      <c r="R41" s="103"/>
    </row>
    <row r="42" spans="1:18" x14ac:dyDescent="0.2">
      <c r="A42" s="1"/>
      <c r="B42" s="3" t="s">
        <v>14</v>
      </c>
      <c r="C42" s="1"/>
      <c r="D42" s="521"/>
      <c r="E42" s="68"/>
      <c r="F42" s="6"/>
      <c r="G42" s="3" t="s">
        <v>18</v>
      </c>
      <c r="H42" s="1"/>
      <c r="I42" s="39"/>
      <c r="J42" s="68">
        <f>E42*D36</f>
        <v>0</v>
      </c>
      <c r="K42" s="103"/>
      <c r="L42" s="103"/>
      <c r="M42" s="103"/>
      <c r="N42" s="103"/>
      <c r="O42" s="103"/>
      <c r="P42" s="357"/>
      <c r="Q42" s="103"/>
      <c r="R42" s="103"/>
    </row>
    <row r="43" spans="1:18" x14ac:dyDescent="0.2">
      <c r="A43" s="1"/>
      <c r="B43" s="3" t="s">
        <v>79</v>
      </c>
      <c r="C43" s="1"/>
      <c r="D43" s="521"/>
      <c r="E43" s="68"/>
      <c r="F43" s="3"/>
      <c r="G43" s="3" t="s">
        <v>80</v>
      </c>
      <c r="H43" s="1"/>
      <c r="I43" s="39"/>
      <c r="J43" s="68">
        <f>E43*D36</f>
        <v>0</v>
      </c>
      <c r="K43" s="103"/>
      <c r="L43" s="103"/>
      <c r="M43" s="103"/>
      <c r="N43" s="103"/>
      <c r="O43" s="103"/>
      <c r="P43" s="357"/>
      <c r="Q43" s="103"/>
      <c r="R43" s="103"/>
    </row>
    <row r="44" spans="1:18" x14ac:dyDescent="0.2">
      <c r="A44" s="1"/>
      <c r="B44" s="3" t="s">
        <v>42</v>
      </c>
      <c r="C44" s="1"/>
      <c r="D44" s="521"/>
      <c r="E44" s="68"/>
      <c r="F44" s="3"/>
      <c r="G44" s="3" t="s">
        <v>81</v>
      </c>
      <c r="H44" s="1"/>
      <c r="I44" s="39"/>
      <c r="J44" s="68">
        <f>E44*D36</f>
        <v>0</v>
      </c>
      <c r="K44" s="103"/>
      <c r="L44" s="103"/>
      <c r="M44" s="103"/>
      <c r="N44" s="103"/>
      <c r="O44" s="103"/>
      <c r="P44" s="357"/>
      <c r="Q44" s="103"/>
      <c r="R44" s="103"/>
    </row>
    <row r="45" spans="1:18" x14ac:dyDescent="0.2">
      <c r="A45" s="1"/>
      <c r="B45" s="3" t="s">
        <v>12</v>
      </c>
      <c r="C45" s="1"/>
      <c r="D45" s="520"/>
      <c r="E45" s="142">
        <f>E40+E41+E42+E43+E44</f>
        <v>1.0064518</v>
      </c>
      <c r="F45" s="3"/>
      <c r="G45" s="3" t="s">
        <v>19</v>
      </c>
      <c r="H45" s="1"/>
      <c r="I45" s="33"/>
      <c r="J45" s="142">
        <f>J40+J41+J42+J43+J44</f>
        <v>1.25806475</v>
      </c>
      <c r="K45" s="103"/>
      <c r="L45" s="103"/>
      <c r="M45" s="103"/>
      <c r="N45" s="103"/>
      <c r="O45" s="103"/>
      <c r="P45" s="357"/>
      <c r="Q45" s="103"/>
      <c r="R45" s="103"/>
    </row>
    <row r="46" spans="1:18" x14ac:dyDescent="0.2">
      <c r="A46" s="1"/>
      <c r="B46" s="1"/>
      <c r="C46" s="1"/>
      <c r="D46" s="4"/>
      <c r="E46" s="1"/>
      <c r="F46" s="19"/>
      <c r="G46" s="4"/>
      <c r="H46" s="4"/>
      <c r="I46" s="6"/>
      <c r="J46" s="28" t="s">
        <v>21</v>
      </c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>
        <v>2</v>
      </c>
      <c r="B47" s="22" t="s">
        <v>9</v>
      </c>
      <c r="C47" s="22"/>
      <c r="D47" s="1"/>
      <c r="E47" s="1"/>
      <c r="F47" s="19"/>
      <c r="G47" s="4"/>
      <c r="H47" s="27" t="s">
        <v>20</v>
      </c>
      <c r="I47" s="33">
        <f>(100-J47)/100</f>
        <v>1</v>
      </c>
      <c r="J47" s="76"/>
      <c r="K47" s="103"/>
      <c r="L47" s="702"/>
      <c r="M47" s="697"/>
      <c r="N47" s="702"/>
      <c r="O47" s="697"/>
      <c r="P47" s="702"/>
      <c r="Q47" s="697"/>
      <c r="R47" s="103"/>
    </row>
    <row r="48" spans="1:18" x14ac:dyDescent="0.2">
      <c r="A48" s="1"/>
      <c r="B48" s="23"/>
      <c r="C48" s="23"/>
      <c r="D48" s="29"/>
      <c r="E48" s="3" t="s">
        <v>84</v>
      </c>
      <c r="F48" s="6" t="s">
        <v>85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 t="s">
        <v>22</v>
      </c>
      <c r="C49" s="11"/>
      <c r="D49" s="31" t="s">
        <v>13</v>
      </c>
      <c r="E49" s="36">
        <v>0</v>
      </c>
      <c r="F49" s="36">
        <v>0</v>
      </c>
      <c r="G49" s="19"/>
      <c r="H49" s="318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60</v>
      </c>
      <c r="E50" s="36">
        <v>0.19599999999999998</v>
      </c>
      <c r="F50" s="36">
        <f>'Base Preços MP'!C85</f>
        <v>0.25087999999999999</v>
      </c>
      <c r="G50" s="4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82</v>
      </c>
      <c r="E51" s="36"/>
      <c r="F51" s="36"/>
      <c r="G51" s="19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f>F52/D36</f>
        <v>0.624</v>
      </c>
      <c r="F52" s="36">
        <v>0.78</v>
      </c>
      <c r="G52" s="4"/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50</v>
      </c>
      <c r="E53" s="36">
        <v>0.39875000000000005</v>
      </c>
      <c r="F53" s="36">
        <v>0.51040000000000008</v>
      </c>
      <c r="G53" s="19" t="s">
        <v>86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59</v>
      </c>
      <c r="E54" s="36">
        <v>0.93007812500000009</v>
      </c>
      <c r="F54" s="36">
        <v>1.1905000000000001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>
        <v>3</v>
      </c>
      <c r="B55" s="22" t="s">
        <v>25</v>
      </c>
      <c r="C55" s="35"/>
      <c r="D55" s="24" t="s">
        <v>61</v>
      </c>
      <c r="E55" s="36">
        <v>2.3535156249999996</v>
      </c>
      <c r="F55" s="36">
        <v>3.0124999999999997</v>
      </c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/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252</v>
      </c>
      <c r="D58" s="1"/>
      <c r="E58" s="369" t="s">
        <v>193</v>
      </c>
      <c r="F58" s="19"/>
      <c r="G58" s="4"/>
      <c r="H58" s="56"/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5" t="s">
        <v>64</v>
      </c>
      <c r="D59" s="65" t="s">
        <v>65</v>
      </c>
      <c r="E59" s="65" t="s">
        <v>66</v>
      </c>
      <c r="F59" s="58" t="s">
        <v>87</v>
      </c>
      <c r="G59" s="27" t="s">
        <v>564</v>
      </c>
      <c r="H59" s="56" t="s">
        <v>414</v>
      </c>
      <c r="I59" s="19" t="s">
        <v>565</v>
      </c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6" t="s">
        <v>23</v>
      </c>
      <c r="D60" s="67">
        <f>E45/I47+D42</f>
        <v>1.0064518</v>
      </c>
      <c r="E60" s="67">
        <f>D60*D36</f>
        <v>1.25806475</v>
      </c>
      <c r="F60" s="72" t="s">
        <v>88</v>
      </c>
      <c r="G60" s="33">
        <f>E60/0.88</f>
        <v>1.429619034090909</v>
      </c>
      <c r="H60" s="56"/>
      <c r="I60" s="19"/>
      <c r="J60" s="204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 t="str">
        <f>'[8]FUEL BLACK 20%'!A60:B60</f>
        <v>Contentor Incluido</v>
      </c>
      <c r="B61" s="694"/>
      <c r="C61" s="74">
        <v>1000</v>
      </c>
      <c r="D61" s="70">
        <f>E45/I47+D42+E50</f>
        <v>1.2024518</v>
      </c>
      <c r="E61" s="70">
        <f>D61*D36</f>
        <v>1.5030647500000001</v>
      </c>
      <c r="F61" s="61" t="s">
        <v>89</v>
      </c>
      <c r="G61" s="33">
        <f>E61/0.88</f>
        <v>1.708028125</v>
      </c>
      <c r="H61" s="56"/>
      <c r="I61" s="19"/>
      <c r="J61" s="307" t="s">
        <v>576</v>
      </c>
      <c r="K61" s="314"/>
      <c r="L61" s="314" t="s">
        <v>577</v>
      </c>
      <c r="M61" s="314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50</v>
      </c>
      <c r="D62" s="70"/>
      <c r="E62" s="70"/>
      <c r="F62" s="51" t="s">
        <v>90</v>
      </c>
      <c r="G62" s="33"/>
      <c r="H62" s="56"/>
      <c r="I62" s="1"/>
      <c r="J62" s="3"/>
      <c r="K62" s="314"/>
      <c r="L62" s="314"/>
      <c r="M62" s="314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E45/I47+E52</f>
        <v>1.6304517999999999</v>
      </c>
      <c r="E63" s="70">
        <f>D63*D36</f>
        <v>2.0380647499999998</v>
      </c>
      <c r="F63" s="61" t="s">
        <v>573</v>
      </c>
      <c r="G63" s="33"/>
      <c r="H63" s="7"/>
      <c r="I63" s="1"/>
      <c r="J63" s="319">
        <f>E63+1.5</f>
        <v>3.5380647499999998</v>
      </c>
      <c r="K63" s="314"/>
      <c r="L63" s="635">
        <f>J63/3.7</f>
        <v>0.95623371621621611</v>
      </c>
      <c r="M63" s="314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E45/I47+D42+E53</f>
        <v>1.4052017999999999</v>
      </c>
      <c r="E64" s="70">
        <f>D64*D36</f>
        <v>1.75650225</v>
      </c>
      <c r="F64" s="51" t="s">
        <v>90</v>
      </c>
      <c r="G64" s="33">
        <f>E64/0.88</f>
        <v>1.9960252840909092</v>
      </c>
      <c r="H64" s="20">
        <f>G64+0.5</f>
        <v>2.4960252840909094</v>
      </c>
      <c r="I64" s="1"/>
      <c r="J64" s="319"/>
      <c r="K64" s="511"/>
      <c r="L64" s="635">
        <f>J64/3.7</f>
        <v>0</v>
      </c>
      <c r="M64" s="314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5</v>
      </c>
      <c r="D65" s="70">
        <f>E45/I47+D42+E54</f>
        <v>1.9365299250000001</v>
      </c>
      <c r="E65" s="70">
        <f>D65*D36</f>
        <v>2.42066240625</v>
      </c>
      <c r="F65" s="61" t="s">
        <v>94</v>
      </c>
      <c r="G65" s="39">
        <f>E65/0.88</f>
        <v>2.7507527343749998</v>
      </c>
      <c r="H65" s="7">
        <f>G65+0.5</f>
        <v>3.2507527343749998</v>
      </c>
      <c r="I65" s="4"/>
      <c r="J65" s="319">
        <f>E65+1.5</f>
        <v>3.92066240625</v>
      </c>
      <c r="K65" s="511"/>
      <c r="L65" s="635">
        <f>J65/3.7</f>
        <v>1.0596384881756755</v>
      </c>
      <c r="M65" s="314"/>
      <c r="N65" s="103"/>
      <c r="O65" s="103"/>
      <c r="P65" s="103"/>
      <c r="Q65" s="103"/>
      <c r="R65" s="103"/>
    </row>
    <row r="66" spans="1:18" x14ac:dyDescent="0.2">
      <c r="A66" s="86"/>
      <c r="B66" s="86"/>
      <c r="C66" s="69">
        <v>1</v>
      </c>
      <c r="D66" s="70">
        <f>E45/I47+D42+E55</f>
        <v>3.3599674249999998</v>
      </c>
      <c r="E66" s="70">
        <f>D66*D36</f>
        <v>4.19995928125</v>
      </c>
      <c r="F66" s="61" t="s">
        <v>95</v>
      </c>
      <c r="G66" s="87">
        <f>E66/0.88</f>
        <v>4.7726810014204544</v>
      </c>
      <c r="H66" s="7">
        <f>G66+0.5</f>
        <v>5.2726810014204544</v>
      </c>
      <c r="I66" s="4"/>
      <c r="J66" s="319">
        <f>E66+1.5</f>
        <v>5.69995928125</v>
      </c>
      <c r="K66" s="511"/>
      <c r="L66" s="635">
        <f>J66/3.7</f>
        <v>1.5405295354729729</v>
      </c>
      <c r="M66" s="314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237"/>
      <c r="E67" s="86"/>
      <c r="F67" s="86"/>
      <c r="G67" s="86"/>
      <c r="H67" s="7"/>
      <c r="I67" s="1"/>
      <c r="J67" s="16"/>
      <c r="K67" s="511"/>
      <c r="L67" s="511"/>
      <c r="M67" s="314"/>
      <c r="N67" s="103"/>
      <c r="O67" s="103"/>
      <c r="P67" s="103"/>
      <c r="Q67" s="103"/>
      <c r="R67" s="103"/>
    </row>
    <row r="68" spans="1:18" x14ac:dyDescent="0.2">
      <c r="A68" s="696"/>
      <c r="B68" s="696"/>
      <c r="C68" s="90"/>
      <c r="D68" s="90"/>
      <c r="E68" s="90"/>
      <c r="F68" s="90"/>
      <c r="G68" s="90"/>
      <c r="H68" s="57"/>
      <c r="I68" s="1"/>
      <c r="J68" s="16"/>
      <c r="K68" s="511"/>
      <c r="L68" s="511"/>
      <c r="M68" s="314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2"/>
      <c r="F69" s="92"/>
      <c r="G69" s="342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342"/>
      <c r="F70" s="92"/>
      <c r="G70" s="342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A68:B68"/>
    <mergeCell ref="A69:B69"/>
    <mergeCell ref="A70:B70"/>
    <mergeCell ref="L56:M56"/>
    <mergeCell ref="N56:O56"/>
    <mergeCell ref="P56:Q56"/>
    <mergeCell ref="A61:B61"/>
    <mergeCell ref="A67:B67"/>
    <mergeCell ref="L54:M54"/>
    <mergeCell ref="N54:O54"/>
    <mergeCell ref="P54:Q54"/>
    <mergeCell ref="L55:M55"/>
    <mergeCell ref="N55:O55"/>
    <mergeCell ref="P55:Q55"/>
    <mergeCell ref="L52:M52"/>
    <mergeCell ref="N52:O52"/>
    <mergeCell ref="P52:Q52"/>
    <mergeCell ref="L53:M53"/>
    <mergeCell ref="N53:O53"/>
    <mergeCell ref="P53:Q53"/>
    <mergeCell ref="B31:D31"/>
    <mergeCell ref="L31:N31"/>
    <mergeCell ref="B32:D32"/>
    <mergeCell ref="L32:N32"/>
    <mergeCell ref="L46:Q46"/>
    <mergeCell ref="B28:D28"/>
    <mergeCell ref="L28:N28"/>
    <mergeCell ref="B29:D29"/>
    <mergeCell ref="L29:N29"/>
    <mergeCell ref="B30:D30"/>
    <mergeCell ref="L30:N30"/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L48:M48"/>
    <mergeCell ref="N48:O48"/>
    <mergeCell ref="P48:Q48"/>
    <mergeCell ref="L51:M51"/>
    <mergeCell ref="N51:O51"/>
    <mergeCell ref="P51:Q51"/>
    <mergeCell ref="L49:M49"/>
    <mergeCell ref="N49:O49"/>
    <mergeCell ref="P49:Q49"/>
    <mergeCell ref="L50:M50"/>
    <mergeCell ref="N50:O50"/>
    <mergeCell ref="P50:Q50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69"/>
  <sheetViews>
    <sheetView topLeftCell="A30" zoomScale="65" zoomScaleNormal="65" workbookViewId="0">
      <selection activeCell="J61" sqref="J61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191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192" t="s">
        <v>121</v>
      </c>
      <c r="L16" s="118">
        <v>6000</v>
      </c>
      <c r="M16" s="116">
        <f>L16*D35</f>
        <v>7140</v>
      </c>
      <c r="N16" s="671"/>
      <c r="O16" s="672"/>
      <c r="P16" s="134" t="s">
        <v>153</v>
      </c>
      <c r="Q16" s="134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19.649999999999999</v>
      </c>
      <c r="F17" s="110">
        <v>196.5</v>
      </c>
      <c r="G17" s="114" t="s">
        <v>125</v>
      </c>
      <c r="H17" s="156">
        <f>'Base Preços MP'!G10</f>
        <v>0.01</v>
      </c>
      <c r="I17" s="114">
        <f>E20*21/100+E26*7/100</f>
        <v>5.7204000000000006</v>
      </c>
      <c r="J17" s="151">
        <f>F17*H17</f>
        <v>1.9650000000000001</v>
      </c>
      <c r="K17" s="111">
        <f>I17*1.34*10</f>
        <v>76.653360000000006</v>
      </c>
      <c r="L17" s="676" t="str">
        <f t="shared" ref="L17:L30" si="0">B17</f>
        <v>Agua</v>
      </c>
      <c r="M17" s="677"/>
      <c r="N17" s="678"/>
      <c r="O17" s="117">
        <f>F17*M16/1000</f>
        <v>1403.01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88" t="s">
        <v>167</v>
      </c>
      <c r="C18" s="689"/>
      <c r="D18" s="690"/>
      <c r="E18" s="101">
        <f t="shared" ref="E18:E30" si="1">F18/10</f>
        <v>0</v>
      </c>
      <c r="F18" s="83"/>
      <c r="G18" s="114" t="s">
        <v>69</v>
      </c>
      <c r="H18" s="157">
        <f>'Base Preços MP'!G12</f>
        <v>5.0999999999999996</v>
      </c>
      <c r="I18" s="114">
        <f>E19*60/100</f>
        <v>7.8119999999999994</v>
      </c>
      <c r="J18" s="151">
        <f>F18*H18</f>
        <v>0</v>
      </c>
      <c r="K18" s="111">
        <f t="shared" ref="K18:K27" si="2">I18*1.34*10</f>
        <v>104.6808</v>
      </c>
      <c r="L18" s="676" t="str">
        <f t="shared" si="0"/>
        <v>Potasa Caustica en Escamas 90 %</v>
      </c>
      <c r="M18" s="677"/>
      <c r="N18" s="678"/>
      <c r="O18" s="117">
        <f>F18*M16/1000</f>
        <v>0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82" t="s">
        <v>285</v>
      </c>
      <c r="C19" s="680"/>
      <c r="D19" s="681"/>
      <c r="E19" s="101">
        <f t="shared" si="1"/>
        <v>13.02</v>
      </c>
      <c r="F19" s="83">
        <v>130.19999999999999</v>
      </c>
      <c r="G19" s="114" t="s">
        <v>110</v>
      </c>
      <c r="H19" s="157">
        <f>'Base Preços MP'!G49</f>
        <v>0.81399999999999995</v>
      </c>
      <c r="I19" s="114">
        <f>E18*75.5/100+E25*15/100</f>
        <v>0</v>
      </c>
      <c r="J19" s="151">
        <f t="shared" ref="J19:J30" si="3">F19*H19</f>
        <v>105.98279999999998</v>
      </c>
      <c r="K19" s="111">
        <f t="shared" si="2"/>
        <v>0</v>
      </c>
      <c r="L19" s="676" t="str">
        <f t="shared" si="0"/>
        <v>Lignosulfonato</v>
      </c>
      <c r="M19" s="677"/>
      <c r="N19" s="678"/>
      <c r="O19" s="117">
        <f>F19*M16/1000</f>
        <v>929.62799999999993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79" t="s">
        <v>113</v>
      </c>
      <c r="C20" s="680"/>
      <c r="D20" s="681"/>
      <c r="E20" s="101">
        <f t="shared" si="1"/>
        <v>2.23</v>
      </c>
      <c r="F20" s="83">
        <v>22.3</v>
      </c>
      <c r="G20" s="114" t="s">
        <v>106</v>
      </c>
      <c r="H20" s="158">
        <f>'Base Preços MP'!G52</f>
        <v>1.37</v>
      </c>
      <c r="I20" s="114">
        <f>E27*27/100</f>
        <v>0.53459999999999996</v>
      </c>
      <c r="J20" s="151">
        <f>H20*F20</f>
        <v>30.551000000000002</v>
      </c>
      <c r="K20" s="111">
        <f t="shared" si="2"/>
        <v>7.16364</v>
      </c>
      <c r="L20" s="676" t="str">
        <f t="shared" si="0"/>
        <v>UREIA</v>
      </c>
      <c r="M20" s="677"/>
      <c r="N20" s="678"/>
      <c r="O20" s="117">
        <f>F20*M16/1000</f>
        <v>159.22200000000001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683" t="s">
        <v>31</v>
      </c>
      <c r="C21" s="684"/>
      <c r="D21" s="685"/>
      <c r="E21" s="101">
        <f t="shared" si="1"/>
        <v>64.599999999999994</v>
      </c>
      <c r="F21" s="139">
        <v>646</v>
      </c>
      <c r="G21" s="114" t="s">
        <v>107</v>
      </c>
      <c r="H21" s="158">
        <f>'Base Preços MP'!G24</f>
        <v>4.3</v>
      </c>
      <c r="I21" s="114">
        <f>E26*7/100</f>
        <v>5.2521000000000004</v>
      </c>
      <c r="J21" s="151">
        <f t="shared" si="3"/>
        <v>2777.7999999999997</v>
      </c>
      <c r="K21" s="111">
        <f t="shared" si="2"/>
        <v>70.378140000000002</v>
      </c>
      <c r="L21" s="686" t="str">
        <f t="shared" si="0"/>
        <v>Acido Nitrico</v>
      </c>
      <c r="M21" s="686"/>
      <c r="N21" s="686"/>
      <c r="O21" s="117">
        <f>F21*M16/1000</f>
        <v>4612.4399999999996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82" t="s">
        <v>286</v>
      </c>
      <c r="C22" s="680"/>
      <c r="D22" s="681"/>
      <c r="E22" s="101">
        <f t="shared" si="1"/>
        <v>0.25</v>
      </c>
      <c r="F22" s="139">
        <v>2.5</v>
      </c>
      <c r="G22" s="114" t="s">
        <v>108</v>
      </c>
      <c r="H22" s="158">
        <f>'Base Preços MP'!G37</f>
        <v>52</v>
      </c>
      <c r="I22" s="114">
        <f>E21*14/100</f>
        <v>9.0439999999999987</v>
      </c>
      <c r="J22" s="151">
        <f>F22*H22</f>
        <v>130</v>
      </c>
      <c r="K22" s="111">
        <f t="shared" si="2"/>
        <v>121.1896</v>
      </c>
      <c r="L22" s="687" t="str">
        <f t="shared" si="0"/>
        <v>Nitrato de Amonio Liquido</v>
      </c>
      <c r="M22" s="687"/>
      <c r="N22" s="687"/>
      <c r="O22" s="117">
        <f>F22*M16/1000</f>
        <v>17.850000000000001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 t="s">
        <v>70</v>
      </c>
      <c r="C23" s="680"/>
      <c r="D23" s="681"/>
      <c r="E23" s="101">
        <f t="shared" si="1"/>
        <v>0.25</v>
      </c>
      <c r="F23" s="83">
        <v>2.5</v>
      </c>
      <c r="G23" s="114" t="s">
        <v>109</v>
      </c>
      <c r="H23" s="158">
        <f>'Base Preços MP'!G29</f>
        <v>10.3</v>
      </c>
      <c r="I23" s="101">
        <f>E22*21/100</f>
        <v>5.2499999999999998E-2</v>
      </c>
      <c r="J23" s="151">
        <f t="shared" si="3"/>
        <v>25.75</v>
      </c>
      <c r="K23" s="111">
        <f t="shared" si="2"/>
        <v>0.70350000000000001</v>
      </c>
      <c r="L23" s="687" t="str">
        <f t="shared" si="0"/>
        <v xml:space="preserve">Cloreto Ferrico Sol al 40% </v>
      </c>
      <c r="M23" s="687"/>
      <c r="N23" s="687"/>
      <c r="O23" s="117">
        <f>F23*M16/1000</f>
        <v>17.850000000000001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 t="s">
        <v>130</v>
      </c>
      <c r="C24" s="680"/>
      <c r="D24" s="681"/>
      <c r="E24" s="101">
        <f t="shared" si="1"/>
        <v>0</v>
      </c>
      <c r="F24" s="83"/>
      <c r="G24" s="114" t="s">
        <v>111</v>
      </c>
      <c r="H24" s="158">
        <f>'Base Preços MP'!G28</f>
        <v>1.7</v>
      </c>
      <c r="I24" s="101">
        <f>E24*14/100</f>
        <v>0</v>
      </c>
      <c r="J24" s="151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79" t="s">
        <v>168</v>
      </c>
      <c r="C25" s="680"/>
      <c r="D25" s="681"/>
      <c r="E25" s="101">
        <f t="shared" si="1"/>
        <v>0</v>
      </c>
      <c r="F25" s="83"/>
      <c r="G25" s="114" t="s">
        <v>112</v>
      </c>
      <c r="H25" s="158">
        <f>'Base Preços MP'!G25</f>
        <v>1.64</v>
      </c>
      <c r="I25" s="101">
        <f>E23*13/100</f>
        <v>3.2500000000000001E-2</v>
      </c>
      <c r="J25" s="151">
        <f>F25*H25</f>
        <v>0</v>
      </c>
      <c r="K25" s="111">
        <f t="shared" si="2"/>
        <v>0.43550000000000005</v>
      </c>
      <c r="L25" s="687" t="str">
        <f t="shared" si="0"/>
        <v>Cloreto de Potasio Liquido 15 %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79" t="s">
        <v>128</v>
      </c>
      <c r="C26" s="680"/>
      <c r="D26" s="681"/>
      <c r="E26" s="101">
        <f t="shared" si="1"/>
        <v>75.03</v>
      </c>
      <c r="F26" s="83">
        <v>750.3</v>
      </c>
      <c r="G26" s="114" t="s">
        <v>105</v>
      </c>
      <c r="H26" s="159">
        <f>'Base Preços MP'!G41</f>
        <v>1.76</v>
      </c>
      <c r="I26" s="141">
        <f>E28*17/100</f>
        <v>2.0009000000000001</v>
      </c>
      <c r="J26" s="151">
        <f t="shared" si="3"/>
        <v>1320.528</v>
      </c>
      <c r="K26" s="111">
        <f t="shared" si="2"/>
        <v>26.812060000000002</v>
      </c>
      <c r="L26" s="687" t="str">
        <f t="shared" si="0"/>
        <v>Nitrato de Magnesio liquido (7% Mg) liquido</v>
      </c>
      <c r="M26" s="687"/>
      <c r="N26" s="687"/>
      <c r="O26" s="117">
        <f>F26*M16/1000</f>
        <v>5357.1419999999998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82" t="s">
        <v>289</v>
      </c>
      <c r="C27" s="680"/>
      <c r="D27" s="681"/>
      <c r="E27" s="101">
        <f t="shared" si="1"/>
        <v>1.98</v>
      </c>
      <c r="F27" s="83">
        <v>19.8</v>
      </c>
      <c r="G27" s="114" t="s">
        <v>122</v>
      </c>
      <c r="H27" s="159">
        <f>'Base Preços MP'!G27</f>
        <v>2.1110000000000002</v>
      </c>
      <c r="I27" s="141">
        <f>E29*39/100</f>
        <v>0</v>
      </c>
      <c r="J27" s="151">
        <f t="shared" si="3"/>
        <v>41.797800000000002</v>
      </c>
      <c r="K27" s="111">
        <f t="shared" si="2"/>
        <v>0</v>
      </c>
      <c r="L27" s="687" t="str">
        <f t="shared" si="0"/>
        <v>Cloreto de Magnesio solução</v>
      </c>
      <c r="M27" s="687"/>
      <c r="N27" s="687"/>
      <c r="O27" s="117">
        <f>F27*M16/1000</f>
        <v>141.37200000000001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 t="s">
        <v>30</v>
      </c>
      <c r="C28" s="680"/>
      <c r="D28" s="681"/>
      <c r="E28" s="101">
        <f t="shared" si="1"/>
        <v>11.77</v>
      </c>
      <c r="F28" s="83">
        <v>117.7</v>
      </c>
      <c r="G28" s="1"/>
      <c r="H28" s="159">
        <f>'Base Preços MP'!G11</f>
        <v>3.4</v>
      </c>
      <c r="I28" s="1"/>
      <c r="J28" s="151">
        <f>F28*H28</f>
        <v>400.18</v>
      </c>
      <c r="K28" s="103"/>
      <c r="L28" s="687" t="str">
        <f t="shared" si="0"/>
        <v>Acido Borico</v>
      </c>
      <c r="M28" s="687"/>
      <c r="N28" s="687"/>
      <c r="O28" s="117">
        <f>F28*M16/1000</f>
        <v>840.37800000000004</v>
      </c>
      <c r="P28" s="103"/>
      <c r="Q28" s="103"/>
      <c r="R28" s="103"/>
      <c r="U28" s="144"/>
      <c r="V28" s="146"/>
    </row>
    <row r="29" spans="1:22" x14ac:dyDescent="0.2">
      <c r="A29" s="1"/>
      <c r="B29" s="679" t="s">
        <v>28</v>
      </c>
      <c r="C29" s="680"/>
      <c r="D29" s="681"/>
      <c r="E29" s="101">
        <f t="shared" si="1"/>
        <v>0</v>
      </c>
      <c r="F29" s="83"/>
      <c r="G29" s="1"/>
      <c r="H29" s="159">
        <f>'Base Preços MP'!G36</f>
        <v>6.5</v>
      </c>
      <c r="I29" s="1"/>
      <c r="J29" s="151">
        <f t="shared" si="3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 t="s">
        <v>68</v>
      </c>
      <c r="C30" s="680"/>
      <c r="D30" s="681"/>
      <c r="E30" s="101">
        <f t="shared" si="1"/>
        <v>0</v>
      </c>
      <c r="F30" s="83"/>
      <c r="G30" s="1"/>
      <c r="H30" s="159">
        <f>'Base Preços MP'!G34</f>
        <v>7.75</v>
      </c>
      <c r="I30" s="1"/>
      <c r="J30" s="151">
        <f t="shared" si="3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188.78</v>
      </c>
      <c r="F31" s="140">
        <f>SUM(F17:F30)</f>
        <v>1887.8</v>
      </c>
      <c r="G31" s="103"/>
      <c r="H31" s="113"/>
      <c r="I31" s="103"/>
      <c r="J31" s="112"/>
      <c r="K31" s="103"/>
      <c r="L31" s="691" t="s">
        <v>43</v>
      </c>
      <c r="M31" s="692"/>
      <c r="N31" s="692"/>
      <c r="O31" s="193">
        <f>SUM(O17:O30)</f>
        <v>13478.892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1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14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1.19</v>
      </c>
      <c r="E35" s="1"/>
      <c r="F35" s="1"/>
      <c r="G35" s="1"/>
      <c r="H35" s="17" t="s">
        <v>1</v>
      </c>
      <c r="I35" s="1"/>
      <c r="J35" s="194">
        <f>SUM(J17:J34)</f>
        <v>4834.5546000000004</v>
      </c>
      <c r="K35" s="103"/>
      <c r="L35" s="103" t="s">
        <v>254</v>
      </c>
      <c r="M35" s="103" t="s">
        <v>260</v>
      </c>
      <c r="N35" s="103"/>
      <c r="O35" s="103"/>
      <c r="P35" s="114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40</v>
      </c>
      <c r="N36" s="103"/>
      <c r="O36" s="103"/>
      <c r="P36" s="114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>
        <v>55</v>
      </c>
      <c r="N37" s="103"/>
      <c r="O37" s="103"/>
      <c r="P37" s="114"/>
      <c r="Q37" s="103"/>
      <c r="R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101"/>
      <c r="G38" s="1"/>
      <c r="H38" s="23"/>
      <c r="I38" s="27"/>
      <c r="J38" s="29" t="s">
        <v>78</v>
      </c>
      <c r="K38" s="103"/>
      <c r="L38" s="103" t="s">
        <v>257</v>
      </c>
      <c r="M38" s="103">
        <v>60</v>
      </c>
      <c r="N38" s="103"/>
      <c r="O38" s="103"/>
      <c r="P38" s="114"/>
      <c r="Q38" s="103"/>
      <c r="R38" s="103"/>
    </row>
    <row r="39" spans="1:18" x14ac:dyDescent="0.2">
      <c r="A39" s="1"/>
      <c r="B39" s="3" t="s">
        <v>10</v>
      </c>
      <c r="C39" s="1"/>
      <c r="D39" s="520"/>
      <c r="E39" s="68">
        <f>J35/J36</f>
        <v>4.8345546000000006</v>
      </c>
      <c r="F39" s="102"/>
      <c r="G39" s="3" t="s">
        <v>16</v>
      </c>
      <c r="H39" s="1"/>
      <c r="I39" s="39"/>
      <c r="J39" s="68">
        <f>E39*D35</f>
        <v>5.7531199740000005</v>
      </c>
      <c r="K39" s="103"/>
      <c r="L39" s="103"/>
      <c r="M39" s="103"/>
      <c r="N39" s="103"/>
      <c r="O39" s="103"/>
      <c r="P39" s="114"/>
      <c r="Q39" s="103"/>
      <c r="R39" s="103"/>
    </row>
    <row r="40" spans="1:18" x14ac:dyDescent="0.2">
      <c r="A40" s="1"/>
      <c r="B40" s="19" t="s">
        <v>11</v>
      </c>
      <c r="C40" s="4"/>
      <c r="D40" s="521"/>
      <c r="E40" s="68">
        <v>0.09</v>
      </c>
      <c r="F40" s="16"/>
      <c r="G40" s="19" t="s">
        <v>17</v>
      </c>
      <c r="H40" s="4"/>
      <c r="I40" s="39"/>
      <c r="J40" s="68">
        <f>E40*D35</f>
        <v>0.10709999999999999</v>
      </c>
      <c r="K40" s="103"/>
      <c r="L40" s="103"/>
      <c r="M40" s="103"/>
      <c r="N40" s="103"/>
      <c r="O40" s="103"/>
      <c r="P40" s="114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4.9245546000000004</v>
      </c>
      <c r="F44" s="3"/>
      <c r="G44" s="3" t="s">
        <v>19</v>
      </c>
      <c r="H44" s="1"/>
      <c r="I44" s="33"/>
      <c r="J44" s="142">
        <f>J39+J40+J41+J42+J43</f>
        <v>5.8602199740000005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48"/>
      <c r="M46" s="697"/>
      <c r="N46" s="748"/>
      <c r="O46" s="697"/>
      <c r="P46" s="748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26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0.21082352941176472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0.46252100840336147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1.1113445378151261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2.6995798319327733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263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4.9245546000000004</v>
      </c>
      <c r="E59" s="67">
        <f>D59*D35</f>
        <v>5.8602199740000005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'FUEL BLACK 20% NÃO USAR'!A60:B60</f>
        <v>Contentor Incluido</v>
      </c>
      <c r="B60" s="694"/>
      <c r="C60" s="74">
        <v>1000</v>
      </c>
      <c r="D60" s="70">
        <f>E44/I46+D41+E49</f>
        <v>5.1353781294117651</v>
      </c>
      <c r="E60" s="70">
        <f>D60*D35</f>
        <v>6.111099974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5.3870756084033617</v>
      </c>
      <c r="E63" s="70">
        <f>D63*D35</f>
        <v>6.4106199740000003</v>
      </c>
      <c r="F63" s="51" t="s">
        <v>90</v>
      </c>
      <c r="G63" s="33">
        <f>E63/0.88</f>
        <v>7.2847954250000004</v>
      </c>
      <c r="H63" s="20">
        <f>G63+0.5</f>
        <v>7.7847954250000004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6.035899137815127</v>
      </c>
      <c r="E64" s="70">
        <f>D64*D35</f>
        <v>7.1827199740000012</v>
      </c>
      <c r="F64" s="61" t="s">
        <v>94</v>
      </c>
      <c r="G64" s="39">
        <f>E64/0.88</f>
        <v>8.1621817886363655</v>
      </c>
      <c r="H64" s="7">
        <f>G64+0.5</f>
        <v>8.6621817886363655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7.6241344319327737</v>
      </c>
      <c r="E65" s="70">
        <f>D65*D35</f>
        <v>9.072719974</v>
      </c>
      <c r="F65" s="61" t="s">
        <v>95</v>
      </c>
      <c r="G65" s="87">
        <f>E65/0.88</f>
        <v>10.309909061363637</v>
      </c>
      <c r="H65" s="7">
        <f>G65+0.5</f>
        <v>10.809909061363637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88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91"/>
      <c r="F68" s="92"/>
      <c r="G68" s="91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  <mergeCell ref="L52:M52"/>
    <mergeCell ref="N52:O52"/>
    <mergeCell ref="P52:Q52"/>
    <mergeCell ref="L53:M53"/>
    <mergeCell ref="N53:O53"/>
    <mergeCell ref="P53:Q53"/>
    <mergeCell ref="L50:M50"/>
    <mergeCell ref="N50:O50"/>
    <mergeCell ref="P50:Q50"/>
    <mergeCell ref="L51:M51"/>
    <mergeCell ref="N51:O51"/>
    <mergeCell ref="P51:Q51"/>
    <mergeCell ref="L48:M48"/>
    <mergeCell ref="N48:O48"/>
    <mergeCell ref="P48:Q48"/>
    <mergeCell ref="L49:M49"/>
    <mergeCell ref="N49:O49"/>
    <mergeCell ref="P49:Q49"/>
    <mergeCell ref="L46:M46"/>
    <mergeCell ref="N46:O46"/>
    <mergeCell ref="P46:Q46"/>
    <mergeCell ref="L47:M47"/>
    <mergeCell ref="N47:O47"/>
    <mergeCell ref="P47:Q47"/>
    <mergeCell ref="B30:D30"/>
    <mergeCell ref="L30:N30"/>
    <mergeCell ref="B31:D31"/>
    <mergeCell ref="L31:N31"/>
    <mergeCell ref="L45:Q45"/>
    <mergeCell ref="B27:D27"/>
    <mergeCell ref="L27:N27"/>
    <mergeCell ref="B28:D28"/>
    <mergeCell ref="L28:N28"/>
    <mergeCell ref="B29:D29"/>
    <mergeCell ref="L29:N29"/>
    <mergeCell ref="B24:D24"/>
    <mergeCell ref="L24:N24"/>
    <mergeCell ref="B25:D25"/>
    <mergeCell ref="L25:N25"/>
    <mergeCell ref="B26:D26"/>
    <mergeCell ref="L26:N26"/>
    <mergeCell ref="B21:D21"/>
    <mergeCell ref="L21:N21"/>
    <mergeCell ref="B22:D22"/>
    <mergeCell ref="L22:N22"/>
    <mergeCell ref="B23:D23"/>
    <mergeCell ref="L23:N23"/>
    <mergeCell ref="B18:D18"/>
    <mergeCell ref="L18:N18"/>
    <mergeCell ref="B19:D19"/>
    <mergeCell ref="L19:N19"/>
    <mergeCell ref="B20:D20"/>
    <mergeCell ref="L20:N20"/>
    <mergeCell ref="I10:J10"/>
    <mergeCell ref="L14:M14"/>
    <mergeCell ref="N16:O16"/>
    <mergeCell ref="B17:D17"/>
    <mergeCell ref="L17:N17"/>
    <mergeCell ref="I6:K6"/>
    <mergeCell ref="I7:J7"/>
    <mergeCell ref="I8:J8"/>
    <mergeCell ref="G9:H9"/>
    <mergeCell ref="I9:J9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71"/>
  <sheetViews>
    <sheetView topLeftCell="A44" zoomScale="86" zoomScaleNormal="86" workbookViewId="0">
      <selection activeCell="J60" sqref="J60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476" t="s">
        <v>360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87"/>
      <c r="I8" s="793" t="s">
        <v>438</v>
      </c>
      <c r="J8" s="794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294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482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83" t="s">
        <v>67</v>
      </c>
      <c r="M15" s="483" t="s">
        <v>117</v>
      </c>
      <c r="N15" s="1"/>
      <c r="O15" s="1"/>
      <c r="P15" s="103"/>
      <c r="Q15" s="103"/>
      <c r="R15" s="481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481" t="s">
        <v>121</v>
      </c>
      <c r="L16" s="195">
        <v>1000</v>
      </c>
      <c r="M16" s="196">
        <f>L16*D37</f>
        <v>1220</v>
      </c>
      <c r="N16" s="714"/>
      <c r="O16" s="715"/>
      <c r="P16" s="484" t="s">
        <v>152</v>
      </c>
      <c r="Q16" s="366" t="s">
        <v>154</v>
      </c>
      <c r="R16" s="481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31.330000000000002</v>
      </c>
      <c r="F17" s="378">
        <v>313.3</v>
      </c>
      <c r="G17" s="357" t="s">
        <v>125</v>
      </c>
      <c r="H17" s="358">
        <f>'[8]Base Preços MP'!G10</f>
        <v>0.01</v>
      </c>
      <c r="I17" s="170">
        <f>E20*20/100+E26*7/100</f>
        <v>3.69</v>
      </c>
      <c r="J17" s="359">
        <f>F17*H17</f>
        <v>3.133</v>
      </c>
      <c r="K17" s="111">
        <f>I17*1.325*10</f>
        <v>48.892499999999998</v>
      </c>
      <c r="L17" s="676" t="str">
        <f t="shared" ref="L17:L32" si="0">B17</f>
        <v>Agua</v>
      </c>
      <c r="M17" s="677"/>
      <c r="N17" s="678"/>
      <c r="O17" s="117">
        <f>F17*M16/1000</f>
        <v>382.226</v>
      </c>
      <c r="P17" s="109">
        <v>6.02</v>
      </c>
      <c r="Q17" s="165" t="s">
        <v>125</v>
      </c>
      <c r="R17" s="166">
        <f>J17/994.31</f>
        <v>3.1509287847854292E-3</v>
      </c>
      <c r="U17" s="144"/>
      <c r="V17" s="146"/>
    </row>
    <row r="18" spans="1:22" x14ac:dyDescent="0.2">
      <c r="A18" s="1"/>
      <c r="B18" s="682" t="s">
        <v>607</v>
      </c>
      <c r="C18" s="724"/>
      <c r="D18" s="725"/>
      <c r="E18" s="315">
        <f t="shared" ref="E18:E32" si="1">F18/10</f>
        <v>10.26</v>
      </c>
      <c r="F18" s="290">
        <v>102.6</v>
      </c>
      <c r="G18" s="357" t="s">
        <v>69</v>
      </c>
      <c r="H18" s="360">
        <f>'Base Preços MP'!G19</f>
        <v>3.5</v>
      </c>
      <c r="I18" s="170">
        <f>E19*60/100</f>
        <v>1.8</v>
      </c>
      <c r="J18" s="359">
        <f>F18*H18</f>
        <v>359.09999999999997</v>
      </c>
      <c r="K18" s="111">
        <f t="shared" ref="K18:K27" si="2">I18*1.325*10</f>
        <v>23.849999999999998</v>
      </c>
      <c r="L18" s="676" t="str">
        <f t="shared" si="0"/>
        <v>Map purificado</v>
      </c>
      <c r="M18" s="677"/>
      <c r="N18" s="678"/>
      <c r="O18" s="117">
        <f>F18*M16/1000</f>
        <v>125.172</v>
      </c>
      <c r="P18" s="109">
        <v>2.11</v>
      </c>
      <c r="Q18" s="165" t="s">
        <v>69</v>
      </c>
      <c r="R18" s="166">
        <f t="shared" ref="R18:R34" si="3">J18/994.31</f>
        <v>0.36115497178948214</v>
      </c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3</v>
      </c>
      <c r="F19" s="290">
        <v>30</v>
      </c>
      <c r="G19" s="357" t="s">
        <v>110</v>
      </c>
      <c r="H19" s="360">
        <f>'Base Preços MP'!G15</f>
        <v>4.95</v>
      </c>
      <c r="I19" s="170">
        <f>E18*75.5/100+E25*60/100</f>
        <v>7.7462999999999997</v>
      </c>
      <c r="J19" s="359">
        <f t="shared" ref="J19:J32" si="4">F19*H19</f>
        <v>148.5</v>
      </c>
      <c r="K19" s="111">
        <f t="shared" si="2"/>
        <v>102.63847499999999</v>
      </c>
      <c r="L19" s="676" t="str">
        <f t="shared" si="0"/>
        <v>Acido Fosforico Tecnico 60% liquido</v>
      </c>
      <c r="M19" s="677"/>
      <c r="N19" s="678"/>
      <c r="O19" s="117">
        <f>F19*M16/1000</f>
        <v>36.6</v>
      </c>
      <c r="P19" s="109">
        <v>6.02</v>
      </c>
      <c r="Q19" s="165" t="s">
        <v>110</v>
      </c>
      <c r="R19" s="166">
        <f t="shared" si="3"/>
        <v>0.14934980036407158</v>
      </c>
      <c r="U19" s="144"/>
      <c r="V19" s="146"/>
    </row>
    <row r="20" spans="1:22" x14ac:dyDescent="0.2">
      <c r="A20" s="1"/>
      <c r="B20" s="682" t="s">
        <v>534</v>
      </c>
      <c r="C20" s="724"/>
      <c r="D20" s="725"/>
      <c r="E20" s="315">
        <f t="shared" si="1"/>
        <v>18.45</v>
      </c>
      <c r="F20" s="290">
        <v>184.5</v>
      </c>
      <c r="G20" s="357" t="s">
        <v>106</v>
      </c>
      <c r="H20" s="361">
        <f>'Base Preços MP'!G38</f>
        <v>0.9</v>
      </c>
      <c r="I20" s="170">
        <f>E27*27/100</f>
        <v>0</v>
      </c>
      <c r="J20" s="359">
        <f>H20*F20</f>
        <v>166.05</v>
      </c>
      <c r="K20" s="111">
        <f t="shared" si="2"/>
        <v>0</v>
      </c>
      <c r="L20" s="676" t="str">
        <f t="shared" si="0"/>
        <v>Nitrex</v>
      </c>
      <c r="M20" s="677"/>
      <c r="N20" s="678"/>
      <c r="O20" s="117">
        <f>F20*M16/1000</f>
        <v>225.09</v>
      </c>
      <c r="P20" s="109">
        <v>3.64</v>
      </c>
      <c r="Q20" s="165" t="s">
        <v>106</v>
      </c>
      <c r="R20" s="166">
        <f t="shared" si="3"/>
        <v>0.16700023131618913</v>
      </c>
      <c r="U20" s="144"/>
      <c r="V20" s="146"/>
    </row>
    <row r="21" spans="1:22" x14ac:dyDescent="0.2">
      <c r="A21" s="1"/>
      <c r="B21" s="683" t="s">
        <v>608</v>
      </c>
      <c r="C21" s="726"/>
      <c r="D21" s="727"/>
      <c r="E21" s="315">
        <f t="shared" si="1"/>
        <v>25.839999999999996</v>
      </c>
      <c r="F21" s="379">
        <v>258.39999999999998</v>
      </c>
      <c r="G21" s="357" t="s">
        <v>107</v>
      </c>
      <c r="H21" s="361">
        <f>'Base Preços MP'!G26</f>
        <v>0.53</v>
      </c>
      <c r="I21" s="171">
        <f>E26*7/100</f>
        <v>0</v>
      </c>
      <c r="J21" s="359">
        <f t="shared" si="4"/>
        <v>136.952</v>
      </c>
      <c r="K21" s="111">
        <f t="shared" si="2"/>
        <v>0</v>
      </c>
      <c r="L21" s="686" t="str">
        <f t="shared" si="0"/>
        <v>Liquid K</v>
      </c>
      <c r="M21" s="686"/>
      <c r="N21" s="686"/>
      <c r="O21" s="117">
        <f>F21*M16/1000</f>
        <v>315.24799999999999</v>
      </c>
      <c r="P21" s="161">
        <v>0.81</v>
      </c>
      <c r="Q21" s="165" t="s">
        <v>107</v>
      </c>
      <c r="R21" s="166">
        <f t="shared" si="3"/>
        <v>0.13773571622532207</v>
      </c>
      <c r="U21" s="144"/>
      <c r="V21" s="146"/>
    </row>
    <row r="22" spans="1:22" x14ac:dyDescent="0.2">
      <c r="A22" s="1"/>
      <c r="B22" s="682" t="s">
        <v>439</v>
      </c>
      <c r="C22" s="724"/>
      <c r="D22" s="725"/>
      <c r="E22" s="315">
        <f t="shared" si="1"/>
        <v>11.120000000000001</v>
      </c>
      <c r="F22" s="379">
        <v>111.2</v>
      </c>
      <c r="G22" s="357" t="s">
        <v>108</v>
      </c>
      <c r="H22" s="361">
        <f>'Base Preços MP'!G31</f>
        <v>1.06</v>
      </c>
      <c r="I22" s="171">
        <f>E21*14/100</f>
        <v>3.6175999999999995</v>
      </c>
      <c r="J22" s="359">
        <f>F22*H22</f>
        <v>117.87200000000001</v>
      </c>
      <c r="K22" s="111">
        <f t="shared" si="2"/>
        <v>47.933199999999999</v>
      </c>
      <c r="L22" s="687" t="str">
        <f t="shared" si="0"/>
        <v>Cloreto de Ca liquido</v>
      </c>
      <c r="M22" s="687"/>
      <c r="N22" s="687"/>
      <c r="O22" s="117">
        <f>F22*M16/1000</f>
        <v>135.66399999999999</v>
      </c>
      <c r="P22" s="161">
        <v>2.9000000000000001E-2</v>
      </c>
      <c r="Q22" s="165" t="s">
        <v>108</v>
      </c>
      <c r="R22" s="166">
        <f t="shared" si="3"/>
        <v>0.11854652975430199</v>
      </c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290"/>
      <c r="G23" s="357" t="s">
        <v>109</v>
      </c>
      <c r="H23" s="361">
        <f>'[8]Base Preços MP'!G24</f>
        <v>1.32</v>
      </c>
      <c r="I23" s="171">
        <f>E22*21/100</f>
        <v>2.3351999999999999</v>
      </c>
      <c r="J23" s="359">
        <f t="shared" si="4"/>
        <v>0</v>
      </c>
      <c r="K23" s="111">
        <f t="shared" si="2"/>
        <v>30.941399999999998</v>
      </c>
      <c r="L23" s="687">
        <f t="shared" si="0"/>
        <v>0</v>
      </c>
      <c r="M23" s="687"/>
      <c r="N23" s="687"/>
      <c r="O23" s="117">
        <f>F23*M16/1000</f>
        <v>0</v>
      </c>
      <c r="P23" s="161">
        <v>1.7999999999999999E-2</v>
      </c>
      <c r="Q23" s="165" t="s">
        <v>109</v>
      </c>
      <c r="R23" s="166">
        <f t="shared" si="3"/>
        <v>0</v>
      </c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290"/>
      <c r="G24" s="357" t="s">
        <v>111</v>
      </c>
      <c r="H24" s="361">
        <f>'[8]Base Preços MP'!G23</f>
        <v>7.3</v>
      </c>
      <c r="I24" s="486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1.7999999999999999E-2</v>
      </c>
      <c r="Q24" s="165" t="s">
        <v>111</v>
      </c>
      <c r="R24" s="166">
        <f t="shared" si="3"/>
        <v>0</v>
      </c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290"/>
      <c r="G25" s="357" t="s">
        <v>112</v>
      </c>
      <c r="H25" s="361">
        <f>'Base Preços MP'!G26</f>
        <v>0.53</v>
      </c>
      <c r="I25" s="486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0.105</v>
      </c>
      <c r="Q25" s="165" t="s">
        <v>112</v>
      </c>
      <c r="R25" s="166">
        <f t="shared" si="3"/>
        <v>0</v>
      </c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290"/>
      <c r="G26" s="357" t="s">
        <v>105</v>
      </c>
      <c r="H26" s="362">
        <f>'[8]Base Preços MP'!G35</f>
        <v>1.58</v>
      </c>
      <c r="I26" s="171">
        <f>E30*17/100</f>
        <v>0</v>
      </c>
      <c r="J26" s="359">
        <f t="shared" si="4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8.0000000000000002E-3</v>
      </c>
      <c r="Q26" s="165" t="s">
        <v>105</v>
      </c>
      <c r="R26" s="166">
        <f t="shared" si="3"/>
        <v>0</v>
      </c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290"/>
      <c r="G27" s="357" t="s">
        <v>122</v>
      </c>
      <c r="H27" s="362">
        <f>'Base Preços MP'!G31</f>
        <v>1.06</v>
      </c>
      <c r="I27" s="171">
        <f>E31*39/100</f>
        <v>0</v>
      </c>
      <c r="J27" s="359">
        <f t="shared" si="4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6.0000000000000001E-3</v>
      </c>
      <c r="Q27" s="165" t="s">
        <v>122</v>
      </c>
      <c r="R27" s="166">
        <f t="shared" si="3"/>
        <v>0</v>
      </c>
      <c r="U27" s="144"/>
      <c r="V27" s="146"/>
    </row>
    <row r="28" spans="1:22" x14ac:dyDescent="0.2">
      <c r="A28" s="1"/>
      <c r="B28" s="478"/>
      <c r="C28" s="479"/>
      <c r="D28" s="480"/>
      <c r="E28" s="315">
        <f t="shared" si="1"/>
        <v>0</v>
      </c>
      <c r="F28" s="290"/>
      <c r="G28" s="357"/>
      <c r="H28" s="362">
        <f>'[8]Base Preços MP'!G34</f>
        <v>1.18</v>
      </c>
      <c r="I28" s="171"/>
      <c r="J28" s="359">
        <f>F28*H28</f>
        <v>0</v>
      </c>
      <c r="K28" s="111"/>
      <c r="L28" s="477" t="s">
        <v>277</v>
      </c>
      <c r="M28" s="477"/>
      <c r="N28" s="477"/>
      <c r="O28" s="117">
        <f>F28*M16/1000</f>
        <v>0</v>
      </c>
      <c r="P28" s="215"/>
      <c r="Q28" s="485"/>
      <c r="R28" s="166">
        <f t="shared" si="3"/>
        <v>0</v>
      </c>
      <c r="U28" s="144"/>
      <c r="V28" s="146"/>
    </row>
    <row r="29" spans="1:22" x14ac:dyDescent="0.2">
      <c r="A29" s="1"/>
      <c r="B29" s="478"/>
      <c r="C29" s="479"/>
      <c r="D29" s="480"/>
      <c r="E29" s="315">
        <f t="shared" si="1"/>
        <v>0</v>
      </c>
      <c r="F29" s="290"/>
      <c r="G29" s="357"/>
      <c r="H29" s="362">
        <f>'[8]Base Preços MP'!G40</f>
        <v>1.56</v>
      </c>
      <c r="I29" s="171"/>
      <c r="J29" s="359">
        <f>F29*H29</f>
        <v>0</v>
      </c>
      <c r="K29" s="111"/>
      <c r="L29" s="477" t="s">
        <v>172</v>
      </c>
      <c r="M29" s="477"/>
      <c r="N29" s="477"/>
      <c r="O29" s="117">
        <f>F29*M16/1000</f>
        <v>0</v>
      </c>
      <c r="P29" s="215"/>
      <c r="Q29" s="485"/>
      <c r="R29" s="166">
        <f t="shared" si="3"/>
        <v>0</v>
      </c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290"/>
      <c r="G30" s="1"/>
      <c r="H30" s="362">
        <f>'[8]Base Preços MP'!G11</f>
        <v>2.99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>
        <f t="shared" si="3"/>
        <v>0</v>
      </c>
      <c r="U30" s="144"/>
      <c r="V30" s="146"/>
    </row>
    <row r="31" spans="1:22" x14ac:dyDescent="0.2">
      <c r="A31" s="1"/>
      <c r="B31" s="682"/>
      <c r="C31" s="724"/>
      <c r="D31" s="725"/>
      <c r="E31" s="315">
        <f t="shared" si="1"/>
        <v>0</v>
      </c>
      <c r="F31" s="291"/>
      <c r="G31" s="1"/>
      <c r="H31" s="362">
        <f>'[8]Base Preços MP'!G31</f>
        <v>39.200000000000003</v>
      </c>
      <c r="I31" s="1"/>
      <c r="J31" s="359">
        <f t="shared" si="4"/>
        <v>0</v>
      </c>
      <c r="K31" s="103"/>
      <c r="L31" s="687">
        <f t="shared" si="0"/>
        <v>0</v>
      </c>
      <c r="M31" s="687"/>
      <c r="N31" s="687"/>
      <c r="O31" s="117">
        <f>F31*M16/1000</f>
        <v>0</v>
      </c>
      <c r="P31" s="103"/>
      <c r="Q31" s="103"/>
      <c r="R31" s="166">
        <f t="shared" si="3"/>
        <v>0</v>
      </c>
      <c r="U31" s="144"/>
      <c r="V31" s="146"/>
    </row>
    <row r="32" spans="1:22" x14ac:dyDescent="0.2">
      <c r="A32" s="1"/>
      <c r="B32" s="682"/>
      <c r="C32" s="724"/>
      <c r="D32" s="725"/>
      <c r="E32" s="315">
        <f t="shared" si="1"/>
        <v>0</v>
      </c>
      <c r="F32" s="290"/>
      <c r="G32" s="1"/>
      <c r="H32" s="362">
        <f>'[8]Base Preços MP'!G29</f>
        <v>3</v>
      </c>
      <c r="I32" s="1"/>
      <c r="J32" s="359">
        <f t="shared" si="4"/>
        <v>0</v>
      </c>
      <c r="K32" s="103"/>
      <c r="L32" s="687">
        <f t="shared" si="0"/>
        <v>0</v>
      </c>
      <c r="M32" s="687"/>
      <c r="N32" s="687"/>
      <c r="O32" s="117">
        <f>F32*M16/1000</f>
        <v>0</v>
      </c>
      <c r="P32" s="103"/>
      <c r="Q32" s="103"/>
      <c r="R32" s="166">
        <f t="shared" si="3"/>
        <v>0</v>
      </c>
      <c r="U32" s="144"/>
      <c r="V32" s="146"/>
    </row>
    <row r="33" spans="1:21" x14ac:dyDescent="0.2">
      <c r="A33" s="1"/>
      <c r="B33" s="659"/>
      <c r="C33" s="660"/>
      <c r="D33" s="661"/>
      <c r="E33" s="147">
        <f>SUM(E17:E32)</f>
        <v>100</v>
      </c>
      <c r="F33" s="292"/>
      <c r="G33" s="103"/>
      <c r="H33" s="362">
        <f>'Base Preços MP'!G25</f>
        <v>1.64</v>
      </c>
      <c r="I33" s="103"/>
      <c r="J33" s="281">
        <f>F33*H33</f>
        <v>0</v>
      </c>
      <c r="K33" s="103"/>
      <c r="L33" s="795" t="s">
        <v>73</v>
      </c>
      <c r="M33" s="796"/>
      <c r="N33" s="797"/>
      <c r="O33" s="293">
        <f>F33*M16/1000</f>
        <v>0</v>
      </c>
      <c r="P33" s="103"/>
      <c r="Q33" s="103"/>
      <c r="R33" s="164">
        <f t="shared" si="3"/>
        <v>0</v>
      </c>
      <c r="U33" s="145"/>
    </row>
    <row r="34" spans="1:21" x14ac:dyDescent="0.2">
      <c r="A34" s="1"/>
      <c r="B34" s="4"/>
      <c r="C34" s="4"/>
      <c r="D34" s="4"/>
      <c r="E34" s="1"/>
      <c r="F34" s="4">
        <f>SUM(F17:F33)</f>
        <v>1000</v>
      </c>
      <c r="G34" s="103"/>
      <c r="H34" s="108"/>
      <c r="I34" s="103"/>
      <c r="J34" s="108"/>
      <c r="K34" s="103"/>
      <c r="L34" s="103"/>
      <c r="M34" s="103"/>
      <c r="N34" s="103"/>
      <c r="O34" s="121">
        <f>SUM(O17:O33)</f>
        <v>1220</v>
      </c>
      <c r="P34" s="103"/>
      <c r="Q34" s="103"/>
      <c r="R34" s="103">
        <f t="shared" si="3"/>
        <v>0</v>
      </c>
    </row>
    <row r="35" spans="1:21" x14ac:dyDescent="0.2">
      <c r="A35" s="22">
        <v>1</v>
      </c>
      <c r="B35" s="21" t="s">
        <v>8</v>
      </c>
      <c r="C35" s="21"/>
      <c r="D35" s="4">
        <v>1.19</v>
      </c>
      <c r="E35" s="103"/>
      <c r="F35" s="104"/>
      <c r="G35" s="105"/>
      <c r="H35" s="106"/>
      <c r="I35" s="1"/>
      <c r="J35" s="7"/>
      <c r="K35" s="103"/>
      <c r="L35" s="103"/>
      <c r="M35" s="103"/>
      <c r="N35" s="103"/>
      <c r="O35" s="103"/>
      <c r="P35" s="103"/>
      <c r="Q35" s="103"/>
      <c r="R35" s="103"/>
    </row>
    <row r="36" spans="1:21" ht="13.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03"/>
      <c r="L36" s="103"/>
      <c r="M36" s="103"/>
      <c r="N36" s="103"/>
      <c r="O36" s="103"/>
      <c r="P36" s="103"/>
      <c r="Q36" s="103"/>
      <c r="R36" s="103"/>
    </row>
    <row r="37" spans="1:21" ht="13.5" thickBot="1" x14ac:dyDescent="0.25">
      <c r="A37" s="1"/>
      <c r="B37" s="3" t="s">
        <v>2</v>
      </c>
      <c r="C37" s="1"/>
      <c r="D37" s="82">
        <v>1.22</v>
      </c>
      <c r="E37" s="1"/>
      <c r="F37" s="1"/>
      <c r="G37" s="1"/>
      <c r="H37" s="17" t="s">
        <v>1</v>
      </c>
      <c r="I37" s="1"/>
      <c r="J37" s="25">
        <f>SUM(J17:J36)</f>
        <v>931.60699999999997</v>
      </c>
      <c r="K37" s="103"/>
      <c r="L37" s="103"/>
      <c r="M37" s="103"/>
      <c r="N37" s="103"/>
      <c r="O37" s="103"/>
      <c r="P37" s="103"/>
      <c r="Q37" s="103"/>
      <c r="R37" s="103"/>
    </row>
    <row r="38" spans="1:21" ht="13.5" thickBot="1" x14ac:dyDescent="0.25">
      <c r="A38" s="1"/>
      <c r="B38" s="1"/>
      <c r="C38" s="1"/>
      <c r="D38" s="1"/>
      <c r="E38" s="1"/>
      <c r="F38" s="1"/>
      <c r="G38" s="1"/>
      <c r="H38" s="17" t="s">
        <v>26</v>
      </c>
      <c r="I38" s="1"/>
      <c r="J38" s="18">
        <v>1000</v>
      </c>
      <c r="K38" s="103"/>
      <c r="L38" s="103"/>
      <c r="M38" s="103" t="s">
        <v>254</v>
      </c>
      <c r="N38" s="103" t="s">
        <v>255</v>
      </c>
      <c r="O38" s="103"/>
      <c r="P38" s="103"/>
      <c r="Q38" s="103"/>
      <c r="R38" s="103"/>
    </row>
    <row r="39" spans="1:21" x14ac:dyDescent="0.2">
      <c r="A39" s="1"/>
      <c r="B39" s="1"/>
      <c r="C39" s="1"/>
      <c r="D39" s="1"/>
      <c r="E39" s="1"/>
      <c r="F39" s="1"/>
      <c r="G39" s="1"/>
      <c r="H39" s="19"/>
      <c r="I39" s="1"/>
      <c r="J39" s="30"/>
      <c r="K39" s="103"/>
      <c r="L39" s="103"/>
      <c r="M39" s="189" t="s">
        <v>256</v>
      </c>
      <c r="N39" s="189">
        <v>0</v>
      </c>
      <c r="O39" s="103"/>
      <c r="P39" s="103"/>
      <c r="Q39" s="103"/>
    </row>
    <row r="40" spans="1:21" x14ac:dyDescent="0.2">
      <c r="A40" s="1"/>
      <c r="B40" s="23" t="s">
        <v>15</v>
      </c>
      <c r="C40" s="1"/>
      <c r="D40" s="27"/>
      <c r="E40" s="23" t="s">
        <v>77</v>
      </c>
      <c r="F40" s="315"/>
      <c r="G40" s="1"/>
      <c r="H40" s="23"/>
      <c r="I40" s="27"/>
      <c r="J40" s="29" t="s">
        <v>78</v>
      </c>
      <c r="K40" s="103"/>
      <c r="L40" s="103"/>
      <c r="M40" s="103" t="s">
        <v>105</v>
      </c>
      <c r="N40" s="103"/>
      <c r="O40" s="103"/>
      <c r="P40" s="103"/>
      <c r="Q40" s="103"/>
    </row>
    <row r="41" spans="1:21" x14ac:dyDescent="0.2">
      <c r="A41" s="1"/>
      <c r="B41" s="3" t="s">
        <v>10</v>
      </c>
      <c r="C41" s="1"/>
      <c r="D41" s="520"/>
      <c r="E41" s="68">
        <f>J37/J38</f>
        <v>0.93160699999999996</v>
      </c>
      <c r="F41" s="364"/>
      <c r="G41" s="3" t="s">
        <v>16</v>
      </c>
      <c r="H41" s="1"/>
      <c r="I41" s="39"/>
      <c r="J41" s="68">
        <f>E41*D37</f>
        <v>1.1365605399999998</v>
      </c>
      <c r="K41" s="103"/>
      <c r="L41" s="103"/>
      <c r="M41" s="103" t="s">
        <v>257</v>
      </c>
      <c r="N41" s="103"/>
      <c r="O41" s="103"/>
      <c r="P41" s="103"/>
      <c r="Q41" s="103"/>
    </row>
    <row r="42" spans="1:21" x14ac:dyDescent="0.2">
      <c r="A42" s="1"/>
      <c r="B42" s="19" t="s">
        <v>11</v>
      </c>
      <c r="C42" s="4"/>
      <c r="D42" s="521"/>
      <c r="E42" s="68">
        <v>0.09</v>
      </c>
      <c r="F42" s="16"/>
      <c r="G42" s="19" t="s">
        <v>17</v>
      </c>
      <c r="H42" s="4"/>
      <c r="I42" s="39"/>
      <c r="J42" s="68">
        <f>E42*D37</f>
        <v>0.10979999999999999</v>
      </c>
      <c r="K42" s="103"/>
      <c r="L42" s="103"/>
      <c r="M42" s="103"/>
      <c r="N42" s="103"/>
      <c r="O42" s="103"/>
      <c r="P42" s="103"/>
      <c r="Q42" s="103"/>
      <c r="R42" s="103"/>
    </row>
    <row r="43" spans="1:21" x14ac:dyDescent="0.2">
      <c r="A43" s="1"/>
      <c r="B43" s="3" t="s">
        <v>14</v>
      </c>
      <c r="C43" s="1"/>
      <c r="D43" s="521"/>
      <c r="E43" s="68"/>
      <c r="F43" s="6"/>
      <c r="G43" s="3" t="s">
        <v>18</v>
      </c>
      <c r="H43" s="1"/>
      <c r="I43" s="39"/>
      <c r="J43" s="68">
        <f>E43*D37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21" x14ac:dyDescent="0.2">
      <c r="A44" s="1"/>
      <c r="B44" s="3" t="s">
        <v>79</v>
      </c>
      <c r="C44" s="1"/>
      <c r="D44" s="521"/>
      <c r="E44" s="68"/>
      <c r="F44" s="3"/>
      <c r="G44" s="3" t="s">
        <v>80</v>
      </c>
      <c r="H44" s="1"/>
      <c r="I44" s="39"/>
      <c r="J44" s="68">
        <f>E44*D37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21" x14ac:dyDescent="0.2">
      <c r="A45" s="1"/>
      <c r="B45" s="3" t="s">
        <v>42</v>
      </c>
      <c r="C45" s="1"/>
      <c r="D45" s="521"/>
      <c r="E45" s="68"/>
      <c r="F45" s="3"/>
      <c r="G45" s="3" t="s">
        <v>81</v>
      </c>
      <c r="H45" s="1"/>
      <c r="I45" s="39"/>
      <c r="J45" s="68">
        <f>E45*D37</f>
        <v>0</v>
      </c>
      <c r="K45" s="103"/>
      <c r="L45" s="103"/>
      <c r="M45" s="103"/>
      <c r="N45" s="103"/>
      <c r="O45" s="103"/>
      <c r="P45" s="103"/>
      <c r="Q45" s="103"/>
      <c r="R45" s="103"/>
    </row>
    <row r="46" spans="1:21" x14ac:dyDescent="0.2">
      <c r="A46" s="1"/>
      <c r="B46" s="3" t="s">
        <v>12</v>
      </c>
      <c r="C46" s="1"/>
      <c r="D46" s="520"/>
      <c r="E46" s="142">
        <f>E41+E42+E43+E44+E45</f>
        <v>1.0216069999999999</v>
      </c>
      <c r="F46" s="3"/>
      <c r="G46" s="3" t="s">
        <v>19</v>
      </c>
      <c r="H46" s="1"/>
      <c r="I46" s="33"/>
      <c r="J46" s="142">
        <f>J41+J42+J43+J44+J45</f>
        <v>1.2463605399999997</v>
      </c>
      <c r="K46" s="103"/>
      <c r="L46" s="103"/>
      <c r="M46" s="103"/>
      <c r="N46" s="103"/>
      <c r="O46" s="103"/>
      <c r="P46" s="103"/>
      <c r="Q46" s="103"/>
      <c r="R46" s="103"/>
    </row>
    <row r="47" spans="1:21" x14ac:dyDescent="0.2">
      <c r="A47" s="1"/>
      <c r="B47" s="1"/>
      <c r="C47" s="1"/>
      <c r="D47" s="4"/>
      <c r="E47" s="1"/>
      <c r="F47" s="19"/>
      <c r="G47" s="4"/>
      <c r="H47" s="4"/>
      <c r="I47" s="6"/>
      <c r="J47" s="28" t="s">
        <v>21</v>
      </c>
      <c r="K47" s="103"/>
      <c r="L47" s="701"/>
      <c r="M47" s="701"/>
      <c r="N47" s="701"/>
      <c r="O47" s="701"/>
      <c r="P47" s="701"/>
      <c r="Q47" s="701"/>
      <c r="R47" s="103"/>
    </row>
    <row r="48" spans="1:21" x14ac:dyDescent="0.2">
      <c r="A48" s="34">
        <v>2</v>
      </c>
      <c r="B48" s="22" t="s">
        <v>9</v>
      </c>
      <c r="C48" s="22"/>
      <c r="D48" s="1"/>
      <c r="E48" s="1"/>
      <c r="F48" s="19"/>
      <c r="G48" s="4"/>
      <c r="H48" s="27" t="s">
        <v>20</v>
      </c>
      <c r="I48" s="33">
        <f>(100-J48)/100</f>
        <v>1</v>
      </c>
      <c r="J48" s="76"/>
      <c r="K48" s="103"/>
      <c r="L48" s="702"/>
      <c r="M48" s="697"/>
      <c r="N48" s="702"/>
      <c r="O48" s="697"/>
      <c r="P48" s="702"/>
      <c r="Q48" s="697"/>
      <c r="R48" s="103"/>
    </row>
    <row r="49" spans="1:18" x14ac:dyDescent="0.2">
      <c r="A49" s="1"/>
      <c r="B49" s="23"/>
      <c r="C49" s="23"/>
      <c r="D49" s="29"/>
      <c r="E49" s="3" t="s">
        <v>84</v>
      </c>
      <c r="F49" s="6" t="s">
        <v>85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22" t="s">
        <v>22</v>
      </c>
      <c r="C50" s="11"/>
      <c r="D50" s="482" t="s">
        <v>13</v>
      </c>
      <c r="E50" s="36">
        <v>0</v>
      </c>
      <c r="F50" s="36">
        <v>0</v>
      </c>
      <c r="G50" s="19"/>
      <c r="H50" s="318"/>
      <c r="I50" s="75"/>
      <c r="J50" s="32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60</v>
      </c>
      <c r="E51" s="36">
        <v>0.19448062015503875</v>
      </c>
      <c r="F51" s="36">
        <v>0.25087999999999999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82</v>
      </c>
      <c r="E52" s="36"/>
      <c r="F52" s="36"/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1"/>
      <c r="D53" s="24" t="s">
        <v>50</v>
      </c>
      <c r="E53" s="36">
        <f>F53/D37</f>
        <v>0.70688524590163926</v>
      </c>
      <c r="F53" s="36">
        <f>'Base Preços MP'!C88</f>
        <v>0.86239999999999994</v>
      </c>
      <c r="G53" s="19" t="s">
        <v>590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50</v>
      </c>
      <c r="E54" s="36">
        <v>0.3956589147286822</v>
      </c>
      <c r="F54" s="36">
        <f>'Base Preços MP'!C89</f>
        <v>0.55040000000000011</v>
      </c>
      <c r="G54" s="19" t="s">
        <v>86</v>
      </c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5"/>
      <c r="D55" s="24" t="s">
        <v>59</v>
      </c>
      <c r="E55" s="36">
        <v>0.92286821705426358</v>
      </c>
      <c r="F55" s="36">
        <f>'Base Preços MP'!C91</f>
        <v>1.3225</v>
      </c>
      <c r="G55" s="1"/>
      <c r="H55" s="1"/>
      <c r="I55" s="6"/>
      <c r="J55" s="7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22">
        <v>3</v>
      </c>
      <c r="B56" s="22" t="s">
        <v>25</v>
      </c>
      <c r="C56" s="35"/>
      <c r="D56" s="24" t="s">
        <v>61</v>
      </c>
      <c r="E56" s="36">
        <v>2.3352713178294571</v>
      </c>
      <c r="F56" s="36">
        <f>'Base Preços MP'!C92</f>
        <v>3.2124999999999999</v>
      </c>
      <c r="G56" s="4"/>
      <c r="H56" s="4"/>
      <c r="I56" s="6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1"/>
      <c r="D57" s="1"/>
      <c r="E57" s="1"/>
      <c r="F57" s="19"/>
      <c r="G57" s="4"/>
      <c r="H57" s="4"/>
      <c r="I57" s="19"/>
      <c r="J57" s="20"/>
      <c r="K57" s="103"/>
      <c r="L57" s="697"/>
      <c r="M57" s="697"/>
      <c r="N57" s="697"/>
      <c r="O57" s="697"/>
      <c r="P57" s="697"/>
      <c r="Q57" s="697"/>
      <c r="R57" s="103"/>
    </row>
    <row r="58" spans="1:18" x14ac:dyDescent="0.2">
      <c r="A58" s="1"/>
      <c r="B58" s="1"/>
      <c r="C58" s="27"/>
      <c r="D58" s="27"/>
      <c r="E58" s="27"/>
      <c r="F58" s="27"/>
      <c r="G58" s="27"/>
      <c r="H58" s="4"/>
      <c r="I58" s="6"/>
      <c r="J58" s="40"/>
      <c r="K58" s="103"/>
      <c r="L58" s="143"/>
      <c r="M58" s="143"/>
      <c r="N58" s="143"/>
      <c r="O58" s="143"/>
      <c r="P58" s="143"/>
      <c r="Q58" s="143"/>
      <c r="R58" s="103"/>
    </row>
    <row r="59" spans="1:18" x14ac:dyDescent="0.2">
      <c r="A59" s="1"/>
      <c r="B59" s="1"/>
      <c r="C59" s="55" t="s">
        <v>438</v>
      </c>
      <c r="D59" s="1"/>
      <c r="E59" s="1"/>
      <c r="F59" s="19"/>
      <c r="G59" s="4"/>
      <c r="H59" s="56"/>
      <c r="I59" s="19"/>
      <c r="J59" s="20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5" t="s">
        <v>64</v>
      </c>
      <c r="D60" s="65" t="s">
        <v>65</v>
      </c>
      <c r="E60" s="65" t="s">
        <v>66</v>
      </c>
      <c r="F60" s="58" t="s">
        <v>87</v>
      </c>
      <c r="G60" s="27" t="s">
        <v>401</v>
      </c>
      <c r="H60" s="56" t="s">
        <v>414</v>
      </c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6" t="s">
        <v>23</v>
      </c>
      <c r="D61" s="67">
        <f>E46/I48+D43</f>
        <v>1.0216069999999999</v>
      </c>
      <c r="E61" s="67">
        <f>D61*D37</f>
        <v>1.24636054</v>
      </c>
      <c r="F61" s="72" t="s">
        <v>88</v>
      </c>
      <c r="G61" s="33">
        <f>E61/0.92</f>
        <v>1.3547397173913043</v>
      </c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670" t="str">
        <f>'[8]FUEL BLACK 20%'!A60:B60</f>
        <v>Contentor Incluido</v>
      </c>
      <c r="B62" s="694"/>
      <c r="C62" s="74">
        <v>1000</v>
      </c>
      <c r="D62" s="70">
        <f>E46/I48+D43+E51</f>
        <v>1.2160876201550388</v>
      </c>
      <c r="E62" s="70">
        <f>D62*D37</f>
        <v>1.4836268965891473</v>
      </c>
      <c r="F62" s="61" t="s">
        <v>89</v>
      </c>
      <c r="G62" s="33"/>
      <c r="H62" s="56"/>
      <c r="I62" s="19"/>
      <c r="J62" s="4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50</v>
      </c>
      <c r="D63" s="70"/>
      <c r="E63" s="70"/>
      <c r="F63" s="51" t="s">
        <v>90</v>
      </c>
      <c r="G63" s="33"/>
      <c r="H63" s="56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E46/I48+E53</f>
        <v>1.7284922459016392</v>
      </c>
      <c r="E64" s="70">
        <f>D64*D37</f>
        <v>2.1087605399999996</v>
      </c>
      <c r="F64" s="61" t="s">
        <v>590</v>
      </c>
      <c r="G64" s="33"/>
      <c r="H64" s="7"/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25</v>
      </c>
      <c r="D65" s="70">
        <f>E46/I48+D43+E54</f>
        <v>1.4172659147286821</v>
      </c>
      <c r="E65" s="70">
        <f>D65*D37</f>
        <v>1.7290644159689921</v>
      </c>
      <c r="F65" s="51" t="s">
        <v>90</v>
      </c>
      <c r="G65" s="33">
        <f>E65/0.91</f>
        <v>1.900070786779112</v>
      </c>
      <c r="H65" s="20">
        <f>G65+0.5</f>
        <v>2.400070786779112</v>
      </c>
      <c r="I65" s="1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1"/>
      <c r="B66" s="1"/>
      <c r="C66" s="69">
        <v>5</v>
      </c>
      <c r="D66" s="70">
        <f>E46/I48+D43+E55</f>
        <v>1.9444752170542636</v>
      </c>
      <c r="E66" s="70">
        <f>D66*D37</f>
        <v>2.3722597648062016</v>
      </c>
      <c r="F66" s="61" t="s">
        <v>94</v>
      </c>
      <c r="G66" s="39">
        <f>E66/0.88</f>
        <v>2.6957497327343201</v>
      </c>
      <c r="H66" s="7">
        <f>G66+0.5</f>
        <v>3.1957497327343201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86"/>
      <c r="B67" s="86"/>
      <c r="C67" s="69">
        <v>1</v>
      </c>
      <c r="D67" s="70"/>
      <c r="E67" s="70"/>
      <c r="F67" s="61" t="s">
        <v>95</v>
      </c>
      <c r="G67" s="87">
        <f>E67/0.88</f>
        <v>0</v>
      </c>
      <c r="H67" s="7">
        <f>G67+0.5</f>
        <v>0.5</v>
      </c>
      <c r="I67" s="4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5"/>
      <c r="B68" s="695"/>
      <c r="C68" s="85"/>
      <c r="D68" s="237"/>
      <c r="E68" s="86"/>
      <c r="F68" s="86"/>
      <c r="G68" s="86"/>
      <c r="H68" s="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6"/>
      <c r="B69" s="696"/>
      <c r="C69" s="90"/>
      <c r="D69" s="90"/>
      <c r="E69" s="90"/>
      <c r="F69" s="90"/>
      <c r="G69" s="90"/>
      <c r="H69" s="57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475"/>
      <c r="F70" s="92"/>
      <c r="G70" s="475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  <row r="71" spans="1:18" x14ac:dyDescent="0.2">
      <c r="A71" s="693"/>
      <c r="B71" s="693"/>
      <c r="C71" s="93"/>
      <c r="D71" s="92"/>
      <c r="E71" s="475"/>
      <c r="F71" s="92"/>
      <c r="G71" s="475"/>
      <c r="H71" s="73"/>
      <c r="I71" s="1"/>
      <c r="J71" s="1"/>
      <c r="K71" s="103"/>
      <c r="L71" s="103"/>
      <c r="M71" s="103"/>
      <c r="N71" s="103"/>
      <c r="O71" s="103"/>
      <c r="P71" s="103"/>
      <c r="Q71" s="103"/>
      <c r="R71" s="103"/>
    </row>
  </sheetData>
  <mergeCells count="74">
    <mergeCell ref="A70:B70"/>
    <mergeCell ref="A71:B71"/>
    <mergeCell ref="L57:M57"/>
    <mergeCell ref="N57:O57"/>
    <mergeCell ref="P57:Q57"/>
    <mergeCell ref="A62:B62"/>
    <mergeCell ref="A68:B68"/>
    <mergeCell ref="A69:B69"/>
    <mergeCell ref="L55:M55"/>
    <mergeCell ref="N55:O55"/>
    <mergeCell ref="P55:Q55"/>
    <mergeCell ref="L56:M56"/>
    <mergeCell ref="N56:O56"/>
    <mergeCell ref="P56:Q56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B33:D33"/>
    <mergeCell ref="L33:N33"/>
    <mergeCell ref="L47:Q47"/>
    <mergeCell ref="L48:M48"/>
    <mergeCell ref="N48:O48"/>
    <mergeCell ref="P48:Q48"/>
    <mergeCell ref="B30:D30"/>
    <mergeCell ref="L30:N30"/>
    <mergeCell ref="B31:D31"/>
    <mergeCell ref="L31:N31"/>
    <mergeCell ref="B32:D32"/>
    <mergeCell ref="L32:N32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71"/>
  <sheetViews>
    <sheetView topLeftCell="A48" workbookViewId="0">
      <selection activeCell="H62" sqref="H62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402" t="s">
        <v>360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12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294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08" t="s">
        <v>67</v>
      </c>
      <c r="M15" s="408" t="s">
        <v>117</v>
      </c>
      <c r="N15" s="1"/>
      <c r="O15" s="1"/>
      <c r="P15" s="103"/>
      <c r="Q15" s="103"/>
      <c r="R15" s="407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407" t="s">
        <v>121</v>
      </c>
      <c r="L16" s="195">
        <v>1000</v>
      </c>
      <c r="M16" s="196">
        <f>L16*D37</f>
        <v>1140</v>
      </c>
      <c r="N16" s="714"/>
      <c r="O16" s="715"/>
      <c r="P16" s="409" t="s">
        <v>152</v>
      </c>
      <c r="Q16" s="366" t="s">
        <v>154</v>
      </c>
      <c r="R16" s="407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23.740000000000002</v>
      </c>
      <c r="F17" s="378">
        <v>237.4</v>
      </c>
      <c r="G17" s="357" t="s">
        <v>125</v>
      </c>
      <c r="H17" s="358">
        <f>'[8]Base Preços MP'!G10</f>
        <v>0.01</v>
      </c>
      <c r="I17" s="170">
        <f>E20*20/100+E26*7/100</f>
        <v>2.8660000000000001</v>
      </c>
      <c r="J17" s="359">
        <f>F17*H17</f>
        <v>2.3740000000000001</v>
      </c>
      <c r="K17" s="111">
        <f>I17*1.325*10</f>
        <v>37.974499999999999</v>
      </c>
      <c r="L17" s="676" t="str">
        <f t="shared" ref="L17:L32" si="0">B17</f>
        <v>Agua</v>
      </c>
      <c r="M17" s="677"/>
      <c r="N17" s="678"/>
      <c r="O17" s="117">
        <f>F17*M16/1000</f>
        <v>270.63600000000002</v>
      </c>
      <c r="P17" s="109">
        <v>6.02</v>
      </c>
      <c r="Q17" s="165" t="s">
        <v>125</v>
      </c>
      <c r="R17" s="166">
        <f>J17/994.31</f>
        <v>2.387585360702397E-3</v>
      </c>
      <c r="U17" s="144"/>
      <c r="V17" s="146"/>
    </row>
    <row r="18" spans="1:22" x14ac:dyDescent="0.2">
      <c r="A18" s="1"/>
      <c r="B18" s="688" t="s">
        <v>213</v>
      </c>
      <c r="C18" s="689"/>
      <c r="D18" s="690"/>
      <c r="E18" s="315">
        <f t="shared" ref="E18:E32" si="1">F18/10</f>
        <v>55.1</v>
      </c>
      <c r="F18" s="290">
        <v>551</v>
      </c>
      <c r="G18" s="357" t="s">
        <v>69</v>
      </c>
      <c r="H18" s="360">
        <f>'Base Preços MP'!G26</f>
        <v>0.53</v>
      </c>
      <c r="I18" s="170">
        <f>E19*60/100</f>
        <v>2.9279999999999999</v>
      </c>
      <c r="J18" s="359">
        <f>F18*H18</f>
        <v>292.03000000000003</v>
      </c>
      <c r="K18" s="111">
        <f t="shared" ref="K18:K27" si="2">I18*1.325*10</f>
        <v>38.795999999999999</v>
      </c>
      <c r="L18" s="676" t="str">
        <f t="shared" si="0"/>
        <v>LIQUID K</v>
      </c>
      <c r="M18" s="677"/>
      <c r="N18" s="678"/>
      <c r="O18" s="117">
        <f>F18*M16/1000</f>
        <v>628.14</v>
      </c>
      <c r="P18" s="109">
        <v>2.11</v>
      </c>
      <c r="Q18" s="165" t="s">
        <v>69</v>
      </c>
      <c r="R18" s="166">
        <f t="shared" ref="R18:R34" si="3">J18/994.31</f>
        <v>0.29370115959811333</v>
      </c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4.88</v>
      </c>
      <c r="F19" s="290">
        <v>48.8</v>
      </c>
      <c r="G19" s="357" t="s">
        <v>110</v>
      </c>
      <c r="H19" s="360">
        <f>'Base Preços MP'!G15</f>
        <v>4.95</v>
      </c>
      <c r="I19" s="170">
        <f>E18*75.5/100+E25*60/100</f>
        <v>41.600500000000004</v>
      </c>
      <c r="J19" s="359">
        <f t="shared" ref="J19:J32" si="4">F19*H19</f>
        <v>241.56</v>
      </c>
      <c r="K19" s="111">
        <f t="shared" si="2"/>
        <v>551.20662500000003</v>
      </c>
      <c r="L19" s="676" t="str">
        <f t="shared" si="0"/>
        <v>Acido Fosforico Tecnico 60% liquido</v>
      </c>
      <c r="M19" s="677"/>
      <c r="N19" s="678"/>
      <c r="O19" s="117">
        <f>F19*M16/1000</f>
        <v>55.631999999999998</v>
      </c>
      <c r="P19" s="109">
        <v>6.02</v>
      </c>
      <c r="Q19" s="165" t="s">
        <v>110</v>
      </c>
      <c r="R19" s="166">
        <f t="shared" si="3"/>
        <v>0.24294234192555644</v>
      </c>
      <c r="U19" s="144"/>
      <c r="V19" s="146"/>
    </row>
    <row r="20" spans="1:22" x14ac:dyDescent="0.2">
      <c r="A20" s="1"/>
      <c r="B20" s="688" t="s">
        <v>214</v>
      </c>
      <c r="C20" s="689"/>
      <c r="D20" s="690"/>
      <c r="E20" s="315">
        <f t="shared" si="1"/>
        <v>14.330000000000002</v>
      </c>
      <c r="F20" s="290">
        <v>143.30000000000001</v>
      </c>
      <c r="G20" s="357" t="s">
        <v>106</v>
      </c>
      <c r="H20" s="361">
        <f>'Base Preços MP'!G38</f>
        <v>0.9</v>
      </c>
      <c r="I20" s="170">
        <f>E27*27/100</f>
        <v>0</v>
      </c>
      <c r="J20" s="359">
        <f>H20*F20</f>
        <v>128.97000000000003</v>
      </c>
      <c r="K20" s="111">
        <f t="shared" si="2"/>
        <v>0</v>
      </c>
      <c r="L20" s="676" t="str">
        <f t="shared" si="0"/>
        <v>NITREX</v>
      </c>
      <c r="M20" s="677"/>
      <c r="N20" s="678"/>
      <c r="O20" s="117">
        <f>F20*M16/1000</f>
        <v>163.36199999999999</v>
      </c>
      <c r="P20" s="109">
        <v>3.64</v>
      </c>
      <c r="Q20" s="165" t="s">
        <v>106</v>
      </c>
      <c r="R20" s="166">
        <f t="shared" si="3"/>
        <v>0.1297080387404331</v>
      </c>
      <c r="U20" s="144"/>
      <c r="V20" s="146"/>
    </row>
    <row r="21" spans="1:22" x14ac:dyDescent="0.2">
      <c r="A21" s="1"/>
      <c r="B21" s="683" t="s">
        <v>609</v>
      </c>
      <c r="C21" s="726"/>
      <c r="D21" s="727"/>
      <c r="E21" s="315">
        <f t="shared" si="1"/>
        <v>1.95</v>
      </c>
      <c r="F21" s="379">
        <v>19.5</v>
      </c>
      <c r="G21" s="357" t="s">
        <v>107</v>
      </c>
      <c r="H21" s="361">
        <f>'Base Preços MP'!G12</f>
        <v>5.0999999999999996</v>
      </c>
      <c r="I21" s="171">
        <f>E26*7/100</f>
        <v>0</v>
      </c>
      <c r="J21" s="359">
        <f t="shared" si="4"/>
        <v>99.449999999999989</v>
      </c>
      <c r="K21" s="111">
        <f t="shared" si="2"/>
        <v>0</v>
      </c>
      <c r="L21" s="686" t="str">
        <f t="shared" si="0"/>
        <v>POTASSA CAUSTICA</v>
      </c>
      <c r="M21" s="686"/>
      <c r="N21" s="686"/>
      <c r="O21" s="117">
        <f>F21*M16/1000</f>
        <v>22.23</v>
      </c>
      <c r="P21" s="161">
        <v>0.81</v>
      </c>
      <c r="Q21" s="165" t="s">
        <v>107</v>
      </c>
      <c r="R21" s="166">
        <f t="shared" si="3"/>
        <v>0.10001910872866611</v>
      </c>
      <c r="U21" s="144"/>
      <c r="V21" s="146"/>
    </row>
    <row r="22" spans="1:22" x14ac:dyDescent="0.2">
      <c r="A22" s="1"/>
      <c r="B22" s="682"/>
      <c r="C22" s="724"/>
      <c r="D22" s="725"/>
      <c r="E22" s="315">
        <f t="shared" si="1"/>
        <v>0</v>
      </c>
      <c r="F22" s="379"/>
      <c r="G22" s="357" t="s">
        <v>108</v>
      </c>
      <c r="H22" s="361">
        <f>'[8]Base Preços MP'!G36</f>
        <v>3.17</v>
      </c>
      <c r="I22" s="171">
        <f>E21*14/100</f>
        <v>0.27300000000000002</v>
      </c>
      <c r="J22" s="359">
        <f>F22*H22</f>
        <v>0</v>
      </c>
      <c r="K22" s="111">
        <f t="shared" si="2"/>
        <v>3.6172500000000003</v>
      </c>
      <c r="L22" s="687">
        <f t="shared" si="0"/>
        <v>0</v>
      </c>
      <c r="M22" s="687"/>
      <c r="N22" s="687"/>
      <c r="O22" s="117">
        <f>F22*M16/1000</f>
        <v>0</v>
      </c>
      <c r="P22" s="161">
        <v>2.9000000000000001E-2</v>
      </c>
      <c r="Q22" s="165" t="s">
        <v>108</v>
      </c>
      <c r="R22" s="166">
        <f t="shared" si="3"/>
        <v>0</v>
      </c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290"/>
      <c r="G23" s="357" t="s">
        <v>109</v>
      </c>
      <c r="H23" s="361">
        <f>'[8]Base Preços MP'!G24</f>
        <v>1.32</v>
      </c>
      <c r="I23" s="171">
        <f>E22*21/100</f>
        <v>0</v>
      </c>
      <c r="J23" s="359">
        <f t="shared" si="4"/>
        <v>0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1.7999999999999999E-2</v>
      </c>
      <c r="Q23" s="165" t="s">
        <v>109</v>
      </c>
      <c r="R23" s="166">
        <f t="shared" si="3"/>
        <v>0</v>
      </c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290"/>
      <c r="G24" s="357" t="s">
        <v>111</v>
      </c>
      <c r="H24" s="361">
        <f>'[8]Base Preços MP'!G23</f>
        <v>7.3</v>
      </c>
      <c r="I24" s="410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1.7999999999999999E-2</v>
      </c>
      <c r="Q24" s="165" t="s">
        <v>111</v>
      </c>
      <c r="R24" s="166">
        <f t="shared" si="3"/>
        <v>0</v>
      </c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290"/>
      <c r="G25" s="357" t="s">
        <v>112</v>
      </c>
      <c r="H25" s="361">
        <f>'Base Preços MP'!G26</f>
        <v>0.53</v>
      </c>
      <c r="I25" s="410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0.105</v>
      </c>
      <c r="Q25" s="165" t="s">
        <v>112</v>
      </c>
      <c r="R25" s="166">
        <f t="shared" si="3"/>
        <v>0</v>
      </c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290"/>
      <c r="G26" s="357" t="s">
        <v>105</v>
      </c>
      <c r="H26" s="362">
        <f>'[8]Base Preços MP'!G35</f>
        <v>1.58</v>
      </c>
      <c r="I26" s="171">
        <f>E30*17/100</f>
        <v>0</v>
      </c>
      <c r="J26" s="359">
        <f t="shared" si="4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8.0000000000000002E-3</v>
      </c>
      <c r="Q26" s="165" t="s">
        <v>105</v>
      </c>
      <c r="R26" s="166">
        <f t="shared" si="3"/>
        <v>0</v>
      </c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290"/>
      <c r="G27" s="357" t="s">
        <v>122</v>
      </c>
      <c r="H27" s="362">
        <f>'[8]Base Preços MP'!G26</f>
        <v>1.31</v>
      </c>
      <c r="I27" s="171">
        <f>E31*39/100</f>
        <v>0</v>
      </c>
      <c r="J27" s="359">
        <f t="shared" si="4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6.0000000000000001E-3</v>
      </c>
      <c r="Q27" s="165" t="s">
        <v>122</v>
      </c>
      <c r="R27" s="166">
        <f t="shared" si="3"/>
        <v>0</v>
      </c>
      <c r="U27" s="144"/>
      <c r="V27" s="146"/>
    </row>
    <row r="28" spans="1:22" x14ac:dyDescent="0.2">
      <c r="A28" s="1"/>
      <c r="B28" s="404"/>
      <c r="C28" s="405"/>
      <c r="D28" s="406"/>
      <c r="E28" s="315">
        <f t="shared" si="1"/>
        <v>0</v>
      </c>
      <c r="F28" s="290"/>
      <c r="G28" s="357"/>
      <c r="H28" s="362">
        <f>'[8]Base Preços MP'!G34</f>
        <v>1.18</v>
      </c>
      <c r="I28" s="171"/>
      <c r="J28" s="359">
        <f>F28*H28</f>
        <v>0</v>
      </c>
      <c r="K28" s="111"/>
      <c r="L28" s="403" t="s">
        <v>277</v>
      </c>
      <c r="M28" s="403"/>
      <c r="N28" s="403"/>
      <c r="O28" s="117">
        <f>F28*M16/1000</f>
        <v>0</v>
      </c>
      <c r="P28" s="215"/>
      <c r="Q28" s="411"/>
      <c r="R28" s="166">
        <f t="shared" si="3"/>
        <v>0</v>
      </c>
      <c r="U28" s="144"/>
      <c r="V28" s="146"/>
    </row>
    <row r="29" spans="1:22" x14ac:dyDescent="0.2">
      <c r="A29" s="1"/>
      <c r="B29" s="404"/>
      <c r="C29" s="405"/>
      <c r="D29" s="406"/>
      <c r="E29" s="315">
        <f t="shared" si="1"/>
        <v>0</v>
      </c>
      <c r="F29" s="290"/>
      <c r="G29" s="357"/>
      <c r="H29" s="362">
        <f>'[8]Base Preços MP'!G40</f>
        <v>1.56</v>
      </c>
      <c r="I29" s="171"/>
      <c r="J29" s="359">
        <f>F29*H29</f>
        <v>0</v>
      </c>
      <c r="K29" s="111"/>
      <c r="L29" s="403" t="s">
        <v>172</v>
      </c>
      <c r="M29" s="403"/>
      <c r="N29" s="403"/>
      <c r="O29" s="117">
        <f>F29*M16/1000</f>
        <v>0</v>
      </c>
      <c r="P29" s="215"/>
      <c r="Q29" s="411"/>
      <c r="R29" s="166">
        <f t="shared" si="3"/>
        <v>0</v>
      </c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290"/>
      <c r="G30" s="1"/>
      <c r="H30" s="362">
        <f>'[8]Base Preços MP'!G11</f>
        <v>2.99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>
        <f t="shared" si="3"/>
        <v>0</v>
      </c>
      <c r="U30" s="144"/>
      <c r="V30" s="146"/>
    </row>
    <row r="31" spans="1:22" x14ac:dyDescent="0.2">
      <c r="A31" s="1"/>
      <c r="B31" s="682"/>
      <c r="C31" s="724"/>
      <c r="D31" s="725"/>
      <c r="E31" s="315">
        <f t="shared" si="1"/>
        <v>0</v>
      </c>
      <c r="F31" s="291"/>
      <c r="G31" s="1"/>
      <c r="H31" s="362">
        <f>'[8]Base Preços MP'!G31</f>
        <v>39.200000000000003</v>
      </c>
      <c r="I31" s="1"/>
      <c r="J31" s="359">
        <f t="shared" si="4"/>
        <v>0</v>
      </c>
      <c r="K31" s="103"/>
      <c r="L31" s="687">
        <f t="shared" si="0"/>
        <v>0</v>
      </c>
      <c r="M31" s="687"/>
      <c r="N31" s="687"/>
      <c r="O31" s="117">
        <f>F31*M16/1000</f>
        <v>0</v>
      </c>
      <c r="P31" s="103"/>
      <c r="Q31" s="103"/>
      <c r="R31" s="166">
        <f t="shared" si="3"/>
        <v>0</v>
      </c>
      <c r="U31" s="144"/>
      <c r="V31" s="146"/>
    </row>
    <row r="32" spans="1:22" x14ac:dyDescent="0.2">
      <c r="A32" s="1"/>
      <c r="B32" s="682"/>
      <c r="C32" s="724"/>
      <c r="D32" s="725"/>
      <c r="E32" s="315">
        <f t="shared" si="1"/>
        <v>0</v>
      </c>
      <c r="F32" s="290"/>
      <c r="G32" s="1"/>
      <c r="H32" s="362">
        <f>'[8]Base Preços MP'!G29</f>
        <v>3</v>
      </c>
      <c r="I32" s="1"/>
      <c r="J32" s="359">
        <f t="shared" si="4"/>
        <v>0</v>
      </c>
      <c r="K32" s="103"/>
      <c r="L32" s="687">
        <f t="shared" si="0"/>
        <v>0</v>
      </c>
      <c r="M32" s="687"/>
      <c r="N32" s="687"/>
      <c r="O32" s="117">
        <f>F32*M16/1000</f>
        <v>0</v>
      </c>
      <c r="P32" s="103"/>
      <c r="Q32" s="103"/>
      <c r="R32" s="166">
        <f t="shared" si="3"/>
        <v>0</v>
      </c>
      <c r="U32" s="144"/>
      <c r="V32" s="146"/>
    </row>
    <row r="33" spans="1:21" x14ac:dyDescent="0.2">
      <c r="A33" s="1"/>
      <c r="B33" s="659"/>
      <c r="C33" s="660"/>
      <c r="D33" s="661"/>
      <c r="E33" s="147">
        <f>SUM(E17:E32)</f>
        <v>100</v>
      </c>
      <c r="F33" s="292"/>
      <c r="G33" s="103"/>
      <c r="H33" s="362">
        <f>'[8]Base Preços MP'!G16</f>
        <v>3.9060000000000001</v>
      </c>
      <c r="I33" s="103"/>
      <c r="J33" s="281">
        <f>F33*H33</f>
        <v>0</v>
      </c>
      <c r="K33" s="103"/>
      <c r="L33" s="795" t="s">
        <v>73</v>
      </c>
      <c r="M33" s="796"/>
      <c r="N33" s="797"/>
      <c r="O33" s="293">
        <f>F33*M16/1000</f>
        <v>0</v>
      </c>
      <c r="P33" s="103"/>
      <c r="Q33" s="103"/>
      <c r="R33" s="164">
        <f t="shared" si="3"/>
        <v>0</v>
      </c>
      <c r="U33" s="145"/>
    </row>
    <row r="34" spans="1:21" x14ac:dyDescent="0.2">
      <c r="A34" s="1"/>
      <c r="B34" s="4"/>
      <c r="C34" s="4"/>
      <c r="D34" s="4"/>
      <c r="E34" s="1"/>
      <c r="F34" s="4">
        <f>SUM(F17:F33)</f>
        <v>1000</v>
      </c>
      <c r="G34" s="103"/>
      <c r="H34" s="108"/>
      <c r="I34" s="103"/>
      <c r="J34" s="108"/>
      <c r="K34" s="103"/>
      <c r="L34" s="103"/>
      <c r="M34" s="103"/>
      <c r="N34" s="103"/>
      <c r="O34" s="121">
        <f>SUM(O17:O33)</f>
        <v>1140</v>
      </c>
      <c r="P34" s="103"/>
      <c r="Q34" s="103"/>
      <c r="R34" s="103">
        <f t="shared" si="3"/>
        <v>0</v>
      </c>
    </row>
    <row r="35" spans="1:21" x14ac:dyDescent="0.2">
      <c r="A35" s="22">
        <v>1</v>
      </c>
      <c r="B35" s="21" t="s">
        <v>8</v>
      </c>
      <c r="C35" s="21"/>
      <c r="D35" s="4">
        <v>1.19</v>
      </c>
      <c r="E35" s="103"/>
      <c r="F35" s="104"/>
      <c r="G35" s="105"/>
      <c r="H35" s="106"/>
      <c r="I35" s="1"/>
      <c r="J35" s="7"/>
      <c r="K35" s="103"/>
      <c r="L35" s="103"/>
      <c r="M35" s="103"/>
      <c r="N35" s="103"/>
      <c r="O35" s="103"/>
      <c r="P35" s="103"/>
      <c r="Q35" s="103"/>
      <c r="R35" s="103"/>
    </row>
    <row r="36" spans="1:21" ht="13.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03"/>
      <c r="L36" s="103"/>
      <c r="M36" s="103"/>
      <c r="N36" s="103"/>
      <c r="O36" s="103"/>
      <c r="P36" s="103"/>
      <c r="Q36" s="103"/>
      <c r="R36" s="103"/>
    </row>
    <row r="37" spans="1:21" ht="13.5" thickBot="1" x14ac:dyDescent="0.25">
      <c r="A37" s="1"/>
      <c r="B37" s="3" t="s">
        <v>2</v>
      </c>
      <c r="C37" s="1"/>
      <c r="D37" s="82">
        <v>1.1399999999999999</v>
      </c>
      <c r="E37" s="1"/>
      <c r="F37" s="1"/>
      <c r="G37" s="1"/>
      <c r="H37" s="17" t="s">
        <v>1</v>
      </c>
      <c r="I37" s="1"/>
      <c r="J37" s="25">
        <f>SUM(J17:J36)</f>
        <v>764.38400000000001</v>
      </c>
      <c r="K37" s="103"/>
      <c r="L37" s="103"/>
      <c r="M37" s="103"/>
      <c r="N37" s="103"/>
      <c r="O37" s="103"/>
      <c r="P37" s="103"/>
      <c r="Q37" s="103"/>
      <c r="R37" s="103"/>
    </row>
    <row r="38" spans="1:21" ht="13.5" thickBot="1" x14ac:dyDescent="0.25">
      <c r="A38" s="1"/>
      <c r="B38" s="1"/>
      <c r="C38" s="1"/>
      <c r="D38" s="1"/>
      <c r="E38" s="1"/>
      <c r="F38" s="1"/>
      <c r="G38" s="1"/>
      <c r="H38" s="17" t="s">
        <v>26</v>
      </c>
      <c r="I38" s="1"/>
      <c r="J38" s="18">
        <v>1000</v>
      </c>
      <c r="K38" s="103"/>
      <c r="L38" s="103"/>
      <c r="M38" s="103" t="s">
        <v>254</v>
      </c>
      <c r="N38" s="103" t="s">
        <v>255</v>
      </c>
      <c r="O38" s="103"/>
      <c r="P38" s="103"/>
      <c r="Q38" s="103"/>
      <c r="R38" s="103"/>
    </row>
    <row r="39" spans="1:21" x14ac:dyDescent="0.2">
      <c r="A39" s="1"/>
      <c r="B39" s="1"/>
      <c r="C39" s="1"/>
      <c r="D39" s="1"/>
      <c r="E39" s="1"/>
      <c r="F39" s="1"/>
      <c r="G39" s="1"/>
      <c r="H39" s="19"/>
      <c r="I39" s="1"/>
      <c r="J39" s="30"/>
      <c r="K39" s="103"/>
      <c r="L39" s="103"/>
      <c r="M39" s="189" t="s">
        <v>256</v>
      </c>
      <c r="N39" s="189">
        <v>0</v>
      </c>
      <c r="O39" s="103"/>
      <c r="P39" s="103"/>
      <c r="Q39" s="103"/>
    </row>
    <row r="40" spans="1:21" x14ac:dyDescent="0.2">
      <c r="A40" s="1"/>
      <c r="B40" s="23" t="s">
        <v>15</v>
      </c>
      <c r="C40" s="1"/>
      <c r="D40" s="27"/>
      <c r="E40" s="23" t="s">
        <v>77</v>
      </c>
      <c r="F40" s="315"/>
      <c r="G40" s="1"/>
      <c r="H40" s="23"/>
      <c r="I40" s="27"/>
      <c r="J40" s="29" t="s">
        <v>78</v>
      </c>
      <c r="K40" s="103"/>
      <c r="L40" s="103"/>
      <c r="M40" s="103" t="s">
        <v>105</v>
      </c>
      <c r="N40" s="103"/>
      <c r="O40" s="103"/>
      <c r="P40" s="103"/>
      <c r="Q40" s="103"/>
    </row>
    <row r="41" spans="1:21" x14ac:dyDescent="0.2">
      <c r="A41" s="1"/>
      <c r="B41" s="3" t="s">
        <v>10</v>
      </c>
      <c r="C41" s="1"/>
      <c r="D41" s="520"/>
      <c r="E41" s="68">
        <f>J37/J38</f>
        <v>0.76438400000000006</v>
      </c>
      <c r="F41" s="364"/>
      <c r="G41" s="3" t="s">
        <v>16</v>
      </c>
      <c r="H41" s="1"/>
      <c r="I41" s="39"/>
      <c r="J41" s="68">
        <f>E41*D37</f>
        <v>0.87139776000000002</v>
      </c>
      <c r="K41" s="103"/>
      <c r="L41" s="103"/>
      <c r="M41" s="103" t="s">
        <v>257</v>
      </c>
      <c r="N41" s="103"/>
      <c r="O41" s="103"/>
      <c r="P41" s="103"/>
      <c r="Q41" s="103"/>
    </row>
    <row r="42" spans="1:21" x14ac:dyDescent="0.2">
      <c r="A42" s="1"/>
      <c r="B42" s="19" t="s">
        <v>11</v>
      </c>
      <c r="C42" s="4"/>
      <c r="D42" s="521"/>
      <c r="E42" s="68">
        <v>0.09</v>
      </c>
      <c r="F42" s="16"/>
      <c r="G42" s="19" t="s">
        <v>17</v>
      </c>
      <c r="H42" s="4"/>
      <c r="I42" s="39"/>
      <c r="J42" s="68">
        <f>E42*D37</f>
        <v>0.10259999999999998</v>
      </c>
      <c r="K42" s="103"/>
      <c r="L42" s="103"/>
      <c r="M42" s="103"/>
      <c r="N42" s="103"/>
      <c r="O42" s="103"/>
      <c r="P42" s="103"/>
      <c r="Q42" s="103"/>
      <c r="R42" s="103"/>
    </row>
    <row r="43" spans="1:21" x14ac:dyDescent="0.2">
      <c r="A43" s="1"/>
      <c r="B43" s="3" t="s">
        <v>14</v>
      </c>
      <c r="C43" s="1"/>
      <c r="D43" s="521"/>
      <c r="E43" s="68"/>
      <c r="F43" s="6"/>
      <c r="G43" s="3" t="s">
        <v>18</v>
      </c>
      <c r="H43" s="1"/>
      <c r="I43" s="39"/>
      <c r="J43" s="68">
        <f>E43*D37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21" x14ac:dyDescent="0.2">
      <c r="A44" s="1"/>
      <c r="B44" s="3" t="s">
        <v>79</v>
      </c>
      <c r="C44" s="1"/>
      <c r="D44" s="521"/>
      <c r="E44" s="68"/>
      <c r="F44" s="3"/>
      <c r="G44" s="3" t="s">
        <v>80</v>
      </c>
      <c r="H44" s="1"/>
      <c r="I44" s="39"/>
      <c r="J44" s="68">
        <f>E44*D37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21" x14ac:dyDescent="0.2">
      <c r="A45" s="1"/>
      <c r="B45" s="3" t="s">
        <v>42</v>
      </c>
      <c r="C45" s="1"/>
      <c r="D45" s="521"/>
      <c r="E45" s="68"/>
      <c r="F45" s="3"/>
      <c r="G45" s="3" t="s">
        <v>81</v>
      </c>
      <c r="H45" s="1"/>
      <c r="I45" s="39"/>
      <c r="J45" s="68">
        <f>E45*D37</f>
        <v>0</v>
      </c>
      <c r="K45" s="103"/>
      <c r="L45" s="103"/>
      <c r="M45" s="103"/>
      <c r="N45" s="103"/>
      <c r="O45" s="103"/>
      <c r="P45" s="103"/>
      <c r="Q45" s="103"/>
      <c r="R45" s="103"/>
    </row>
    <row r="46" spans="1:21" x14ac:dyDescent="0.2">
      <c r="A46" s="1"/>
      <c r="B46" s="3" t="s">
        <v>12</v>
      </c>
      <c r="C46" s="1"/>
      <c r="D46" s="520"/>
      <c r="E46" s="142">
        <f>E41+E42+E43+E44+E45</f>
        <v>0.85438400000000003</v>
      </c>
      <c r="F46" s="3"/>
      <c r="G46" s="3" t="s">
        <v>19</v>
      </c>
      <c r="H46" s="1"/>
      <c r="I46" s="33"/>
      <c r="J46" s="142">
        <f>J41+J42+J43+J44+J45</f>
        <v>0.97399776000000005</v>
      </c>
      <c r="K46" s="103"/>
      <c r="L46" s="103"/>
      <c r="M46" s="103"/>
      <c r="N46" s="103"/>
      <c r="O46" s="103"/>
      <c r="P46" s="103"/>
      <c r="Q46" s="103"/>
      <c r="R46" s="103"/>
    </row>
    <row r="47" spans="1:21" x14ac:dyDescent="0.2">
      <c r="A47" s="1"/>
      <c r="B47" s="1"/>
      <c r="C47" s="1"/>
      <c r="D47" s="4"/>
      <c r="E47" s="1"/>
      <c r="F47" s="19"/>
      <c r="G47" s="4"/>
      <c r="H47" s="4"/>
      <c r="I47" s="6"/>
      <c r="J47" s="28" t="s">
        <v>21</v>
      </c>
      <c r="K47" s="103"/>
      <c r="L47" s="701"/>
      <c r="M47" s="701"/>
      <c r="N47" s="701"/>
      <c r="O47" s="701"/>
      <c r="P47" s="701"/>
      <c r="Q47" s="701"/>
      <c r="R47" s="103"/>
    </row>
    <row r="48" spans="1:21" x14ac:dyDescent="0.2">
      <c r="A48" s="34">
        <v>2</v>
      </c>
      <c r="B48" s="22" t="s">
        <v>9</v>
      </c>
      <c r="C48" s="22"/>
      <c r="D48" s="1"/>
      <c r="E48" s="1"/>
      <c r="F48" s="19"/>
      <c r="G48" s="4"/>
      <c r="H48" s="27" t="s">
        <v>20</v>
      </c>
      <c r="I48" s="33">
        <f>(100-J48)/100</f>
        <v>1</v>
      </c>
      <c r="J48" s="76"/>
      <c r="K48" s="103"/>
      <c r="L48" s="702"/>
      <c r="M48" s="697"/>
      <c r="N48" s="702"/>
      <c r="O48" s="697"/>
      <c r="P48" s="702"/>
      <c r="Q48" s="697"/>
      <c r="R48" s="103"/>
    </row>
    <row r="49" spans="1:18" x14ac:dyDescent="0.2">
      <c r="A49" s="1"/>
      <c r="B49" s="23"/>
      <c r="C49" s="23"/>
      <c r="D49" s="29"/>
      <c r="E49" s="3" t="s">
        <v>84</v>
      </c>
      <c r="F49" s="6" t="s">
        <v>85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22" t="s">
        <v>22</v>
      </c>
      <c r="C50" s="11"/>
      <c r="D50" s="31" t="s">
        <v>13</v>
      </c>
      <c r="E50" s="36">
        <v>0</v>
      </c>
      <c r="F50" s="36">
        <v>0</v>
      </c>
      <c r="G50" s="19"/>
      <c r="H50" s="318"/>
      <c r="I50" s="75"/>
      <c r="J50" s="32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60</v>
      </c>
      <c r="E51" s="36">
        <v>0.19448062015503875</v>
      </c>
      <c r="F51" s="36">
        <v>0.25087999999999999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82</v>
      </c>
      <c r="E52" s="36"/>
      <c r="F52" s="36"/>
      <c r="G52" s="318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1"/>
      <c r="D53" s="24" t="s">
        <v>50</v>
      </c>
      <c r="E53" s="36">
        <f>F53/D37</f>
        <v>0.75649122807017544</v>
      </c>
      <c r="F53" s="36">
        <f>'Base Preços MP'!C88</f>
        <v>0.86239999999999994</v>
      </c>
      <c r="G53" s="318" t="s">
        <v>590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50</v>
      </c>
      <c r="E54" s="36">
        <v>0.3956589147286822</v>
      </c>
      <c r="F54" s="36">
        <f>'Base Preços MP'!C89</f>
        <v>0.55040000000000011</v>
      </c>
      <c r="G54" s="318" t="s">
        <v>86</v>
      </c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5"/>
      <c r="D55" s="24" t="s">
        <v>59</v>
      </c>
      <c r="E55" s="36">
        <v>0.92286821705426358</v>
      </c>
      <c r="F55" s="36">
        <f>'Base Preços MP'!C91</f>
        <v>1.3225</v>
      </c>
      <c r="G55" s="1"/>
      <c r="H55" s="1"/>
      <c r="I55" s="6"/>
      <c r="J55" s="7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22">
        <v>3</v>
      </c>
      <c r="B56" s="22" t="s">
        <v>25</v>
      </c>
      <c r="C56" s="35"/>
      <c r="D56" s="24" t="s">
        <v>61</v>
      </c>
      <c r="E56" s="36">
        <v>2.3352713178294571</v>
      </c>
      <c r="F56" s="36">
        <f>'Base Preços MP'!C92</f>
        <v>3.2124999999999999</v>
      </c>
      <c r="G56" s="4"/>
      <c r="H56" s="4"/>
      <c r="I56" s="6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1"/>
      <c r="D57" s="1"/>
      <c r="E57" s="1"/>
      <c r="F57" s="19"/>
      <c r="G57" s="4"/>
      <c r="H57" s="4"/>
      <c r="I57" s="19"/>
      <c r="J57" s="20"/>
      <c r="K57" s="103"/>
      <c r="L57" s="697"/>
      <c r="M57" s="697"/>
      <c r="N57" s="697"/>
      <c r="O57" s="697"/>
      <c r="P57" s="697"/>
      <c r="Q57" s="697"/>
      <c r="R57" s="103"/>
    </row>
    <row r="58" spans="1:18" x14ac:dyDescent="0.2">
      <c r="A58" s="1"/>
      <c r="B58" s="1"/>
      <c r="C58" s="27"/>
      <c r="D58" s="27"/>
      <c r="E58" s="27"/>
      <c r="F58" s="27"/>
      <c r="G58" s="27"/>
      <c r="H58" s="4"/>
      <c r="I58" s="6"/>
      <c r="J58" s="40"/>
      <c r="K58" s="103"/>
      <c r="L58" s="143"/>
      <c r="M58" s="143"/>
      <c r="N58" s="143"/>
      <c r="O58" s="143"/>
      <c r="P58" s="143"/>
      <c r="Q58" s="143"/>
      <c r="R58" s="103"/>
    </row>
    <row r="59" spans="1:18" x14ac:dyDescent="0.2">
      <c r="A59" s="1"/>
      <c r="B59" s="1"/>
      <c r="C59" s="55" t="s">
        <v>359</v>
      </c>
      <c r="D59" s="1"/>
      <c r="E59" s="1"/>
      <c r="F59" s="19"/>
      <c r="G59" s="4"/>
      <c r="H59" s="56"/>
      <c r="I59" s="19"/>
      <c r="J59" s="20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5" t="s">
        <v>64</v>
      </c>
      <c r="D60" s="65" t="s">
        <v>65</v>
      </c>
      <c r="E60" s="65" t="s">
        <v>66</v>
      </c>
      <c r="F60" s="58" t="s">
        <v>87</v>
      </c>
      <c r="G60" s="27" t="s">
        <v>401</v>
      </c>
      <c r="H60" s="56" t="s">
        <v>414</v>
      </c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6" t="s">
        <v>23</v>
      </c>
      <c r="D61" s="67">
        <f>E46/I48+D43</f>
        <v>0.85438400000000003</v>
      </c>
      <c r="E61" s="67">
        <f>J46/I48</f>
        <v>0.97399776000000005</v>
      </c>
      <c r="F61" s="72" t="s">
        <v>88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670" t="str">
        <f>'[8]FUEL BLACK 20%'!A60:B60</f>
        <v>Contentor Incluido</v>
      </c>
      <c r="B62" s="694"/>
      <c r="C62" s="74">
        <v>1000</v>
      </c>
      <c r="D62" s="70">
        <f>E46/I48+D43+E51</f>
        <v>1.0488646201550389</v>
      </c>
      <c r="E62" s="70">
        <f>D62*D37</f>
        <v>1.1957056669767443</v>
      </c>
      <c r="F62" s="61" t="s">
        <v>89</v>
      </c>
      <c r="G62" s="33"/>
      <c r="H62" s="56"/>
      <c r="I62" s="19"/>
      <c r="J62" s="4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50</v>
      </c>
      <c r="D63" s="70"/>
      <c r="E63" s="70"/>
      <c r="F63" s="51" t="s">
        <v>90</v>
      </c>
      <c r="G63" s="33"/>
      <c r="H63" s="56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E46/I48+E53</f>
        <v>1.6108752280701755</v>
      </c>
      <c r="E64" s="70">
        <f>D64*D37</f>
        <v>1.8363977599999999</v>
      </c>
      <c r="F64" s="61" t="s">
        <v>610</v>
      </c>
      <c r="G64" s="33"/>
      <c r="H64" s="7"/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25</v>
      </c>
      <c r="D65" s="70">
        <f>E46/I48+D43+E54</f>
        <v>1.2500429147286822</v>
      </c>
      <c r="E65" s="70">
        <f>D65*D37</f>
        <v>1.4250489227906977</v>
      </c>
      <c r="F65" s="51" t="s">
        <v>90</v>
      </c>
      <c r="G65" s="33">
        <f>E65/0.88</f>
        <v>1.6193737758985201</v>
      </c>
      <c r="H65" s="20">
        <f>G65+0.5</f>
        <v>2.1193737758985201</v>
      </c>
      <c r="I65" s="1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1"/>
      <c r="B66" s="1"/>
      <c r="C66" s="69">
        <v>5</v>
      </c>
      <c r="D66" s="70">
        <f>E46/I48+D43+E55</f>
        <v>1.7772522170542637</v>
      </c>
      <c r="E66" s="70">
        <f>D66*D37</f>
        <v>2.0260675274418607</v>
      </c>
      <c r="F66" s="61" t="s">
        <v>94</v>
      </c>
      <c r="G66" s="39">
        <f>E66/0.88</f>
        <v>2.3023494630021144</v>
      </c>
      <c r="H66" s="7">
        <f>G66+0.5</f>
        <v>2.8023494630021144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86"/>
      <c r="B67" s="86"/>
      <c r="C67" s="69">
        <v>1</v>
      </c>
      <c r="D67" s="70"/>
      <c r="E67" s="70"/>
      <c r="F67" s="61" t="s">
        <v>95</v>
      </c>
      <c r="G67" s="87">
        <f>E67/0.88</f>
        <v>0</v>
      </c>
      <c r="H67" s="7">
        <f>G67+0.5</f>
        <v>0.5</v>
      </c>
      <c r="I67" s="4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5"/>
      <c r="B68" s="695"/>
      <c r="C68" s="85"/>
      <c r="D68" s="237"/>
      <c r="E68" s="86"/>
      <c r="F68" s="86"/>
      <c r="G68" s="86"/>
      <c r="H68" s="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6"/>
      <c r="B69" s="696"/>
      <c r="C69" s="90"/>
      <c r="D69" s="90"/>
      <c r="E69" s="90"/>
      <c r="F69" s="90"/>
      <c r="G69" s="90"/>
      <c r="H69" s="57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401"/>
      <c r="F70" s="92"/>
      <c r="G70" s="40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  <row r="71" spans="1:18" x14ac:dyDescent="0.2">
      <c r="A71" s="693"/>
      <c r="B71" s="693"/>
      <c r="C71" s="93"/>
      <c r="D71" s="92"/>
      <c r="E71" s="401"/>
      <c r="F71" s="92"/>
      <c r="G71" s="401"/>
      <c r="H71" s="73"/>
      <c r="I71" s="1"/>
      <c r="J71" s="1"/>
      <c r="K71" s="103"/>
      <c r="L71" s="103"/>
      <c r="M71" s="103"/>
      <c r="N71" s="103"/>
      <c r="O71" s="103"/>
      <c r="P71" s="103"/>
      <c r="Q71" s="103"/>
      <c r="R71" s="103"/>
    </row>
  </sheetData>
  <mergeCells count="74">
    <mergeCell ref="A70:B70"/>
    <mergeCell ref="A71:B71"/>
    <mergeCell ref="L57:M57"/>
    <mergeCell ref="N57:O57"/>
    <mergeCell ref="P57:Q57"/>
    <mergeCell ref="A62:B62"/>
    <mergeCell ref="A68:B68"/>
    <mergeCell ref="A69:B69"/>
    <mergeCell ref="L55:M55"/>
    <mergeCell ref="N55:O55"/>
    <mergeCell ref="P55:Q55"/>
    <mergeCell ref="L56:M56"/>
    <mergeCell ref="N56:O56"/>
    <mergeCell ref="P56:Q56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B33:D33"/>
    <mergeCell ref="L33:N33"/>
    <mergeCell ref="L47:Q47"/>
    <mergeCell ref="L48:M48"/>
    <mergeCell ref="N48:O48"/>
    <mergeCell ref="P48:Q48"/>
    <mergeCell ref="B30:D30"/>
    <mergeCell ref="L30:N30"/>
    <mergeCell ref="B31:D31"/>
    <mergeCell ref="L31:N31"/>
    <mergeCell ref="B32:D32"/>
    <mergeCell ref="L32:N32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10" workbookViewId="0">
      <selection activeCell="J51" sqref="J51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7109375" customWidth="1"/>
  </cols>
  <sheetData>
    <row r="1" spans="1:16" ht="12.75" hidden="1" customHeight="1" x14ac:dyDescent="0.2">
      <c r="A1" t="s">
        <v>507</v>
      </c>
    </row>
    <row r="2" spans="1:16" ht="12.75" hidden="1" customHeight="1" x14ac:dyDescent="0.2"/>
    <row r="3" spans="1:16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6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1:16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1:16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719" t="s">
        <v>372</v>
      </c>
      <c r="J6" s="720"/>
      <c r="K6" s="720"/>
      <c r="L6" s="720"/>
      <c r="M6" s="720"/>
      <c r="N6" s="720"/>
      <c r="O6" s="721"/>
    </row>
    <row r="7" spans="1:16" ht="15.75" x14ac:dyDescent="0.25">
      <c r="A7" s="1"/>
      <c r="B7" s="3" t="s">
        <v>0</v>
      </c>
      <c r="C7" s="63" t="s">
        <v>202</v>
      </c>
      <c r="D7" s="63"/>
      <c r="E7" s="63"/>
      <c r="F7" s="63" t="s">
        <v>284</v>
      </c>
      <c r="G7" s="24"/>
      <c r="H7" s="506" t="s">
        <v>115</v>
      </c>
      <c r="I7" s="722"/>
      <c r="J7" s="663"/>
      <c r="K7" s="1"/>
      <c r="L7" s="103"/>
      <c r="M7" s="103"/>
      <c r="N7" s="103"/>
      <c r="O7" s="103"/>
    </row>
    <row r="8" spans="1:16" ht="17.25" customHeight="1" x14ac:dyDescent="0.25">
      <c r="A8" s="1"/>
      <c r="B8" s="3"/>
      <c r="C8" s="10"/>
      <c r="D8" s="10"/>
      <c r="E8" s="4"/>
      <c r="F8" s="4"/>
      <c r="G8" s="24"/>
      <c r="H8" s="511" t="s">
        <v>322</v>
      </c>
      <c r="I8" s="723"/>
      <c r="J8" s="665"/>
      <c r="K8" s="103"/>
      <c r="L8" s="103"/>
      <c r="M8" s="103"/>
      <c r="N8" s="103"/>
      <c r="O8" s="103"/>
    </row>
    <row r="9" spans="1:16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</row>
    <row r="10" spans="1:16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</row>
    <row r="11" spans="1:16" x14ac:dyDescent="0.2">
      <c r="A11" s="1"/>
      <c r="B11" s="3" t="s">
        <v>46</v>
      </c>
      <c r="C11" s="62">
        <v>43118</v>
      </c>
      <c r="D11" s="507"/>
      <c r="E11" s="4"/>
      <c r="F11" s="4"/>
      <c r="G11" s="1"/>
      <c r="H11" s="3" t="s">
        <v>47</v>
      </c>
      <c r="I11" s="64"/>
      <c r="J11" s="64"/>
      <c r="K11" s="103"/>
      <c r="L11" s="103"/>
      <c r="M11" s="103"/>
      <c r="N11" s="103"/>
      <c r="O11" s="103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</row>
    <row r="13" spans="1:16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</row>
    <row r="14" spans="1:16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716">
        <v>374</v>
      </c>
      <c r="O14" s="670"/>
    </row>
    <row r="15" spans="1:16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09" t="s">
        <v>67</v>
      </c>
      <c r="M15" s="509" t="s">
        <v>117</v>
      </c>
      <c r="N15" s="717"/>
      <c r="O15" s="718"/>
      <c r="P15" s="353" t="s">
        <v>153</v>
      </c>
    </row>
    <row r="16" spans="1:16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08" t="s">
        <v>121</v>
      </c>
      <c r="L16" s="195">
        <v>1000</v>
      </c>
      <c r="M16" s="196">
        <f>L16*D35</f>
        <v>1210</v>
      </c>
      <c r="N16" s="714"/>
      <c r="O16" s="715"/>
      <c r="P16" s="355"/>
    </row>
    <row r="17" spans="1:16" x14ac:dyDescent="0.2">
      <c r="A17" s="1"/>
      <c r="B17" s="710" t="s">
        <v>49</v>
      </c>
      <c r="C17" s="711"/>
      <c r="D17" s="712"/>
      <c r="E17" s="315">
        <f>F17/10</f>
        <v>19.649999999999999</v>
      </c>
      <c r="F17" s="356">
        <v>196.5</v>
      </c>
      <c r="G17" s="357" t="s">
        <v>125</v>
      </c>
      <c r="H17" s="358">
        <f>'[1]Base Preços MP'!G10</f>
        <v>0.01</v>
      </c>
      <c r="I17" s="170">
        <f>E20*17/100+E26*7/100</f>
        <v>0.37909999999999999</v>
      </c>
      <c r="J17" s="359">
        <f>F17*H17</f>
        <v>1.9650000000000001</v>
      </c>
      <c r="K17" s="111">
        <f>I17*1.325*10</f>
        <v>5.0230750000000004</v>
      </c>
      <c r="L17" s="676" t="str">
        <f t="shared" ref="L17:L30" si="0">B17</f>
        <v>Agua</v>
      </c>
      <c r="M17" s="677"/>
      <c r="N17" s="678"/>
      <c r="O17" s="117">
        <f>F17*M16/1000</f>
        <v>237.76499999999999</v>
      </c>
      <c r="P17" s="197" t="s">
        <v>169</v>
      </c>
    </row>
    <row r="18" spans="1:16" x14ac:dyDescent="0.2">
      <c r="A18" s="1"/>
      <c r="B18" s="384" t="s">
        <v>73</v>
      </c>
      <c r="C18" s="227"/>
      <c r="D18" s="228"/>
      <c r="E18" s="315">
        <f t="shared" ref="E18:E30" si="1">F18/10</f>
        <v>0</v>
      </c>
      <c r="F18" s="260"/>
      <c r="G18" s="357" t="s">
        <v>69</v>
      </c>
      <c r="H18" s="360">
        <f>'Base Preços MP'!G19</f>
        <v>3.5</v>
      </c>
      <c r="I18" s="170">
        <f>E19*60/100</f>
        <v>7.8119999999999994</v>
      </c>
      <c r="J18" s="359">
        <f>F18*H18</f>
        <v>0</v>
      </c>
      <c r="K18" s="111">
        <f t="shared" ref="K18:K27" si="2">I18*1.325*10</f>
        <v>103.50899999999999</v>
      </c>
      <c r="L18" s="676" t="str">
        <f t="shared" si="0"/>
        <v>MAP</v>
      </c>
      <c r="M18" s="677"/>
      <c r="N18" s="678"/>
      <c r="O18" s="117">
        <f>F18*M16/1000</f>
        <v>0</v>
      </c>
      <c r="P18" s="197">
        <v>2.11</v>
      </c>
    </row>
    <row r="19" spans="1:16" x14ac:dyDescent="0.2">
      <c r="A19" s="1"/>
      <c r="B19" s="384" t="s">
        <v>408</v>
      </c>
      <c r="C19" s="227"/>
      <c r="D19" s="228"/>
      <c r="E19" s="315">
        <f t="shared" si="1"/>
        <v>13.02</v>
      </c>
      <c r="F19" s="260">
        <v>130.19999999999999</v>
      </c>
      <c r="G19" s="357" t="s">
        <v>110</v>
      </c>
      <c r="H19" s="360">
        <f>'Base Preços MP'!G15</f>
        <v>4.95</v>
      </c>
      <c r="I19" s="170">
        <f>E18*75.5/100+E25*15/100</f>
        <v>0</v>
      </c>
      <c r="J19" s="359">
        <f t="shared" ref="J19:J27" si="3">F19*H19</f>
        <v>644.49</v>
      </c>
      <c r="K19" s="111">
        <f t="shared" si="2"/>
        <v>0</v>
      </c>
      <c r="L19" s="676" t="str">
        <f t="shared" si="0"/>
        <v>ACIDO FOSFORICO</v>
      </c>
      <c r="M19" s="677"/>
      <c r="N19" s="678"/>
      <c r="O19" s="117">
        <f>F19*M16/1000</f>
        <v>157.542</v>
      </c>
      <c r="P19" s="197">
        <v>6.02</v>
      </c>
    </row>
    <row r="20" spans="1:16" x14ac:dyDescent="0.2">
      <c r="A20" s="1"/>
      <c r="B20" s="683" t="s">
        <v>113</v>
      </c>
      <c r="C20" s="704"/>
      <c r="D20" s="705"/>
      <c r="E20" s="315">
        <f t="shared" si="1"/>
        <v>2.23</v>
      </c>
      <c r="F20" s="260">
        <v>22.3</v>
      </c>
      <c r="G20" s="357" t="s">
        <v>106</v>
      </c>
      <c r="H20" s="361">
        <f>'Base Preços MP'!G44</f>
        <v>1.31</v>
      </c>
      <c r="I20" s="170">
        <f>E27*27/100</f>
        <v>0</v>
      </c>
      <c r="J20" s="359">
        <f>H20*F20</f>
        <v>29.213000000000001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26.983000000000001</v>
      </c>
      <c r="P20" s="197">
        <v>3.64</v>
      </c>
    </row>
    <row r="21" spans="1:16" x14ac:dyDescent="0.2">
      <c r="A21" s="1"/>
      <c r="B21" s="384" t="s">
        <v>460</v>
      </c>
      <c r="C21" s="227"/>
      <c r="D21" s="228"/>
      <c r="E21" s="315">
        <f t="shared" si="1"/>
        <v>64.599999999999994</v>
      </c>
      <c r="F21" s="260">
        <v>646</v>
      </c>
      <c r="G21" s="357" t="s">
        <v>107</v>
      </c>
      <c r="H21" s="361">
        <f>'Base Preços MP'!G25</f>
        <v>1.64</v>
      </c>
      <c r="I21" s="171">
        <f>E26*7/100</f>
        <v>0</v>
      </c>
      <c r="J21" s="359">
        <f t="shared" si="3"/>
        <v>1059.4399999999998</v>
      </c>
      <c r="K21" s="111">
        <f t="shared" si="2"/>
        <v>0</v>
      </c>
      <c r="L21" s="686" t="str">
        <f t="shared" si="0"/>
        <v>CLORETO DE POTASSIO</v>
      </c>
      <c r="M21" s="686"/>
      <c r="N21" s="686"/>
      <c r="O21" s="117">
        <f>F21*M16/1000</f>
        <v>781.66</v>
      </c>
      <c r="P21" s="197">
        <v>0.81</v>
      </c>
    </row>
    <row r="22" spans="1:16" x14ac:dyDescent="0.2">
      <c r="A22" s="1"/>
      <c r="B22" s="706" t="s">
        <v>461</v>
      </c>
      <c r="C22" s="707"/>
      <c r="D22" s="708"/>
      <c r="E22" s="315">
        <f t="shared" si="1"/>
        <v>0.25</v>
      </c>
      <c r="F22" s="260">
        <v>2.5</v>
      </c>
      <c r="G22" s="357" t="s">
        <v>108</v>
      </c>
      <c r="H22" s="361">
        <f>'Base Preços MP'!G79</f>
        <v>4.7</v>
      </c>
      <c r="I22" s="171">
        <f>E21*14/100</f>
        <v>9.0439999999999987</v>
      </c>
      <c r="J22" s="359">
        <f>F22*H22</f>
        <v>11.75</v>
      </c>
      <c r="K22" s="111">
        <f t="shared" si="2"/>
        <v>119.83299999999998</v>
      </c>
      <c r="L22" s="687" t="str">
        <f t="shared" si="0"/>
        <v>AMINOACIDOS</v>
      </c>
      <c r="M22" s="687"/>
      <c r="N22" s="687"/>
      <c r="O22" s="117">
        <f>F22*M16/1000</f>
        <v>3.0249999999999999</v>
      </c>
      <c r="P22" s="198">
        <v>2.9000000000000001E-2</v>
      </c>
    </row>
    <row r="23" spans="1:16" x14ac:dyDescent="0.2">
      <c r="A23" s="1"/>
      <c r="B23" s="513" t="s">
        <v>462</v>
      </c>
      <c r="C23" s="514"/>
      <c r="D23" s="515"/>
      <c r="E23" s="315">
        <f t="shared" si="1"/>
        <v>0.25</v>
      </c>
      <c r="F23" s="260">
        <v>2.5</v>
      </c>
      <c r="G23" s="357" t="s">
        <v>109</v>
      </c>
      <c r="H23" s="361">
        <f>'Base Preços MP'!G76</f>
        <v>53.78</v>
      </c>
      <c r="I23" s="171">
        <f>E22*21/100</f>
        <v>5.2499999999999998E-2</v>
      </c>
      <c r="J23" s="359">
        <f t="shared" si="3"/>
        <v>134.44999999999999</v>
      </c>
      <c r="K23" s="111">
        <f t="shared" si="2"/>
        <v>0.69562499999999994</v>
      </c>
      <c r="L23" s="687" t="str">
        <f t="shared" si="0"/>
        <v>ALGAS</v>
      </c>
      <c r="M23" s="687"/>
      <c r="N23" s="687"/>
      <c r="O23" s="117">
        <f>F23*M16/1000</f>
        <v>3.0249999999999999</v>
      </c>
      <c r="P23" s="198">
        <v>1.7999999999999999E-2</v>
      </c>
    </row>
    <row r="24" spans="1:16" x14ac:dyDescent="0.2">
      <c r="A24" s="1"/>
      <c r="B24" s="513"/>
      <c r="C24" s="514"/>
      <c r="D24" s="515"/>
      <c r="E24" s="315">
        <f t="shared" si="1"/>
        <v>0</v>
      </c>
      <c r="F24" s="260"/>
      <c r="G24" s="357" t="s">
        <v>111</v>
      </c>
      <c r="H24" s="361">
        <f>'[2]Base Preços MP'!G30</f>
        <v>1.84</v>
      </c>
      <c r="I24" s="510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98">
        <v>1.7999999999999999E-2</v>
      </c>
    </row>
    <row r="25" spans="1:16" x14ac:dyDescent="0.2">
      <c r="A25" s="1"/>
      <c r="B25" s="226"/>
      <c r="C25" s="227"/>
      <c r="D25" s="228"/>
      <c r="E25" s="315">
        <f t="shared" si="1"/>
        <v>0</v>
      </c>
      <c r="F25" s="260"/>
      <c r="G25" s="357" t="s">
        <v>112</v>
      </c>
      <c r="H25" s="361">
        <f>'[2]Base Preços MP'!G54</f>
        <v>4.18</v>
      </c>
      <c r="I25" s="510">
        <f>E23*13/100</f>
        <v>3.2500000000000001E-2</v>
      </c>
      <c r="J25" s="359">
        <f>F25*H25</f>
        <v>0</v>
      </c>
      <c r="K25" s="111">
        <f t="shared" si="2"/>
        <v>0.43062499999999998</v>
      </c>
      <c r="L25" s="687">
        <f t="shared" si="0"/>
        <v>0</v>
      </c>
      <c r="M25" s="687"/>
      <c r="N25" s="687"/>
      <c r="O25" s="117">
        <f>F25*M16/1000</f>
        <v>0</v>
      </c>
      <c r="P25" s="198">
        <v>0.105</v>
      </c>
    </row>
    <row r="26" spans="1:16" x14ac:dyDescent="0.2">
      <c r="A26" s="1"/>
      <c r="B26" s="226"/>
      <c r="C26" s="227"/>
      <c r="D26" s="228"/>
      <c r="E26" s="315">
        <f t="shared" si="1"/>
        <v>0</v>
      </c>
      <c r="F26" s="260"/>
      <c r="G26" s="357" t="s">
        <v>105</v>
      </c>
      <c r="H26" s="362">
        <f>'[2]Base Preços MP'!G56</f>
        <v>1.1499999999999999</v>
      </c>
      <c r="I26" s="171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98">
        <v>8.0000000000000002E-3</v>
      </c>
    </row>
    <row r="27" spans="1:16" x14ac:dyDescent="0.2">
      <c r="A27" s="1"/>
      <c r="B27" s="226"/>
      <c r="C27" s="227"/>
      <c r="D27" s="228"/>
      <c r="E27" s="315">
        <f t="shared" si="1"/>
        <v>0</v>
      </c>
      <c r="F27" s="260"/>
      <c r="G27" s="357" t="s">
        <v>122</v>
      </c>
      <c r="H27" s="362">
        <f>'[2]Base Preços MP'!G59</f>
        <v>5.08</v>
      </c>
      <c r="I27" s="171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98">
        <v>6.0000000000000001E-3</v>
      </c>
    </row>
    <row r="28" spans="1:16" x14ac:dyDescent="0.2">
      <c r="A28" s="1"/>
      <c r="B28" s="226"/>
      <c r="C28" s="227"/>
      <c r="D28" s="228"/>
      <c r="E28" s="315">
        <f t="shared" si="1"/>
        <v>0</v>
      </c>
      <c r="F28" s="260"/>
      <c r="G28" s="1"/>
      <c r="H28" s="362">
        <f>'[2]Base Preços MP'!G57</f>
        <v>3.25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97"/>
    </row>
    <row r="29" spans="1:16" x14ac:dyDescent="0.2">
      <c r="A29" s="1"/>
      <c r="B29" s="226"/>
      <c r="C29" s="227"/>
      <c r="D29" s="228"/>
      <c r="E29" s="315">
        <f t="shared" si="1"/>
        <v>0</v>
      </c>
      <c r="F29" s="260"/>
      <c r="G29" s="1"/>
      <c r="H29" s="362">
        <f>'[2]Base Preços MP'!G11</f>
        <v>3.6</v>
      </c>
      <c r="I29" s="1"/>
      <c r="J29" s="359">
        <f>F29*H29</f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97"/>
    </row>
    <row r="30" spans="1:16" x14ac:dyDescent="0.2">
      <c r="A30" s="1"/>
      <c r="B30" s="226"/>
      <c r="C30" s="227"/>
      <c r="D30" s="228"/>
      <c r="E30" s="315">
        <f t="shared" si="1"/>
        <v>0</v>
      </c>
      <c r="F30" s="260"/>
      <c r="G30" s="1"/>
      <c r="H30" s="362">
        <f>'[2]Base Preços MP'!G35</f>
        <v>3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97"/>
    </row>
    <row r="31" spans="1:16" x14ac:dyDescent="0.2">
      <c r="A31" s="1"/>
      <c r="B31" s="226"/>
      <c r="C31" s="227"/>
      <c r="D31" s="228"/>
      <c r="E31" s="147">
        <f>SUM(E17:E30)</f>
        <v>100</v>
      </c>
      <c r="F31" s="260"/>
      <c r="G31" s="103"/>
      <c r="H31" s="363">
        <f>'[2]Base Preços MP'!G32</f>
        <v>1.82</v>
      </c>
      <c r="I31" s="103"/>
      <c r="J31" s="281">
        <f>F31*H31</f>
        <v>0</v>
      </c>
      <c r="K31" s="103"/>
      <c r="L31" s="703" t="s">
        <v>43</v>
      </c>
      <c r="M31" s="692"/>
      <c r="N31" s="692"/>
      <c r="O31" s="193">
        <f>SUM(O17:O30)</f>
        <v>1210.0000000000002</v>
      </c>
    </row>
    <row r="32" spans="1:16" x14ac:dyDescent="0.2">
      <c r="A32" s="1"/>
      <c r="B32" s="698" t="s">
        <v>238</v>
      </c>
      <c r="C32" s="699"/>
      <c r="D32" s="700"/>
      <c r="E32" s="1"/>
      <c r="F32" s="261">
        <f>SUM(F17:F31)</f>
        <v>1000</v>
      </c>
      <c r="G32" s="103"/>
      <c r="H32" s="108"/>
      <c r="I32" s="103"/>
      <c r="J32" s="108"/>
      <c r="K32" s="103"/>
      <c r="L32" s="103"/>
      <c r="M32" s="103"/>
      <c r="N32" s="103"/>
      <c r="O32" s="103"/>
    </row>
    <row r="33" spans="1:15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</row>
    <row r="34" spans="1:15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</row>
    <row r="35" spans="1:15" ht="13.5" thickBot="1" x14ac:dyDescent="0.25">
      <c r="A35" s="1"/>
      <c r="B35" s="3" t="s">
        <v>2</v>
      </c>
      <c r="C35" s="1"/>
      <c r="D35" s="82">
        <v>1.21</v>
      </c>
      <c r="E35" s="1"/>
      <c r="F35" s="1"/>
      <c r="G35" s="1"/>
      <c r="H35" s="17" t="s">
        <v>1</v>
      </c>
      <c r="I35" s="1"/>
      <c r="J35" s="25">
        <f>SUM(J17:J34)</f>
        <v>1881.3079999999998</v>
      </c>
      <c r="K35" s="103"/>
      <c r="L35" s="103" t="s">
        <v>254</v>
      </c>
      <c r="M35" s="103" t="s">
        <v>260</v>
      </c>
      <c r="N35" s="103"/>
      <c r="O35" s="103"/>
    </row>
    <row r="36" spans="1:15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35</v>
      </c>
      <c r="N36" s="103"/>
      <c r="O36" s="103"/>
    </row>
    <row r="37" spans="1:15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</row>
    <row r="38" spans="1:15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</row>
    <row r="39" spans="1:15" x14ac:dyDescent="0.2">
      <c r="A39" s="1"/>
      <c r="B39" s="3" t="s">
        <v>10</v>
      </c>
      <c r="C39" s="1"/>
      <c r="D39" s="520"/>
      <c r="E39" s="68">
        <f>J35/J36</f>
        <v>1.8813079999999998</v>
      </c>
      <c r="F39" s="364"/>
      <c r="G39" s="3" t="s">
        <v>16</v>
      </c>
      <c r="H39" s="1"/>
      <c r="I39" s="39"/>
      <c r="J39" s="68">
        <f>E39*D35</f>
        <v>2.2763826799999998</v>
      </c>
      <c r="K39" s="103"/>
      <c r="L39" s="103"/>
      <c r="M39" s="103"/>
      <c r="N39" s="103"/>
      <c r="O39" s="103"/>
    </row>
    <row r="40" spans="1:15" x14ac:dyDescent="0.2">
      <c r="A40" s="1"/>
      <c r="B40" s="19" t="s">
        <v>11</v>
      </c>
      <c r="C40" s="4"/>
      <c r="D40" s="400"/>
      <c r="E40" s="68">
        <f>'[1]Base Preços MP'!G55</f>
        <v>0.09</v>
      </c>
      <c r="F40" s="16"/>
      <c r="G40" s="19" t="s">
        <v>17</v>
      </c>
      <c r="H40" s="4"/>
      <c r="I40" s="39"/>
      <c r="J40" s="68">
        <f>E40*D35</f>
        <v>0.1089</v>
      </c>
      <c r="K40" s="103"/>
      <c r="L40" s="103"/>
      <c r="M40" s="103"/>
      <c r="N40" s="103"/>
      <c r="O40" s="103"/>
    </row>
    <row r="41" spans="1:15" x14ac:dyDescent="0.2">
      <c r="A41" s="1"/>
      <c r="B41" s="3" t="s">
        <v>14</v>
      </c>
      <c r="C41" s="1"/>
      <c r="D41" s="400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</row>
    <row r="42" spans="1:15" x14ac:dyDescent="0.2">
      <c r="A42" s="1"/>
      <c r="B42" s="3" t="s">
        <v>79</v>
      </c>
      <c r="C42" s="1"/>
      <c r="D42" s="400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</row>
    <row r="43" spans="1:15" x14ac:dyDescent="0.2">
      <c r="A43" s="1"/>
      <c r="B43" s="3" t="s">
        <v>42</v>
      </c>
      <c r="C43" s="1"/>
      <c r="D43" s="400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</row>
    <row r="44" spans="1:15" x14ac:dyDescent="0.2">
      <c r="A44" s="1"/>
      <c r="B44" s="3" t="s">
        <v>12</v>
      </c>
      <c r="C44" s="1"/>
      <c r="D44" s="400"/>
      <c r="E44" s="142">
        <f>E39+E40+E41+E42+E43</f>
        <v>1.9713079999999998</v>
      </c>
      <c r="F44" s="3"/>
      <c r="G44" s="3" t="s">
        <v>19</v>
      </c>
      <c r="H44" s="1"/>
      <c r="I44" s="33"/>
      <c r="J44" s="142">
        <f>J39+J40+J41+J42+J43</f>
        <v>2.3852826799999995</v>
      </c>
      <c r="K44" s="103"/>
      <c r="L44" s="103"/>
      <c r="M44" s="103"/>
      <c r="N44" s="103"/>
      <c r="O44" s="103"/>
    </row>
    <row r="45" spans="1:15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</row>
    <row r="46" spans="1:15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</row>
    <row r="47" spans="1:15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</row>
    <row r="48" spans="1:15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</row>
    <row r="49" spans="1:15" x14ac:dyDescent="0.2">
      <c r="A49" s="1"/>
      <c r="B49" s="1"/>
      <c r="C49" s="1"/>
      <c r="D49" s="24" t="s">
        <v>60</v>
      </c>
      <c r="E49" s="36">
        <f>F49/D35</f>
        <v>0.20733884297520661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</row>
    <row r="50" spans="1:15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'[1]Base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</row>
    <row r="51" spans="1:15" x14ac:dyDescent="0.2">
      <c r="A51" s="1"/>
      <c r="B51" s="1"/>
      <c r="C51" s="1"/>
      <c r="D51" s="24" t="s">
        <v>50</v>
      </c>
      <c r="E51" s="36">
        <f>F51/D35</f>
        <v>0.6776859504132231</v>
      </c>
      <c r="F51" s="36">
        <f>'[1]Base Preços MP'!C66</f>
        <v>0.82</v>
      </c>
      <c r="G51" s="4"/>
      <c r="H51" s="4"/>
      <c r="I51" s="6"/>
      <c r="J51" s="20"/>
      <c r="K51" s="103"/>
      <c r="L51" s="697"/>
      <c r="M51" s="697"/>
      <c r="N51" s="697"/>
      <c r="O51" s="697"/>
    </row>
    <row r="52" spans="1:15" x14ac:dyDescent="0.2">
      <c r="A52" s="1"/>
      <c r="B52" s="1"/>
      <c r="C52" s="5"/>
      <c r="D52" s="24" t="s">
        <v>50</v>
      </c>
      <c r="E52" s="36">
        <f>F52/D35</f>
        <v>0.45487603305785135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</row>
    <row r="53" spans="1:15" x14ac:dyDescent="0.2">
      <c r="A53" s="1"/>
      <c r="B53" s="1"/>
      <c r="C53" s="5"/>
      <c r="D53" s="24" t="s">
        <v>59</v>
      </c>
      <c r="E53" s="36">
        <f>F53/D35</f>
        <v>1.0929752066115703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</row>
    <row r="54" spans="1:15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2.6549586776859506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</row>
    <row r="55" spans="1:15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</row>
    <row r="56" spans="1:15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</row>
    <row r="57" spans="1:15" x14ac:dyDescent="0.2">
      <c r="A57" s="1"/>
      <c r="B57" s="1"/>
      <c r="C57" s="523" t="s">
        <v>470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</row>
    <row r="58" spans="1:15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57" t="s">
        <v>463</v>
      </c>
      <c r="H58" s="56" t="s">
        <v>377</v>
      </c>
      <c r="I58" s="19"/>
      <c r="J58" s="41"/>
      <c r="K58" s="103"/>
      <c r="L58" s="103"/>
      <c r="M58" s="103"/>
      <c r="N58" s="103"/>
      <c r="O58" s="103"/>
    </row>
    <row r="59" spans="1:15" x14ac:dyDescent="0.2">
      <c r="A59" s="1"/>
      <c r="B59" s="1"/>
      <c r="C59" s="66" t="s">
        <v>23</v>
      </c>
      <c r="D59" s="67">
        <f>(E44/I46)+D41</f>
        <v>1.9713079999999998</v>
      </c>
      <c r="E59" s="67">
        <f>(E44/I46)*D35+D41*D35</f>
        <v>2.3852826799999995</v>
      </c>
      <c r="F59" s="72" t="s">
        <v>88</v>
      </c>
      <c r="G59" s="33"/>
      <c r="H59" s="56" t="s">
        <v>585</v>
      </c>
      <c r="I59" s="19"/>
      <c r="J59" s="41"/>
      <c r="K59" s="103"/>
      <c r="L59" s="103"/>
      <c r="M59" s="103"/>
      <c r="N59" s="103"/>
      <c r="O59" s="103"/>
    </row>
    <row r="60" spans="1:15" x14ac:dyDescent="0.2">
      <c r="A60" s="670" t="str">
        <f>'[1]FUEL BLACK 20%'!A60:B60</f>
        <v>Contentor Incluido</v>
      </c>
      <c r="B60" s="694"/>
      <c r="C60" s="74">
        <v>1000</v>
      </c>
      <c r="D60" s="70">
        <f>(E44+E49)/I46</f>
        <v>2.1786468429752066</v>
      </c>
      <c r="E60" s="70">
        <f>(J44+F49)/I46</f>
        <v>2.6361626799999995</v>
      </c>
      <c r="F60" s="61" t="s">
        <v>89</v>
      </c>
      <c r="G60" s="33"/>
      <c r="H60" s="56" t="s">
        <v>586</v>
      </c>
      <c r="I60" s="19" t="s">
        <v>570</v>
      </c>
      <c r="J60" s="41"/>
      <c r="K60" s="103"/>
      <c r="L60" s="103"/>
      <c r="M60" s="103"/>
      <c r="N60" s="103"/>
      <c r="O60" s="103"/>
    </row>
    <row r="61" spans="1:15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</row>
    <row r="62" spans="1:15" x14ac:dyDescent="0.2">
      <c r="A62" s="1"/>
      <c r="B62" s="1"/>
      <c r="C62" s="69">
        <v>25</v>
      </c>
      <c r="D62" s="70">
        <f>E44/I46+E51</f>
        <v>2.6489939504132227</v>
      </c>
      <c r="E62" s="70">
        <f>D62*D35</f>
        <v>3.2052826799999994</v>
      </c>
      <c r="F62" s="61" t="s">
        <v>573</v>
      </c>
      <c r="G62" s="33"/>
      <c r="H62" s="631">
        <f>E62+1.5</f>
        <v>4.7052826799999998</v>
      </c>
      <c r="I62" s="5">
        <f>H62/3.7</f>
        <v>1.2716980216216216</v>
      </c>
      <c r="J62" s="1"/>
      <c r="K62" s="103"/>
      <c r="L62" s="103"/>
      <c r="M62" s="103"/>
      <c r="N62" s="103"/>
      <c r="O62" s="103"/>
    </row>
    <row r="63" spans="1:15" x14ac:dyDescent="0.2">
      <c r="A63" s="1"/>
      <c r="B63" s="1"/>
      <c r="C63" s="69">
        <v>25</v>
      </c>
      <c r="D63" s="70">
        <f>(E44/I46)+D41+E52</f>
        <v>2.4261840330578512</v>
      </c>
      <c r="E63" s="70">
        <f>(E44/I46)*D35+D41*D35+F52</f>
        <v>2.9356826799999998</v>
      </c>
      <c r="F63" s="51" t="s">
        <v>90</v>
      </c>
      <c r="G63" s="33">
        <f>E63/0.88</f>
        <v>3.3360030454545453</v>
      </c>
      <c r="H63" s="33">
        <f>E63+1.5</f>
        <v>4.4356826799999993</v>
      </c>
      <c r="I63" s="5">
        <f>H63/3.7</f>
        <v>1.1988331567567565</v>
      </c>
      <c r="J63" s="1"/>
      <c r="K63" s="103"/>
      <c r="L63" s="103"/>
      <c r="M63" s="103"/>
      <c r="N63" s="103"/>
      <c r="O63" s="103"/>
    </row>
    <row r="64" spans="1:15" x14ac:dyDescent="0.2">
      <c r="A64" s="1"/>
      <c r="B64" s="1"/>
      <c r="C64" s="69">
        <v>5</v>
      </c>
      <c r="D64" s="70">
        <f>(E44/I46)+D41+E53</f>
        <v>3.0642832066115702</v>
      </c>
      <c r="E64" s="70">
        <f>D64*D35</f>
        <v>3.7077826799999998</v>
      </c>
      <c r="F64" s="61" t="s">
        <v>94</v>
      </c>
      <c r="G64" s="39">
        <f>E64/0.88</f>
        <v>4.213389409090909</v>
      </c>
      <c r="H64" s="33">
        <f>E64+1.5</f>
        <v>5.2077826799999993</v>
      </c>
      <c r="I64" s="20">
        <f>H64/3.7</f>
        <v>1.4075088324324321</v>
      </c>
      <c r="J64" s="1"/>
      <c r="K64" s="103"/>
      <c r="L64" s="103"/>
      <c r="M64" s="103"/>
      <c r="N64" s="103"/>
      <c r="O64" s="103"/>
    </row>
    <row r="65" spans="1:15" x14ac:dyDescent="0.2">
      <c r="A65" s="86"/>
      <c r="B65" s="86"/>
      <c r="C65" s="69">
        <v>1</v>
      </c>
      <c r="D65" s="70">
        <f>E44/I46+D41+E54</f>
        <v>4.6262666776859502</v>
      </c>
      <c r="E65" s="70">
        <f>D65*D35</f>
        <v>5.5977826799999999</v>
      </c>
      <c r="F65" s="61" t="s">
        <v>95</v>
      </c>
      <c r="G65" s="87">
        <f>E65/0.88</f>
        <v>6.3611166818181815</v>
      </c>
      <c r="H65" s="33">
        <f>E65+1.5</f>
        <v>7.0977826799999999</v>
      </c>
      <c r="I65" s="20">
        <f>H65/3.7</f>
        <v>1.9183196432432432</v>
      </c>
      <c r="J65" s="1"/>
      <c r="K65" s="103"/>
      <c r="L65" s="103"/>
      <c r="M65" s="103"/>
      <c r="N65" s="103"/>
      <c r="O65" s="103"/>
    </row>
    <row r="66" spans="1:15" x14ac:dyDescent="0.2">
      <c r="A66" s="695"/>
      <c r="B66" s="695"/>
      <c r="C66" s="85"/>
      <c r="D66" s="237"/>
      <c r="E66" s="86"/>
      <c r="F66" s="86"/>
      <c r="G66" s="86"/>
      <c r="H66" s="33"/>
      <c r="I66" s="1"/>
      <c r="J66" s="1"/>
      <c r="K66" s="103"/>
      <c r="L66" s="103"/>
      <c r="M66" s="103"/>
      <c r="N66" s="103"/>
      <c r="O66" s="103"/>
    </row>
    <row r="67" spans="1:15" x14ac:dyDescent="0.2">
      <c r="A67" s="696"/>
      <c r="B67" s="696"/>
      <c r="C67" s="90"/>
      <c r="D67" s="90"/>
      <c r="E67" s="90"/>
      <c r="F67" s="90"/>
      <c r="G67" s="90"/>
      <c r="H67" s="516"/>
      <c r="I67" s="1"/>
      <c r="J67" s="1"/>
      <c r="K67" s="103"/>
      <c r="L67" s="103"/>
      <c r="M67" s="103"/>
      <c r="N67" s="103"/>
      <c r="O67" s="103"/>
    </row>
    <row r="68" spans="1:15" x14ac:dyDescent="0.2">
      <c r="A68" s="693"/>
      <c r="B68" s="693"/>
      <c r="C68" s="93"/>
      <c r="D68" s="92"/>
      <c r="E68" s="505"/>
      <c r="F68" s="92"/>
      <c r="G68" s="505"/>
      <c r="H68" s="73"/>
      <c r="I68" s="1"/>
      <c r="J68" s="1"/>
      <c r="K68" s="103"/>
      <c r="L68" s="103"/>
      <c r="M68" s="103"/>
      <c r="N68" s="103"/>
      <c r="O68" s="103"/>
    </row>
    <row r="69" spans="1:15" x14ac:dyDescent="0.2">
      <c r="A69" s="693"/>
      <c r="B69" s="693"/>
      <c r="C69" s="93"/>
      <c r="D69" s="92"/>
      <c r="E69" s="505"/>
      <c r="F69" s="92"/>
      <c r="G69" s="505"/>
      <c r="H69" s="73"/>
      <c r="I69" s="1"/>
      <c r="J69" s="1"/>
      <c r="K69" s="103"/>
      <c r="L69" s="103"/>
      <c r="M69" s="103"/>
      <c r="N69" s="103"/>
      <c r="O69" s="103"/>
    </row>
  </sheetData>
  <mergeCells count="54">
    <mergeCell ref="A68:B68"/>
    <mergeCell ref="A69:B69"/>
    <mergeCell ref="L55:M55"/>
    <mergeCell ref="N55:O55"/>
    <mergeCell ref="A60:B60"/>
    <mergeCell ref="A66:B66"/>
    <mergeCell ref="A67:B67"/>
    <mergeCell ref="L52:M52"/>
    <mergeCell ref="N52:O52"/>
    <mergeCell ref="L53:M53"/>
    <mergeCell ref="N53:O53"/>
    <mergeCell ref="L54:M54"/>
    <mergeCell ref="N54:O54"/>
    <mergeCell ref="L49:M49"/>
    <mergeCell ref="N49:O49"/>
    <mergeCell ref="L50:M50"/>
    <mergeCell ref="N50:O50"/>
    <mergeCell ref="L51:M51"/>
    <mergeCell ref="N51:O51"/>
    <mergeCell ref="B32:D32"/>
    <mergeCell ref="L45:O45"/>
    <mergeCell ref="L47:M47"/>
    <mergeCell ref="N47:O47"/>
    <mergeCell ref="L48:M48"/>
    <mergeCell ref="N48:O48"/>
    <mergeCell ref="L46:M46"/>
    <mergeCell ref="N46:O46"/>
    <mergeCell ref="L28:N28"/>
    <mergeCell ref="L29:N29"/>
    <mergeCell ref="L30:N30"/>
    <mergeCell ref="L31:N31"/>
    <mergeCell ref="B20:D20"/>
    <mergeCell ref="L20:N20"/>
    <mergeCell ref="L23:N23"/>
    <mergeCell ref="L24:N24"/>
    <mergeCell ref="L25:N25"/>
    <mergeCell ref="L26:N26"/>
    <mergeCell ref="L27:N27"/>
    <mergeCell ref="B22:D22"/>
    <mergeCell ref="L22:N22"/>
    <mergeCell ref="G9:H9"/>
    <mergeCell ref="I9:J9"/>
    <mergeCell ref="B17:D17"/>
    <mergeCell ref="L17:N17"/>
    <mergeCell ref="L19:N19"/>
    <mergeCell ref="I10:J10"/>
    <mergeCell ref="L14:M14"/>
    <mergeCell ref="N14:O15"/>
    <mergeCell ref="N16:O16"/>
    <mergeCell ref="I6:O6"/>
    <mergeCell ref="I7:J7"/>
    <mergeCell ref="I8:J8"/>
    <mergeCell ref="L18:N18"/>
    <mergeCell ref="L21:N21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71"/>
  <sheetViews>
    <sheetView topLeftCell="A45" workbookViewId="0">
      <selection activeCell="E65" sqref="E65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402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12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595</v>
      </c>
      <c r="D9" s="9"/>
      <c r="E9" s="9"/>
      <c r="F9" s="294" t="s">
        <v>34</v>
      </c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43286</v>
      </c>
      <c r="D11" s="31"/>
      <c r="E11" s="4"/>
      <c r="F11" s="4"/>
      <c r="G11" s="1"/>
      <c r="H11" s="3" t="s">
        <v>47</v>
      </c>
      <c r="I11" s="64"/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08" t="s">
        <v>67</v>
      </c>
      <c r="M15" s="408" t="s">
        <v>117</v>
      </c>
      <c r="N15" s="1"/>
      <c r="O15" s="1"/>
      <c r="P15" s="103"/>
      <c r="Q15" s="103"/>
      <c r="R15" s="407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407" t="s">
        <v>121</v>
      </c>
      <c r="L16" s="195">
        <v>1000</v>
      </c>
      <c r="M16" s="196">
        <f>L16*D37</f>
        <v>1210</v>
      </c>
      <c r="N16" s="714"/>
      <c r="O16" s="715"/>
      <c r="P16" s="409" t="s">
        <v>152</v>
      </c>
      <c r="Q16" s="366" t="s">
        <v>154</v>
      </c>
      <c r="R16" s="407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13.450999999999999</v>
      </c>
      <c r="F17" s="413">
        <v>134.51</v>
      </c>
      <c r="G17" s="357" t="s">
        <v>125</v>
      </c>
      <c r="H17" s="358">
        <f>'[8]Base Preços MP'!G10</f>
        <v>0.01</v>
      </c>
      <c r="I17" s="170">
        <f>E20*20/100+E26*7/100</f>
        <v>0.24199999999999999</v>
      </c>
      <c r="J17" s="359">
        <f>F17*H17</f>
        <v>1.3451</v>
      </c>
      <c r="K17" s="111">
        <f>I17*1.325*10</f>
        <v>3.2065000000000001</v>
      </c>
      <c r="L17" s="676" t="str">
        <f t="shared" ref="L17:L32" si="0">B17</f>
        <v>Agua</v>
      </c>
      <c r="M17" s="677"/>
      <c r="N17" s="678"/>
      <c r="O17" s="117">
        <f>F17*M16/1000</f>
        <v>162.75709999999998</v>
      </c>
      <c r="P17" s="109">
        <v>6.02</v>
      </c>
      <c r="Q17" s="165" t="s">
        <v>125</v>
      </c>
      <c r="R17" s="166">
        <f>J17/994.31</f>
        <v>1.3527974173044625E-3</v>
      </c>
      <c r="U17" s="144"/>
      <c r="V17" s="146"/>
    </row>
    <row r="18" spans="1:22" x14ac:dyDescent="0.2">
      <c r="A18" s="1"/>
      <c r="B18" s="688" t="s">
        <v>593</v>
      </c>
      <c r="C18" s="689"/>
      <c r="D18" s="690"/>
      <c r="E18" s="315">
        <f t="shared" ref="E18:E32" si="1">F18/10</f>
        <v>27.27</v>
      </c>
      <c r="F18" s="290">
        <v>272.7</v>
      </c>
      <c r="G18" s="357" t="s">
        <v>69</v>
      </c>
      <c r="H18" s="360">
        <f>'Base Preços MP'!G40</f>
        <v>1.4</v>
      </c>
      <c r="I18" s="170">
        <f>E19*60/100</f>
        <v>34.842000000000006</v>
      </c>
      <c r="J18" s="359">
        <f>F18*H18</f>
        <v>381.78</v>
      </c>
      <c r="K18" s="111">
        <f t="shared" ref="K18:K27" si="2">I18*1.325*10</f>
        <v>461.65650000000005</v>
      </c>
      <c r="L18" s="676" t="str">
        <f t="shared" si="0"/>
        <v>fert calcio</v>
      </c>
      <c r="M18" s="677"/>
      <c r="N18" s="678"/>
      <c r="O18" s="117">
        <f>F18*M16/1000</f>
        <v>329.96699999999998</v>
      </c>
      <c r="P18" s="109">
        <v>2.11</v>
      </c>
      <c r="Q18" s="165" t="s">
        <v>69</v>
      </c>
      <c r="R18" s="166">
        <f t="shared" ref="R18:R34" si="3">J18/994.31</f>
        <v>0.38396475948144942</v>
      </c>
      <c r="U18" s="144"/>
      <c r="V18" s="146"/>
    </row>
    <row r="19" spans="1:22" x14ac:dyDescent="0.2">
      <c r="A19" s="1"/>
      <c r="B19" s="682" t="s">
        <v>594</v>
      </c>
      <c r="C19" s="724"/>
      <c r="D19" s="725"/>
      <c r="E19" s="315">
        <f t="shared" si="1"/>
        <v>58.070000000000007</v>
      </c>
      <c r="F19" s="290">
        <v>580.70000000000005</v>
      </c>
      <c r="G19" s="357" t="s">
        <v>110</v>
      </c>
      <c r="H19" s="360">
        <f>'Base Preços MP'!G26</f>
        <v>0.53</v>
      </c>
      <c r="I19" s="170">
        <f>E18*75.5/100+E25*60/100</f>
        <v>20.588849999999997</v>
      </c>
      <c r="J19" s="359">
        <f>F19*H19</f>
        <v>307.77100000000002</v>
      </c>
      <c r="K19" s="111">
        <f t="shared" si="2"/>
        <v>272.80226249999993</v>
      </c>
      <c r="L19" s="676" t="str">
        <f t="shared" si="0"/>
        <v>Liquid k</v>
      </c>
      <c r="M19" s="677"/>
      <c r="N19" s="678"/>
      <c r="O19" s="117">
        <f>F19*M16/1000</f>
        <v>702.64700000000005</v>
      </c>
      <c r="P19" s="109">
        <v>6.02</v>
      </c>
      <c r="Q19" s="165" t="s">
        <v>110</v>
      </c>
      <c r="R19" s="166">
        <f t="shared" si="3"/>
        <v>0.30953223843670491</v>
      </c>
      <c r="U19" s="144"/>
      <c r="V19" s="146"/>
    </row>
    <row r="20" spans="1:22" x14ac:dyDescent="0.2">
      <c r="A20" s="1"/>
      <c r="B20" s="688" t="s">
        <v>172</v>
      </c>
      <c r="C20" s="689"/>
      <c r="D20" s="690"/>
      <c r="E20" s="315">
        <f t="shared" si="1"/>
        <v>1.21</v>
      </c>
      <c r="F20" s="291">
        <v>12.1</v>
      </c>
      <c r="G20" s="357" t="s">
        <v>106</v>
      </c>
      <c r="H20" s="361">
        <f>'Base Preços MP'!G46</f>
        <v>1.7</v>
      </c>
      <c r="I20" s="170">
        <f>E27*27/100</f>
        <v>0</v>
      </c>
      <c r="J20" s="359">
        <f>H20*F20</f>
        <v>20.57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14.641</v>
      </c>
      <c r="P20" s="109">
        <v>3.64</v>
      </c>
      <c r="Q20" s="165" t="s">
        <v>106</v>
      </c>
      <c r="R20" s="166">
        <f t="shared" si="3"/>
        <v>2.0687713087467693E-2</v>
      </c>
      <c r="U20" s="144"/>
      <c r="V20" s="146"/>
    </row>
    <row r="21" spans="1:22" x14ac:dyDescent="0.2">
      <c r="A21" s="1"/>
      <c r="B21" s="683"/>
      <c r="C21" s="726"/>
      <c r="D21" s="727"/>
      <c r="E21" s="315">
        <f t="shared" si="1"/>
        <v>0</v>
      </c>
      <c r="F21" s="379"/>
      <c r="G21" s="357" t="s">
        <v>107</v>
      </c>
      <c r="H21" s="361">
        <f>'[8]Base Preços MP'!G37</f>
        <v>2.65</v>
      </c>
      <c r="I21" s="171">
        <f>E26*7/100</f>
        <v>0</v>
      </c>
      <c r="J21" s="359">
        <f t="shared" ref="J21:J32" si="4">F21*H21</f>
        <v>0</v>
      </c>
      <c r="K21" s="111">
        <f t="shared" si="2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0.81</v>
      </c>
      <c r="Q21" s="165" t="s">
        <v>107</v>
      </c>
      <c r="R21" s="166">
        <f t="shared" si="3"/>
        <v>0</v>
      </c>
      <c r="U21" s="144"/>
      <c r="V21" s="146"/>
    </row>
    <row r="22" spans="1:22" x14ac:dyDescent="0.2">
      <c r="A22" s="1"/>
      <c r="B22" s="682"/>
      <c r="C22" s="724"/>
      <c r="D22" s="725"/>
      <c r="E22" s="315">
        <f t="shared" si="1"/>
        <v>0</v>
      </c>
      <c r="F22" s="379"/>
      <c r="G22" s="357" t="s">
        <v>108</v>
      </c>
      <c r="H22" s="361">
        <f>'[8]Base Preços MP'!G36</f>
        <v>3.17</v>
      </c>
      <c r="I22" s="171">
        <f>E21*14/100</f>
        <v>0</v>
      </c>
      <c r="J22" s="359">
        <f>F22*H22</f>
        <v>0</v>
      </c>
      <c r="K22" s="111">
        <f t="shared" si="2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2.9000000000000001E-2</v>
      </c>
      <c r="Q22" s="165" t="s">
        <v>108</v>
      </c>
      <c r="R22" s="166">
        <f t="shared" si="3"/>
        <v>0</v>
      </c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290"/>
      <c r="G23" s="357" t="s">
        <v>109</v>
      </c>
      <c r="H23" s="361">
        <f>'[8]Base Preços MP'!G24</f>
        <v>1.32</v>
      </c>
      <c r="I23" s="171">
        <f>E22*21/100</f>
        <v>0</v>
      </c>
      <c r="J23" s="359">
        <f t="shared" si="4"/>
        <v>0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1.7999999999999999E-2</v>
      </c>
      <c r="Q23" s="165" t="s">
        <v>109</v>
      </c>
      <c r="R23" s="166">
        <f t="shared" si="3"/>
        <v>0</v>
      </c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290"/>
      <c r="G24" s="357" t="s">
        <v>111</v>
      </c>
      <c r="H24" s="361">
        <f>'[8]Base Preços MP'!G23</f>
        <v>7.3</v>
      </c>
      <c r="I24" s="410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1.7999999999999999E-2</v>
      </c>
      <c r="Q24" s="165" t="s">
        <v>111</v>
      </c>
      <c r="R24" s="166">
        <f t="shared" si="3"/>
        <v>0</v>
      </c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291"/>
      <c r="G25" s="357" t="s">
        <v>112</v>
      </c>
      <c r="H25" s="361">
        <f>'Base Preços MP'!G26</f>
        <v>0.53</v>
      </c>
      <c r="I25" s="410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0.105</v>
      </c>
      <c r="Q25" s="165" t="s">
        <v>112</v>
      </c>
      <c r="R25" s="166">
        <f t="shared" si="3"/>
        <v>0</v>
      </c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290"/>
      <c r="G26" s="357" t="s">
        <v>105</v>
      </c>
      <c r="H26" s="362">
        <f>'[8]Base Preços MP'!G35</f>
        <v>1.58</v>
      </c>
      <c r="I26" s="171">
        <f>E30*17/100</f>
        <v>0</v>
      </c>
      <c r="J26" s="359">
        <f t="shared" si="4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8.0000000000000002E-3</v>
      </c>
      <c r="Q26" s="165" t="s">
        <v>105</v>
      </c>
      <c r="R26" s="166">
        <f t="shared" si="3"/>
        <v>0</v>
      </c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290"/>
      <c r="G27" s="357" t="s">
        <v>122</v>
      </c>
      <c r="H27" s="362">
        <f>'[8]Base Preços MP'!G26</f>
        <v>1.31</v>
      </c>
      <c r="I27" s="171">
        <f>E31*39/100</f>
        <v>0</v>
      </c>
      <c r="J27" s="359">
        <f t="shared" si="4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6.0000000000000001E-3</v>
      </c>
      <c r="Q27" s="165" t="s">
        <v>122</v>
      </c>
      <c r="R27" s="166">
        <f t="shared" si="3"/>
        <v>0</v>
      </c>
      <c r="U27" s="144"/>
      <c r="V27" s="146"/>
    </row>
    <row r="28" spans="1:22" x14ac:dyDescent="0.2">
      <c r="A28" s="1"/>
      <c r="B28" s="404"/>
      <c r="C28" s="405"/>
      <c r="D28" s="406"/>
      <c r="E28" s="315">
        <f t="shared" si="1"/>
        <v>0</v>
      </c>
      <c r="F28" s="291"/>
      <c r="G28" s="357"/>
      <c r="H28" s="362">
        <f>'Base Preços MP'!G40</f>
        <v>1.4</v>
      </c>
      <c r="I28" s="171"/>
      <c r="J28" s="359">
        <f>F28*H28</f>
        <v>0</v>
      </c>
      <c r="K28" s="111"/>
      <c r="L28" s="403" t="s">
        <v>277</v>
      </c>
      <c r="M28" s="403"/>
      <c r="N28" s="403"/>
      <c r="O28" s="117">
        <f>F28*M16/1000</f>
        <v>0</v>
      </c>
      <c r="P28" s="215"/>
      <c r="Q28" s="411"/>
      <c r="R28" s="166">
        <f t="shared" si="3"/>
        <v>0</v>
      </c>
      <c r="U28" s="144"/>
      <c r="V28" s="146"/>
    </row>
    <row r="29" spans="1:22" x14ac:dyDescent="0.2">
      <c r="A29" s="1"/>
      <c r="B29" s="404"/>
      <c r="C29" s="405"/>
      <c r="D29" s="406"/>
      <c r="E29" s="315">
        <f t="shared" si="1"/>
        <v>0</v>
      </c>
      <c r="F29" s="290"/>
      <c r="G29" s="357"/>
      <c r="H29" s="362">
        <f>'[8]Base Preços MP'!G40</f>
        <v>1.56</v>
      </c>
      <c r="I29" s="171"/>
      <c r="J29" s="359">
        <f>F29*H29</f>
        <v>0</v>
      </c>
      <c r="K29" s="111"/>
      <c r="L29" s="403" t="s">
        <v>172</v>
      </c>
      <c r="M29" s="403"/>
      <c r="N29" s="403"/>
      <c r="O29" s="117">
        <f>F29*M16/1000</f>
        <v>0</v>
      </c>
      <c r="P29" s="215"/>
      <c r="Q29" s="411"/>
      <c r="R29" s="166">
        <f t="shared" si="3"/>
        <v>0</v>
      </c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290"/>
      <c r="G30" s="1"/>
      <c r="H30" s="362">
        <f>'[8]Base Preços MP'!G11</f>
        <v>2.99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>
        <f t="shared" si="3"/>
        <v>0</v>
      </c>
      <c r="U30" s="144"/>
      <c r="V30" s="146"/>
    </row>
    <row r="31" spans="1:22" x14ac:dyDescent="0.2">
      <c r="A31" s="1"/>
      <c r="B31" s="682"/>
      <c r="C31" s="724"/>
      <c r="D31" s="725"/>
      <c r="E31" s="315">
        <f t="shared" si="1"/>
        <v>0</v>
      </c>
      <c r="F31" s="291"/>
      <c r="G31" s="1"/>
      <c r="H31" s="362">
        <f>'[8]Base Preços MP'!G31</f>
        <v>39.200000000000003</v>
      </c>
      <c r="I31" s="1"/>
      <c r="J31" s="359">
        <f t="shared" si="4"/>
        <v>0</v>
      </c>
      <c r="K31" s="103"/>
      <c r="L31" s="687">
        <f t="shared" si="0"/>
        <v>0</v>
      </c>
      <c r="M31" s="687"/>
      <c r="N31" s="687"/>
      <c r="O31" s="117">
        <f>F31*M16/1000</f>
        <v>0</v>
      </c>
      <c r="P31" s="103"/>
      <c r="Q31" s="103"/>
      <c r="R31" s="166">
        <f t="shared" si="3"/>
        <v>0</v>
      </c>
      <c r="U31" s="144"/>
      <c r="V31" s="146"/>
    </row>
    <row r="32" spans="1:22" x14ac:dyDescent="0.2">
      <c r="A32" s="1"/>
      <c r="B32" s="682"/>
      <c r="C32" s="724"/>
      <c r="D32" s="725"/>
      <c r="E32" s="315">
        <f t="shared" si="1"/>
        <v>0</v>
      </c>
      <c r="F32" s="290"/>
      <c r="G32" s="1"/>
      <c r="H32" s="362">
        <f>'[8]Base Preços MP'!G29</f>
        <v>3</v>
      </c>
      <c r="I32" s="1"/>
      <c r="J32" s="359">
        <f t="shared" si="4"/>
        <v>0</v>
      </c>
      <c r="K32" s="103"/>
      <c r="L32" s="687">
        <f t="shared" si="0"/>
        <v>0</v>
      </c>
      <c r="M32" s="687"/>
      <c r="N32" s="687"/>
      <c r="O32" s="117">
        <f>F32*M16/1000</f>
        <v>0</v>
      </c>
      <c r="P32" s="103"/>
      <c r="Q32" s="103"/>
      <c r="R32" s="166">
        <f t="shared" si="3"/>
        <v>0</v>
      </c>
      <c r="U32" s="144"/>
      <c r="V32" s="146"/>
    </row>
    <row r="33" spans="1:21" x14ac:dyDescent="0.2">
      <c r="A33" s="1"/>
      <c r="B33" s="659"/>
      <c r="C33" s="660"/>
      <c r="D33" s="661"/>
      <c r="E33" s="147">
        <f>SUM(E17:E32)</f>
        <v>100.00099999999999</v>
      </c>
      <c r="F33" s="292"/>
      <c r="G33" s="103"/>
      <c r="H33" s="362">
        <f>'[8]Base Preços MP'!G16</f>
        <v>3.9060000000000001</v>
      </c>
      <c r="I33" s="103"/>
      <c r="J33" s="281">
        <f>F33*H33</f>
        <v>0</v>
      </c>
      <c r="K33" s="103"/>
      <c r="L33" s="795" t="s">
        <v>73</v>
      </c>
      <c r="M33" s="796"/>
      <c r="N33" s="797"/>
      <c r="O33" s="293">
        <f>F33*M16/1000</f>
        <v>0</v>
      </c>
      <c r="P33" s="103"/>
      <c r="Q33" s="103"/>
      <c r="R33" s="164">
        <f t="shared" si="3"/>
        <v>0</v>
      </c>
      <c r="U33" s="145"/>
    </row>
    <row r="34" spans="1:21" x14ac:dyDescent="0.2">
      <c r="A34" s="1"/>
      <c r="B34" s="4"/>
      <c r="C34" s="4"/>
      <c r="D34" s="4"/>
      <c r="E34" s="1"/>
      <c r="F34" s="20">
        <f>SUM(F17:F33)</f>
        <v>1000.0100000000001</v>
      </c>
      <c r="G34" s="103"/>
      <c r="H34" s="108"/>
      <c r="I34" s="103"/>
      <c r="J34" s="108"/>
      <c r="K34" s="103"/>
      <c r="L34" s="103"/>
      <c r="M34" s="103"/>
      <c r="N34" s="103"/>
      <c r="O34" s="121">
        <f>SUM(O17:O33)</f>
        <v>1210.0121000000001</v>
      </c>
      <c r="P34" s="103"/>
      <c r="Q34" s="103"/>
      <c r="R34" s="103">
        <f t="shared" si="3"/>
        <v>0</v>
      </c>
    </row>
    <row r="35" spans="1:21" x14ac:dyDescent="0.2">
      <c r="A35" s="22">
        <v>1</v>
      </c>
      <c r="B35" s="21" t="s">
        <v>8</v>
      </c>
      <c r="C35" s="21"/>
      <c r="D35" s="4">
        <v>1.19</v>
      </c>
      <c r="E35" s="103"/>
      <c r="F35" s="104"/>
      <c r="G35" s="105"/>
      <c r="H35" s="106"/>
      <c r="I35" s="1"/>
      <c r="J35" s="7"/>
      <c r="K35" s="103"/>
      <c r="L35" s="103"/>
      <c r="M35" s="103"/>
      <c r="N35" s="103"/>
      <c r="O35" s="103"/>
      <c r="P35" s="103"/>
      <c r="Q35" s="103"/>
      <c r="R35" s="103"/>
    </row>
    <row r="36" spans="1:21" ht="13.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03"/>
      <c r="L36" s="103"/>
      <c r="M36" s="103"/>
      <c r="N36" s="103"/>
      <c r="O36" s="103"/>
      <c r="P36" s="103"/>
      <c r="Q36" s="103"/>
      <c r="R36" s="103"/>
    </row>
    <row r="37" spans="1:21" ht="13.5" thickBot="1" x14ac:dyDescent="0.25">
      <c r="A37" s="1"/>
      <c r="B37" s="3" t="s">
        <v>2</v>
      </c>
      <c r="C37" s="1"/>
      <c r="D37" s="82">
        <v>1.21</v>
      </c>
      <c r="E37" s="1"/>
      <c r="F37" s="1"/>
      <c r="G37" s="1"/>
      <c r="H37" s="17" t="s">
        <v>1</v>
      </c>
      <c r="I37" s="1"/>
      <c r="J37" s="25">
        <f>SUM(J17:J36)</f>
        <v>711.46609999999998</v>
      </c>
      <c r="K37" s="103"/>
      <c r="L37" s="103"/>
      <c r="M37" s="103"/>
      <c r="N37" s="103"/>
      <c r="O37" s="103"/>
      <c r="P37" s="103"/>
      <c r="Q37" s="103"/>
      <c r="R37" s="103"/>
    </row>
    <row r="38" spans="1:21" ht="13.5" thickBot="1" x14ac:dyDescent="0.25">
      <c r="A38" s="1"/>
      <c r="B38" s="1"/>
      <c r="C38" s="1"/>
      <c r="D38" s="1"/>
      <c r="E38" s="1"/>
      <c r="F38" s="1"/>
      <c r="G38" s="1"/>
      <c r="H38" s="17" t="s">
        <v>26</v>
      </c>
      <c r="I38" s="1"/>
      <c r="J38" s="18">
        <v>1000</v>
      </c>
      <c r="K38" s="103"/>
      <c r="L38" s="103"/>
      <c r="M38" s="103" t="s">
        <v>254</v>
      </c>
      <c r="N38" s="103" t="s">
        <v>255</v>
      </c>
      <c r="O38" s="103"/>
      <c r="P38" s="103"/>
      <c r="Q38" s="103"/>
      <c r="R38" s="103"/>
    </row>
    <row r="39" spans="1:21" x14ac:dyDescent="0.2">
      <c r="A39" s="1"/>
      <c r="B39" s="1"/>
      <c r="C39" s="1"/>
      <c r="D39" s="1"/>
      <c r="E39" s="1"/>
      <c r="F39" s="1"/>
      <c r="G39" s="1"/>
      <c r="H39" s="19"/>
      <c r="I39" s="1"/>
      <c r="J39" s="30"/>
      <c r="K39" s="103"/>
      <c r="L39" s="103"/>
      <c r="M39" s="189" t="s">
        <v>256</v>
      </c>
      <c r="N39" s="189">
        <v>0</v>
      </c>
      <c r="O39" s="103"/>
      <c r="P39" s="103"/>
      <c r="Q39" s="103"/>
    </row>
    <row r="40" spans="1:21" x14ac:dyDescent="0.2">
      <c r="A40" s="1"/>
      <c r="B40" s="23" t="s">
        <v>15</v>
      </c>
      <c r="C40" s="1"/>
      <c r="D40" s="27"/>
      <c r="E40" s="23" t="s">
        <v>77</v>
      </c>
      <c r="F40" s="315"/>
      <c r="G40" s="1"/>
      <c r="H40" s="23"/>
      <c r="I40" s="27"/>
      <c r="J40" s="29" t="s">
        <v>78</v>
      </c>
      <c r="K40" s="103"/>
      <c r="L40" s="103"/>
      <c r="M40" s="103" t="s">
        <v>105</v>
      </c>
      <c r="N40" s="103"/>
      <c r="O40" s="103"/>
      <c r="P40" s="103"/>
      <c r="Q40" s="103"/>
    </row>
    <row r="41" spans="1:21" x14ac:dyDescent="0.2">
      <c r="A41" s="1"/>
      <c r="B41" s="3" t="s">
        <v>10</v>
      </c>
      <c r="C41" s="1"/>
      <c r="D41" s="520"/>
      <c r="E41" s="68">
        <f>J37/J38</f>
        <v>0.71146609999999999</v>
      </c>
      <c r="F41" s="364"/>
      <c r="G41" s="3" t="s">
        <v>16</v>
      </c>
      <c r="H41" s="1"/>
      <c r="I41" s="39"/>
      <c r="J41" s="68">
        <f>E41*D37</f>
        <v>0.86087398100000001</v>
      </c>
      <c r="K41" s="103"/>
      <c r="L41" s="103"/>
      <c r="M41" s="103" t="s">
        <v>257</v>
      </c>
      <c r="N41" s="103"/>
      <c r="O41" s="103"/>
      <c r="P41" s="103"/>
      <c r="Q41" s="103"/>
    </row>
    <row r="42" spans="1:21" x14ac:dyDescent="0.2">
      <c r="A42" s="1"/>
      <c r="B42" s="19" t="s">
        <v>11</v>
      </c>
      <c r="C42" s="4"/>
      <c r="D42" s="521"/>
      <c r="E42" s="68">
        <v>0.09</v>
      </c>
      <c r="F42" s="16"/>
      <c r="G42" s="19" t="s">
        <v>17</v>
      </c>
      <c r="H42" s="4"/>
      <c r="I42" s="39"/>
      <c r="J42" s="68">
        <f>E42*D37</f>
        <v>0.1089</v>
      </c>
      <c r="K42" s="103"/>
      <c r="L42" s="103"/>
      <c r="M42" s="103"/>
      <c r="N42" s="103"/>
      <c r="O42" s="103"/>
      <c r="P42" s="103"/>
      <c r="Q42" s="103"/>
      <c r="R42" s="103"/>
    </row>
    <row r="43" spans="1:21" x14ac:dyDescent="0.2">
      <c r="A43" s="1"/>
      <c r="B43" s="3" t="s">
        <v>14</v>
      </c>
      <c r="C43" s="1"/>
      <c r="D43" s="521"/>
      <c r="E43" s="68"/>
      <c r="F43" s="6"/>
      <c r="G43" s="3" t="s">
        <v>18</v>
      </c>
      <c r="H43" s="1"/>
      <c r="I43" s="39"/>
      <c r="J43" s="68">
        <f>E43*D37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21" x14ac:dyDescent="0.2">
      <c r="A44" s="1"/>
      <c r="B44" s="3" t="s">
        <v>79</v>
      </c>
      <c r="C44" s="1"/>
      <c r="D44" s="521"/>
      <c r="E44" s="68"/>
      <c r="F44" s="3"/>
      <c r="G44" s="3" t="s">
        <v>80</v>
      </c>
      <c r="H44" s="1"/>
      <c r="I44" s="39"/>
      <c r="J44" s="68">
        <f>E44*D37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21" x14ac:dyDescent="0.2">
      <c r="A45" s="1"/>
      <c r="B45" s="3" t="s">
        <v>42</v>
      </c>
      <c r="C45" s="1"/>
      <c r="D45" s="521"/>
      <c r="E45" s="68"/>
      <c r="F45" s="3"/>
      <c r="G45" s="3" t="s">
        <v>81</v>
      </c>
      <c r="H45" s="1"/>
      <c r="I45" s="39"/>
      <c r="J45" s="68">
        <f>E45*D37</f>
        <v>0</v>
      </c>
      <c r="K45" s="103"/>
      <c r="L45" s="103"/>
      <c r="M45" s="103"/>
      <c r="N45" s="103"/>
      <c r="O45" s="103"/>
      <c r="P45" s="103"/>
      <c r="Q45" s="103"/>
      <c r="R45" s="103"/>
    </row>
    <row r="46" spans="1:21" x14ac:dyDescent="0.2">
      <c r="A46" s="1"/>
      <c r="B46" s="3" t="s">
        <v>12</v>
      </c>
      <c r="C46" s="1"/>
      <c r="D46" s="520"/>
      <c r="E46" s="142">
        <f>E41+E42+E43+E44+E45</f>
        <v>0.80146609999999996</v>
      </c>
      <c r="F46" s="3"/>
      <c r="G46" s="3" t="s">
        <v>19</v>
      </c>
      <c r="H46" s="1"/>
      <c r="I46" s="33"/>
      <c r="J46" s="142">
        <f>J41+J42+J43+J44+J45</f>
        <v>0.96977398100000001</v>
      </c>
      <c r="K46" s="103"/>
      <c r="L46" s="103"/>
      <c r="M46" s="103"/>
      <c r="N46" s="103"/>
      <c r="O46" s="103"/>
      <c r="P46" s="103"/>
      <c r="Q46" s="103"/>
      <c r="R46" s="103"/>
    </row>
    <row r="47" spans="1:21" x14ac:dyDescent="0.2">
      <c r="A47" s="1"/>
      <c r="B47" s="1"/>
      <c r="C47" s="1"/>
      <c r="D47" s="4"/>
      <c r="E47" s="1"/>
      <c r="F47" s="19"/>
      <c r="G47" s="4"/>
      <c r="H47" s="4"/>
      <c r="I47" s="6"/>
      <c r="J47" s="28" t="s">
        <v>21</v>
      </c>
      <c r="K47" s="103"/>
      <c r="L47" s="701"/>
      <c r="M47" s="701"/>
      <c r="N47" s="701"/>
      <c r="O47" s="701"/>
      <c r="P47" s="701"/>
      <c r="Q47" s="701"/>
      <c r="R47" s="103"/>
    </row>
    <row r="48" spans="1:21" x14ac:dyDescent="0.2">
      <c r="A48" s="34">
        <v>2</v>
      </c>
      <c r="B48" s="22" t="s">
        <v>9</v>
      </c>
      <c r="C48" s="22"/>
      <c r="D48" s="1"/>
      <c r="E48" s="1"/>
      <c r="F48" s="19"/>
      <c r="G48" s="4"/>
      <c r="H48" s="27" t="s">
        <v>20</v>
      </c>
      <c r="I48" s="33">
        <f>(100-J48)/100</f>
        <v>1</v>
      </c>
      <c r="J48" s="76"/>
      <c r="K48" s="103"/>
      <c r="L48" s="702"/>
      <c r="M48" s="697"/>
      <c r="N48" s="702"/>
      <c r="O48" s="697"/>
      <c r="P48" s="702"/>
      <c r="Q48" s="697"/>
      <c r="R48" s="103"/>
    </row>
    <row r="49" spans="1:18" x14ac:dyDescent="0.2">
      <c r="A49" s="1"/>
      <c r="B49" s="23"/>
      <c r="C49" s="23"/>
      <c r="D49" s="29"/>
      <c r="E49" s="3" t="s">
        <v>84</v>
      </c>
      <c r="F49" s="6" t="s">
        <v>85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22" t="s">
        <v>22</v>
      </c>
      <c r="C50" s="11"/>
      <c r="D50" s="31" t="s">
        <v>13</v>
      </c>
      <c r="E50" s="36">
        <v>0</v>
      </c>
      <c r="F50" s="36">
        <v>0</v>
      </c>
      <c r="G50" s="19"/>
      <c r="H50" s="318"/>
      <c r="I50" s="75"/>
      <c r="J50" s="32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60</v>
      </c>
      <c r="E51" s="36">
        <v>0.19448062015503875</v>
      </c>
      <c r="F51" s="36">
        <v>0.25087999999999999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82</v>
      </c>
      <c r="E52" s="36"/>
      <c r="F52" s="36"/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1"/>
      <c r="D53" s="24" t="s">
        <v>50</v>
      </c>
      <c r="E53" s="36">
        <f>F53/D37</f>
        <v>0.71272727272727265</v>
      </c>
      <c r="F53" s="36">
        <f>'Base Preços MP'!C88</f>
        <v>0.86239999999999994</v>
      </c>
      <c r="G53" s="318" t="s">
        <v>590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50</v>
      </c>
      <c r="E54" s="36">
        <v>0.3956589147286822</v>
      </c>
      <c r="F54" s="36">
        <f>'Base Preços MP'!C89</f>
        <v>0.55040000000000011</v>
      </c>
      <c r="G54" s="19" t="s">
        <v>86</v>
      </c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5"/>
      <c r="D55" s="24" t="s">
        <v>59</v>
      </c>
      <c r="E55" s="36">
        <v>0.92286821705426358</v>
      </c>
      <c r="F55" s="36">
        <f>'Base Preços MP'!C91</f>
        <v>1.3225</v>
      </c>
      <c r="G55" s="1"/>
      <c r="H55" s="1"/>
      <c r="I55" s="6"/>
      <c r="J55" s="7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22">
        <v>3</v>
      </c>
      <c r="B56" s="22" t="s">
        <v>25</v>
      </c>
      <c r="C56" s="35"/>
      <c r="D56" s="24" t="s">
        <v>61</v>
      </c>
      <c r="E56" s="36">
        <v>2.3352713178294571</v>
      </c>
      <c r="F56" s="36">
        <f>'Base Preços MP'!C92</f>
        <v>3.2124999999999999</v>
      </c>
      <c r="G56" s="4"/>
      <c r="H56" s="4"/>
      <c r="I56" s="6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1"/>
      <c r="D57" s="1"/>
      <c r="E57" s="1"/>
      <c r="F57" s="19"/>
      <c r="G57" s="4"/>
      <c r="H57" s="4"/>
      <c r="I57" s="19"/>
      <c r="J57" s="20"/>
      <c r="K57" s="103"/>
      <c r="L57" s="697"/>
      <c r="M57" s="697"/>
      <c r="N57" s="697"/>
      <c r="O57" s="697"/>
      <c r="P57" s="697"/>
      <c r="Q57" s="697"/>
      <c r="R57" s="103"/>
    </row>
    <row r="58" spans="1:18" x14ac:dyDescent="0.2">
      <c r="A58" s="1"/>
      <c r="B58" s="1"/>
      <c r="C58" s="27"/>
      <c r="D58" s="27"/>
      <c r="E58" s="27"/>
      <c r="F58" s="27"/>
      <c r="G58" s="27"/>
      <c r="H58" s="4"/>
      <c r="I58" s="6"/>
      <c r="J58" s="40"/>
      <c r="K58" s="103"/>
      <c r="L58" s="143"/>
      <c r="M58" s="143"/>
      <c r="N58" s="143"/>
      <c r="O58" s="143"/>
      <c r="P58" s="143"/>
      <c r="Q58" s="143"/>
      <c r="R58" s="103"/>
    </row>
    <row r="59" spans="1:18" x14ac:dyDescent="0.2">
      <c r="A59" s="1"/>
      <c r="B59" s="1"/>
      <c r="C59" s="55" t="s">
        <v>361</v>
      </c>
      <c r="D59" s="1"/>
      <c r="E59" s="1"/>
      <c r="F59" s="19"/>
      <c r="G59" s="4"/>
      <c r="H59" s="56"/>
      <c r="I59" s="19"/>
      <c r="J59" s="20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5" t="s">
        <v>64</v>
      </c>
      <c r="D60" s="65" t="s">
        <v>65</v>
      </c>
      <c r="E60" s="65" t="s">
        <v>66</v>
      </c>
      <c r="F60" s="58" t="s">
        <v>87</v>
      </c>
      <c r="G60" s="27" t="s">
        <v>401</v>
      </c>
      <c r="H60" s="56" t="s">
        <v>414</v>
      </c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6" t="s">
        <v>23</v>
      </c>
      <c r="D61" s="67">
        <f>E46/I48+D43</f>
        <v>0.80146609999999996</v>
      </c>
      <c r="E61" s="67">
        <f>D61*D37</f>
        <v>0.9697739809999999</v>
      </c>
      <c r="F61" s="72" t="s">
        <v>88</v>
      </c>
      <c r="G61" s="33">
        <f>E61/0.92</f>
        <v>1.0541021532608694</v>
      </c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670" t="str">
        <f>'[8]FUEL BLACK 20%'!A60:B60</f>
        <v>Contentor Incluido</v>
      </c>
      <c r="B62" s="694"/>
      <c r="C62" s="74">
        <v>1000</v>
      </c>
      <c r="D62" s="70">
        <f>E46/I48+D43+E51</f>
        <v>0.99594672015503871</v>
      </c>
      <c r="E62" s="70">
        <f>D62*D37</f>
        <v>1.2050955313875968</v>
      </c>
      <c r="F62" s="61" t="s">
        <v>89</v>
      </c>
      <c r="G62" s="33"/>
      <c r="H62" s="56"/>
      <c r="I62" s="19"/>
      <c r="J62" s="4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50</v>
      </c>
      <c r="D63" s="70"/>
      <c r="E63" s="70"/>
      <c r="F63" s="51" t="s">
        <v>90</v>
      </c>
      <c r="G63" s="33"/>
      <c r="H63" s="56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E46/I48+E53</f>
        <v>1.5141933727272727</v>
      </c>
      <c r="E64" s="70">
        <f>D64*D37</f>
        <v>1.832173981</v>
      </c>
      <c r="F64" s="61" t="s">
        <v>590</v>
      </c>
      <c r="G64" s="33"/>
      <c r="H64" s="7"/>
      <c r="I64" s="1"/>
      <c r="J64" s="1" t="s">
        <v>433</v>
      </c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25</v>
      </c>
      <c r="D65" s="70">
        <f>E46/I48+D43+E54</f>
        <v>1.197125014728682</v>
      </c>
      <c r="E65" s="70">
        <f>D65*D37</f>
        <v>1.4485212678217052</v>
      </c>
      <c r="F65" s="51" t="s">
        <v>90</v>
      </c>
      <c r="G65" s="33">
        <f>E65/0.91</f>
        <v>1.5917816129908848</v>
      </c>
      <c r="H65" s="20">
        <f>G65+0.5</f>
        <v>2.0917816129908848</v>
      </c>
      <c r="I65" s="1"/>
      <c r="J65" s="1" t="s">
        <v>432</v>
      </c>
      <c r="K65" s="103">
        <v>3.25</v>
      </c>
      <c r="L65" s="103"/>
      <c r="M65" s="103"/>
      <c r="N65" s="103"/>
      <c r="O65" s="103"/>
      <c r="P65" s="103"/>
      <c r="Q65" s="103"/>
      <c r="R65" s="103"/>
    </row>
    <row r="66" spans="1:18" x14ac:dyDescent="0.2">
      <c r="A66" s="1"/>
      <c r="B66" s="1"/>
      <c r="C66" s="69">
        <v>5</v>
      </c>
      <c r="D66" s="70">
        <f>E46/I48+D43+E55</f>
        <v>1.7243343170542635</v>
      </c>
      <c r="E66" s="70">
        <f>D66*D37</f>
        <v>2.086444523635659</v>
      </c>
      <c r="F66" s="61" t="s">
        <v>94</v>
      </c>
      <c r="G66" s="39">
        <f>E66/0.88</f>
        <v>2.3709596859496127</v>
      </c>
      <c r="H66" s="7">
        <f>G66+0.5</f>
        <v>2.8709596859496127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86"/>
      <c r="B67" s="86"/>
      <c r="C67" s="69">
        <v>1</v>
      </c>
      <c r="D67" s="70"/>
      <c r="E67" s="70"/>
      <c r="F67" s="61" t="s">
        <v>95</v>
      </c>
      <c r="G67" s="87">
        <f>E67/0.88</f>
        <v>0</v>
      </c>
      <c r="H67" s="7">
        <f>G67+0.5</f>
        <v>0.5</v>
      </c>
      <c r="I67" s="4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5"/>
      <c r="B68" s="695"/>
      <c r="C68" s="85"/>
      <c r="D68" s="237"/>
      <c r="E68" s="86"/>
      <c r="F68" s="86"/>
      <c r="G68" s="86"/>
      <c r="H68" s="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6"/>
      <c r="B69" s="696"/>
      <c r="C69" s="90"/>
      <c r="D69" s="90"/>
      <c r="E69" s="90"/>
      <c r="F69" s="90"/>
      <c r="G69" s="90"/>
      <c r="H69" s="57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401"/>
      <c r="F70" s="92"/>
      <c r="G70" s="40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  <row r="71" spans="1:18" x14ac:dyDescent="0.2">
      <c r="A71" s="693"/>
      <c r="B71" s="693"/>
      <c r="C71" s="93"/>
      <c r="D71" s="92"/>
      <c r="E71" s="401"/>
      <c r="F71" s="92"/>
      <c r="G71" s="401"/>
      <c r="H71" s="73"/>
      <c r="I71" s="1"/>
      <c r="J71" s="1"/>
      <c r="K71" s="103"/>
      <c r="L71" s="103"/>
      <c r="M71" s="103"/>
      <c r="N71" s="103"/>
      <c r="O71" s="103"/>
      <c r="P71" s="103"/>
      <c r="Q71" s="103"/>
      <c r="R71" s="103"/>
    </row>
  </sheetData>
  <mergeCells count="74">
    <mergeCell ref="A70:B70"/>
    <mergeCell ref="A71:B71"/>
    <mergeCell ref="L57:M57"/>
    <mergeCell ref="N57:O57"/>
    <mergeCell ref="P57:Q57"/>
    <mergeCell ref="A62:B62"/>
    <mergeCell ref="A68:B68"/>
    <mergeCell ref="A69:B69"/>
    <mergeCell ref="L55:M55"/>
    <mergeCell ref="N55:O55"/>
    <mergeCell ref="P55:Q55"/>
    <mergeCell ref="L56:M56"/>
    <mergeCell ref="N56:O56"/>
    <mergeCell ref="P56:Q56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B33:D33"/>
    <mergeCell ref="L33:N33"/>
    <mergeCell ref="L47:Q47"/>
    <mergeCell ref="L48:M48"/>
    <mergeCell ref="N48:O48"/>
    <mergeCell ref="P48:Q48"/>
    <mergeCell ref="B30:D30"/>
    <mergeCell ref="L30:N30"/>
    <mergeCell ref="B31:D31"/>
    <mergeCell ref="L31:N31"/>
    <mergeCell ref="B32:D32"/>
    <mergeCell ref="L32:N32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70"/>
  <sheetViews>
    <sheetView topLeftCell="A10" workbookViewId="0">
      <selection activeCell="N47" sqref="N47:O47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440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43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402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43287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42" t="s">
        <v>67</v>
      </c>
      <c r="M15" s="442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439" t="s">
        <v>121</v>
      </c>
      <c r="L16" s="118">
        <v>1000</v>
      </c>
      <c r="M16" s="116">
        <f>L16*D35</f>
        <v>1250</v>
      </c>
      <c r="N16" s="671"/>
      <c r="O16" s="672"/>
      <c r="P16" s="442" t="s">
        <v>153</v>
      </c>
      <c r="Q16" s="442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15.15</v>
      </c>
      <c r="F17" s="110">
        <v>151.5</v>
      </c>
      <c r="G17" s="114" t="s">
        <v>125</v>
      </c>
      <c r="H17" s="156">
        <f>'Base Preços MP'!G10</f>
        <v>0.01</v>
      </c>
      <c r="I17" s="114">
        <f>E20*21/100+E26*7/100</f>
        <v>5.5440000000000005</v>
      </c>
      <c r="J17" s="151">
        <f>F17*H17</f>
        <v>1.5150000000000001</v>
      </c>
      <c r="K17" s="111">
        <f>I17*1.34*10</f>
        <v>74.289600000000007</v>
      </c>
      <c r="L17" s="676" t="str">
        <f t="shared" ref="L17:L30" si="0">B17</f>
        <v>Agua</v>
      </c>
      <c r="M17" s="677"/>
      <c r="N17" s="678"/>
      <c r="O17" s="117">
        <f>F17*M16/1000</f>
        <v>189.375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79" t="s">
        <v>242</v>
      </c>
      <c r="C18" s="680"/>
      <c r="D18" s="681"/>
      <c r="E18" s="101">
        <f>F18/10</f>
        <v>0</v>
      </c>
      <c r="F18" s="83"/>
      <c r="G18" s="114" t="s">
        <v>69</v>
      </c>
      <c r="H18" s="157">
        <f>'Base Preços MP'!G14</f>
        <v>3.15</v>
      </c>
      <c r="I18" s="114">
        <f>E19*60/100</f>
        <v>0</v>
      </c>
      <c r="J18" s="151">
        <f>F18*H18</f>
        <v>0</v>
      </c>
      <c r="K18" s="111">
        <f t="shared" ref="K18:K27" si="1">I18*1.34*10</f>
        <v>0</v>
      </c>
      <c r="L18" s="676" t="str">
        <f t="shared" si="0"/>
        <v>Acido Fosforico</v>
      </c>
      <c r="M18" s="677"/>
      <c r="N18" s="678"/>
      <c r="O18" s="117">
        <f>F18*M16/1000</f>
        <v>0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82" t="s">
        <v>271</v>
      </c>
      <c r="C19" s="680"/>
      <c r="D19" s="681"/>
      <c r="E19" s="101">
        <f t="shared" ref="E19:E30" si="2">F19/10</f>
        <v>0</v>
      </c>
      <c r="F19" s="83"/>
      <c r="G19" s="114" t="s">
        <v>110</v>
      </c>
      <c r="H19" s="157">
        <f>'Base Preços MP'!G31</f>
        <v>1.06</v>
      </c>
      <c r="I19" s="114">
        <f>E18*75.5/100+E25*60/100</f>
        <v>0</v>
      </c>
      <c r="J19" s="151">
        <f>F19*H19</f>
        <v>0</v>
      </c>
      <c r="K19" s="111">
        <f t="shared" si="1"/>
        <v>0</v>
      </c>
      <c r="L19" s="676" t="str">
        <f t="shared" si="0"/>
        <v>Cloreto de Ca 27,5%</v>
      </c>
      <c r="M19" s="677"/>
      <c r="N19" s="678"/>
      <c r="O19" s="117">
        <f>F19*M16/1000</f>
        <v>0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82" t="s">
        <v>606</v>
      </c>
      <c r="C20" s="680"/>
      <c r="D20" s="681"/>
      <c r="E20" s="101">
        <f t="shared" si="2"/>
        <v>0.27</v>
      </c>
      <c r="F20" s="83">
        <v>2.7</v>
      </c>
      <c r="G20" s="114" t="s">
        <v>106</v>
      </c>
      <c r="H20" s="158">
        <f>'Base Preços MP'!G59</f>
        <v>3.8</v>
      </c>
      <c r="I20" s="114">
        <f>E27*27/100</f>
        <v>0</v>
      </c>
      <c r="J20" s="151">
        <f>H20*F20</f>
        <v>10.26</v>
      </c>
      <c r="K20" s="111">
        <f t="shared" si="1"/>
        <v>0</v>
      </c>
      <c r="L20" s="676" t="str">
        <f t="shared" si="0"/>
        <v>Sulfato de zinco MONO</v>
      </c>
      <c r="M20" s="677"/>
      <c r="N20" s="678"/>
      <c r="O20" s="117">
        <f>F20*M16/1000</f>
        <v>3.375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747" t="s">
        <v>244</v>
      </c>
      <c r="C21" s="684"/>
      <c r="D21" s="685"/>
      <c r="E21" s="101">
        <f t="shared" si="2"/>
        <v>0.78</v>
      </c>
      <c r="F21" s="139">
        <v>7.8</v>
      </c>
      <c r="G21" s="114" t="s">
        <v>107</v>
      </c>
      <c r="H21" s="158">
        <f>'Base Preços MP'!G43</f>
        <v>2.7</v>
      </c>
      <c r="I21" s="114">
        <f>E26*7/100</f>
        <v>5.4873000000000003</v>
      </c>
      <c r="J21" s="151">
        <f t="shared" ref="J21:J30" si="3">F21*H21</f>
        <v>21.060000000000002</v>
      </c>
      <c r="K21" s="111">
        <f t="shared" si="1"/>
        <v>73.529820000000001</v>
      </c>
      <c r="L21" s="686" t="str">
        <f t="shared" si="0"/>
        <v>Nitrato de Mn 12%</v>
      </c>
      <c r="M21" s="686"/>
      <c r="N21" s="686"/>
      <c r="O21" s="117">
        <f>F21*M16/1000</f>
        <v>9.75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79" t="s">
        <v>246</v>
      </c>
      <c r="C22" s="680"/>
      <c r="D22" s="681"/>
      <c r="E22" s="101">
        <f t="shared" si="2"/>
        <v>0</v>
      </c>
      <c r="F22" s="139"/>
      <c r="G22" s="114" t="s">
        <v>108</v>
      </c>
      <c r="H22" s="158">
        <f>'Base Preços MP'!G42</f>
        <v>4.25</v>
      </c>
      <c r="I22" s="114">
        <f>E21*14/100</f>
        <v>0.10920000000000001</v>
      </c>
      <c r="J22" s="151">
        <f>F22*H22</f>
        <v>0</v>
      </c>
      <c r="K22" s="111">
        <f t="shared" si="1"/>
        <v>1.4632800000000001</v>
      </c>
      <c r="L22" s="687" t="str">
        <f t="shared" si="0"/>
        <v>Nitrato de Zn 15%</v>
      </c>
      <c r="M22" s="687"/>
      <c r="N22" s="687"/>
      <c r="O22" s="117">
        <f>F22*M16/1000</f>
        <v>0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 t="s">
        <v>70</v>
      </c>
      <c r="C23" s="680"/>
      <c r="D23" s="681"/>
      <c r="E23" s="101">
        <f t="shared" si="2"/>
        <v>1.94</v>
      </c>
      <c r="F23" s="83">
        <v>19.399999999999999</v>
      </c>
      <c r="G23" s="114" t="s">
        <v>109</v>
      </c>
      <c r="H23" s="158">
        <f>'Base Preços MP'!G30</f>
        <v>2.1</v>
      </c>
      <c r="I23" s="101">
        <f>E22*21/100</f>
        <v>0</v>
      </c>
      <c r="J23" s="151">
        <f t="shared" si="3"/>
        <v>40.74</v>
      </c>
      <c r="K23" s="111">
        <f t="shared" si="1"/>
        <v>0</v>
      </c>
      <c r="L23" s="687" t="str">
        <f t="shared" si="0"/>
        <v xml:space="preserve">Cloreto Ferrico Sol al 40% </v>
      </c>
      <c r="M23" s="687"/>
      <c r="N23" s="687"/>
      <c r="O23" s="117">
        <f>F23*M16/1000</f>
        <v>24.25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 t="s">
        <v>130</v>
      </c>
      <c r="C24" s="680"/>
      <c r="D24" s="681"/>
      <c r="E24" s="101">
        <f t="shared" si="2"/>
        <v>0.36</v>
      </c>
      <c r="F24" s="83">
        <v>3.6</v>
      </c>
      <c r="G24" s="114" t="s">
        <v>111</v>
      </c>
      <c r="H24" s="158">
        <f>'Base Preços MP'!G29</f>
        <v>10.3</v>
      </c>
      <c r="I24" s="101">
        <f>E24*14/100</f>
        <v>5.04E-2</v>
      </c>
      <c r="J24" s="151">
        <f>F24*H24</f>
        <v>37.080000000000005</v>
      </c>
      <c r="K24" s="111">
        <f t="shared" si="1"/>
        <v>0.67535999999999996</v>
      </c>
      <c r="L24" s="687" t="str">
        <f t="shared" si="0"/>
        <v>Cloreto de Cu 14% liquido</v>
      </c>
      <c r="M24" s="687"/>
      <c r="N24" s="687"/>
      <c r="O24" s="117">
        <f>F24*M16/1000</f>
        <v>4.5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79" t="s">
        <v>170</v>
      </c>
      <c r="C25" s="680"/>
      <c r="D25" s="681"/>
      <c r="E25" s="101">
        <f t="shared" si="2"/>
        <v>0</v>
      </c>
      <c r="F25" s="83"/>
      <c r="G25" s="114" t="s">
        <v>112</v>
      </c>
      <c r="H25" s="158">
        <f>'Base Preços MP'!G25</f>
        <v>1.64</v>
      </c>
      <c r="I25" s="101">
        <f>E23*13/100</f>
        <v>0.25219999999999998</v>
      </c>
      <c r="J25" s="151">
        <f>F25*H25</f>
        <v>0</v>
      </c>
      <c r="K25" s="111">
        <f t="shared" si="1"/>
        <v>3.3794799999999996</v>
      </c>
      <c r="L25" s="687" t="str">
        <f t="shared" si="0"/>
        <v>Cloreto de Potasio 15%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82" t="s">
        <v>605</v>
      </c>
      <c r="C26" s="680"/>
      <c r="D26" s="681"/>
      <c r="E26" s="101">
        <f t="shared" si="2"/>
        <v>78.39</v>
      </c>
      <c r="F26" s="83">
        <v>783.9</v>
      </c>
      <c r="G26" s="114" t="s">
        <v>105</v>
      </c>
      <c r="H26" s="159">
        <f>'Base Preços MP'!G82</f>
        <v>0.99</v>
      </c>
      <c r="I26" s="141">
        <f>E28*17/100</f>
        <v>0.17</v>
      </c>
      <c r="J26" s="151">
        <f t="shared" si="3"/>
        <v>776.06099999999992</v>
      </c>
      <c r="K26" s="111">
        <f t="shared" si="1"/>
        <v>2.2780000000000005</v>
      </c>
      <c r="L26" s="687" t="str">
        <f t="shared" si="0"/>
        <v>Solumag</v>
      </c>
      <c r="M26" s="687"/>
      <c r="N26" s="687"/>
      <c r="O26" s="117">
        <f>F26*M16/1000</f>
        <v>979.875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82" t="s">
        <v>313</v>
      </c>
      <c r="C27" s="680"/>
      <c r="D27" s="681"/>
      <c r="E27" s="101">
        <f t="shared" si="2"/>
        <v>0</v>
      </c>
      <c r="F27" s="83"/>
      <c r="G27" s="114" t="s">
        <v>122</v>
      </c>
      <c r="H27" s="159">
        <f>'Base Preços MP'!G39</f>
        <v>1.28</v>
      </c>
      <c r="I27" s="141">
        <f>E29*39/100</f>
        <v>4.2900000000000008E-2</v>
      </c>
      <c r="J27" s="151">
        <f t="shared" si="3"/>
        <v>0</v>
      </c>
      <c r="K27" s="111">
        <f t="shared" si="1"/>
        <v>0.57486000000000015</v>
      </c>
      <c r="L27" s="687" t="str">
        <f t="shared" si="0"/>
        <v>Nitrato de Ca Amazon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 t="s">
        <v>30</v>
      </c>
      <c r="C28" s="680"/>
      <c r="D28" s="681"/>
      <c r="E28" s="101">
        <f t="shared" si="2"/>
        <v>1</v>
      </c>
      <c r="F28" s="83">
        <v>10</v>
      </c>
      <c r="G28" s="1"/>
      <c r="H28" s="159">
        <f>'Base Preços MP'!G11</f>
        <v>3.4</v>
      </c>
      <c r="I28" s="1"/>
      <c r="J28" s="151">
        <f>F28*H28</f>
        <v>34</v>
      </c>
      <c r="K28" s="103"/>
      <c r="L28" s="687" t="str">
        <f t="shared" si="0"/>
        <v>Acido Borico</v>
      </c>
      <c r="M28" s="687"/>
      <c r="N28" s="687"/>
      <c r="O28" s="117">
        <f>F28*M16/1000</f>
        <v>12.5</v>
      </c>
      <c r="P28" s="103"/>
      <c r="Q28" s="103"/>
      <c r="R28" s="103"/>
      <c r="U28" s="144"/>
      <c r="V28" s="146"/>
    </row>
    <row r="29" spans="1:22" x14ac:dyDescent="0.2">
      <c r="A29" s="1"/>
      <c r="B29" s="679" t="s">
        <v>28</v>
      </c>
      <c r="C29" s="680"/>
      <c r="D29" s="681"/>
      <c r="E29" s="101">
        <f t="shared" si="2"/>
        <v>0.11000000000000001</v>
      </c>
      <c r="F29" s="173">
        <v>1.1000000000000001</v>
      </c>
      <c r="G29" s="1"/>
      <c r="H29" s="159">
        <f>'Base Preços MP'!G37</f>
        <v>52</v>
      </c>
      <c r="I29" s="1"/>
      <c r="J29" s="151">
        <f t="shared" si="3"/>
        <v>57.2</v>
      </c>
      <c r="K29" s="103"/>
      <c r="L29" s="687" t="str">
        <f t="shared" si="0"/>
        <v>Molbdato de Sodio</v>
      </c>
      <c r="M29" s="687"/>
      <c r="N29" s="687"/>
      <c r="O29" s="117">
        <f>F29*M16/1000</f>
        <v>1.375</v>
      </c>
      <c r="P29" s="103"/>
      <c r="Q29" s="103"/>
      <c r="R29" s="103"/>
      <c r="U29" s="144"/>
      <c r="V29" s="146"/>
    </row>
    <row r="30" spans="1:22" x14ac:dyDescent="0.2">
      <c r="A30" s="1"/>
      <c r="B30" s="682" t="s">
        <v>240</v>
      </c>
      <c r="C30" s="680"/>
      <c r="D30" s="681"/>
      <c r="E30" s="101">
        <f t="shared" si="2"/>
        <v>2</v>
      </c>
      <c r="F30" s="83">
        <v>20</v>
      </c>
      <c r="G30" s="1"/>
      <c r="H30" s="159">
        <f>'Base Preços MP'!G34</f>
        <v>7.75</v>
      </c>
      <c r="I30" s="1"/>
      <c r="J30" s="151">
        <f t="shared" si="3"/>
        <v>155</v>
      </c>
      <c r="K30" s="103"/>
      <c r="L30" s="687" t="str">
        <f t="shared" si="0"/>
        <v>EDTA</v>
      </c>
      <c r="M30" s="687"/>
      <c r="N30" s="687"/>
      <c r="O30" s="117">
        <f>F30*M16/1000</f>
        <v>25</v>
      </c>
      <c r="P30" s="103"/>
      <c r="Q30" s="103"/>
      <c r="R30" s="103"/>
      <c r="U30" s="144"/>
      <c r="V30" s="146"/>
    </row>
    <row r="31" spans="1:22" x14ac:dyDescent="0.2">
      <c r="A31" s="1"/>
      <c r="B31" s="747" t="s">
        <v>172</v>
      </c>
      <c r="C31" s="684"/>
      <c r="D31" s="685"/>
      <c r="E31" s="101">
        <f>SUM(E17:E30)</f>
        <v>100</v>
      </c>
      <c r="F31" s="83"/>
      <c r="G31" s="1"/>
      <c r="H31" s="159">
        <f>'Base Preços MP'!G46</f>
        <v>1.7</v>
      </c>
      <c r="I31" s="1"/>
      <c r="J31" s="151">
        <f>F31*H31</f>
        <v>0</v>
      </c>
      <c r="K31" s="103"/>
      <c r="L31" s="687" t="str">
        <f>B31</f>
        <v>Ureia</v>
      </c>
      <c r="M31" s="687"/>
      <c r="N31" s="687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62" t="s">
        <v>245</v>
      </c>
      <c r="C32" s="798"/>
      <c r="D32" s="799"/>
      <c r="E32" s="147"/>
      <c r="F32" s="266"/>
      <c r="G32" s="103"/>
      <c r="H32" s="159">
        <f>'Base Preços MP'!G12</f>
        <v>5.0999999999999996</v>
      </c>
      <c r="I32" s="103"/>
      <c r="J32" s="281">
        <f>F32*H32</f>
        <v>0</v>
      </c>
      <c r="K32" s="103"/>
      <c r="L32" s="691" t="str">
        <f>B32</f>
        <v>Potassa caustica</v>
      </c>
      <c r="M32" s="692"/>
      <c r="N32" s="692"/>
      <c r="O32" s="205">
        <f>SUM(O17:O31)</f>
        <v>1250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>
        <f>SUM(F17:F32)</f>
        <v>1000</v>
      </c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101"/>
      <c r="Q34" s="103"/>
      <c r="R34" s="103"/>
    </row>
    <row r="35" spans="1:18" ht="13.5" thickBot="1" x14ac:dyDescent="0.25">
      <c r="A35" s="1"/>
      <c r="B35" s="1" t="s">
        <v>2</v>
      </c>
      <c r="C35" s="1"/>
      <c r="D35" s="531">
        <v>1.25</v>
      </c>
      <c r="E35" s="1"/>
      <c r="F35" s="1"/>
      <c r="G35" s="1"/>
      <c r="H35" s="1" t="s">
        <v>1</v>
      </c>
      <c r="I35" s="1"/>
      <c r="J35" s="1">
        <f>SUM(J17:J34)</f>
        <v>1132.9159999999999</v>
      </c>
      <c r="K35" s="103"/>
      <c r="L35" s="103"/>
      <c r="M35" s="103"/>
      <c r="N35" s="103"/>
      <c r="O35" s="103"/>
      <c r="P35" s="114"/>
      <c r="Q35" s="103"/>
      <c r="R35" s="103"/>
    </row>
    <row r="36" spans="1:18" ht="13.5" thickBot="1" x14ac:dyDescent="0.25">
      <c r="A36" s="1"/>
      <c r="B36" s="3"/>
      <c r="C36" s="1"/>
      <c r="D36" s="53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259</v>
      </c>
      <c r="N36" s="103"/>
      <c r="O36" s="103"/>
      <c r="P36" s="114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03" t="s">
        <v>256</v>
      </c>
      <c r="M37" s="103">
        <v>35</v>
      </c>
      <c r="N37" s="103"/>
      <c r="O37" s="103"/>
      <c r="P37" s="114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>
        <v>45</v>
      </c>
      <c r="N38" s="103"/>
      <c r="O38" s="103"/>
      <c r="P38" s="114"/>
      <c r="Q38" s="103"/>
      <c r="R38" s="103"/>
    </row>
    <row r="39" spans="1:18" x14ac:dyDescent="0.2">
      <c r="A39" s="1"/>
      <c r="B39" s="23" t="s">
        <v>10</v>
      </c>
      <c r="C39" s="1"/>
      <c r="D39" s="526"/>
      <c r="E39" s="280">
        <f>J35/J36</f>
        <v>1.132916</v>
      </c>
      <c r="F39" s="101"/>
      <c r="G39" s="1" t="s">
        <v>16</v>
      </c>
      <c r="H39" s="23"/>
      <c r="I39" s="27"/>
      <c r="J39" s="29">
        <f>E39*D35</f>
        <v>1.416145</v>
      </c>
      <c r="K39" s="103"/>
      <c r="L39" s="103" t="s">
        <v>257</v>
      </c>
      <c r="M39" s="103">
        <v>50</v>
      </c>
      <c r="N39" s="103"/>
      <c r="O39" s="103"/>
      <c r="P39" s="114"/>
      <c r="Q39" s="103"/>
      <c r="R39" s="103"/>
    </row>
    <row r="40" spans="1:18" x14ac:dyDescent="0.2">
      <c r="A40" s="1"/>
      <c r="B40" s="3" t="s">
        <v>11</v>
      </c>
      <c r="C40" s="1"/>
      <c r="D40" s="520"/>
      <c r="E40" s="68">
        <v>0.09</v>
      </c>
      <c r="F40" s="102"/>
      <c r="G40" s="3" t="s">
        <v>17</v>
      </c>
      <c r="H40" s="1"/>
      <c r="I40" s="39"/>
      <c r="J40" s="68">
        <f>E40*D35</f>
        <v>0.11249999999999999</v>
      </c>
      <c r="K40" s="103"/>
      <c r="L40" s="103"/>
      <c r="M40" s="103"/>
      <c r="N40" s="103"/>
      <c r="O40" s="103"/>
      <c r="P40" s="114"/>
      <c r="Q40" s="103"/>
      <c r="R40" s="103"/>
    </row>
    <row r="41" spans="1:18" x14ac:dyDescent="0.2">
      <c r="A41" s="1"/>
      <c r="B41" s="19" t="s">
        <v>14</v>
      </c>
      <c r="C41" s="4"/>
      <c r="D41" s="521"/>
      <c r="E41" s="68"/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1"/>
      <c r="E44" s="68">
        <f>E39+E40+E41+E42+E43</f>
        <v>1.2229160000000001</v>
      </c>
      <c r="F44" s="3"/>
      <c r="G44" s="3" t="s">
        <v>19</v>
      </c>
      <c r="H44" s="1"/>
      <c r="I44" s="39"/>
      <c r="J44" s="68">
        <f>J39+J40+J41+J42+J43</f>
        <v>1.528645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3"/>
      <c r="C45" s="1"/>
      <c r="D45" s="520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114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 t="s">
        <v>247</v>
      </c>
      <c r="I47" s="33">
        <f>(100-J47)/100</f>
        <v>1</v>
      </c>
      <c r="J47" s="267"/>
      <c r="K47" s="103"/>
      <c r="L47" s="748"/>
      <c r="M47" s="697"/>
      <c r="N47" s="748"/>
      <c r="O47" s="697"/>
      <c r="P47" s="748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530">
        <v>0</v>
      </c>
      <c r="F48" s="528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31" t="s">
        <v>60</v>
      </c>
      <c r="E49" s="529">
        <v>0.19448062015503875</v>
      </c>
      <c r="F49" s="529">
        <v>0.25087999999999999</v>
      </c>
      <c r="G49" s="19"/>
      <c r="H49" s="26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0.68991999999999998</v>
      </c>
      <c r="F51" s="36">
        <f>'Base Preços MP'!C88</f>
        <v>0.86239999999999994</v>
      </c>
      <c r="G51" s="19" t="s">
        <v>590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0.3956589147286822</v>
      </c>
      <c r="F52" s="36">
        <f>'Base Preços MP'!C89</f>
        <v>0.55040000000000011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f>'Base Preços MP'!C91</f>
        <v>1.3225</v>
      </c>
      <c r="G53" s="19" t="s">
        <v>611</v>
      </c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v>2.3352713178294571</v>
      </c>
      <c r="F54" s="36">
        <f>'Base Preços MP'!C92</f>
        <v>3.2124999999999999</v>
      </c>
      <c r="G54" s="282" t="s">
        <v>228</v>
      </c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402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19" t="s">
        <v>295</v>
      </c>
      <c r="H58" s="56"/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271" t="s">
        <v>23</v>
      </c>
      <c r="D59" s="268">
        <f>E44/I47+D41</f>
        <v>1.2229160000000001</v>
      </c>
      <c r="E59" s="268">
        <f>D59*D35</f>
        <v>1.528645</v>
      </c>
      <c r="F59" s="58" t="s">
        <v>88</v>
      </c>
      <c r="G59" s="444">
        <f>E59/0.91</f>
        <v>1.6798296703296702</v>
      </c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'FUEL BLACK 20% NÃO USAR'!A60:B60</f>
        <v>Contentor Incluido</v>
      </c>
      <c r="B60" s="1"/>
      <c r="C60" s="272">
        <v>1000</v>
      </c>
      <c r="D60" s="268">
        <f>E44/I47+D41+E49</f>
        <v>1.417396620155039</v>
      </c>
      <c r="E60" s="268">
        <f>D60*D35</f>
        <v>1.7717457751937986</v>
      </c>
      <c r="F60" s="280" t="s">
        <v>89</v>
      </c>
      <c r="G60" s="444">
        <f t="shared" ref="G60:G66" si="4">E60/0.91</f>
        <v>1.9469733793338446</v>
      </c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269">
        <v>50</v>
      </c>
      <c r="D61" s="268"/>
      <c r="E61" s="268"/>
      <c r="F61" s="61" t="s">
        <v>90</v>
      </c>
      <c r="G61" s="444">
        <f t="shared" si="4"/>
        <v>0</v>
      </c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270">
        <v>25</v>
      </c>
      <c r="D62" s="268">
        <f>E44/I47+E51</f>
        <v>1.912836</v>
      </c>
      <c r="E62" s="268">
        <f>D62*D35</f>
        <v>2.3910450000000001</v>
      </c>
      <c r="F62" s="51" t="s">
        <v>590</v>
      </c>
      <c r="G62" s="444">
        <f t="shared" si="4"/>
        <v>2.6275219780219778</v>
      </c>
      <c r="H62" s="56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270">
        <v>25</v>
      </c>
      <c r="D63" s="268">
        <f>E44/I47+D41+E52</f>
        <v>1.6185749147286823</v>
      </c>
      <c r="E63" s="268">
        <f>D63*D35</f>
        <v>2.023218643410853</v>
      </c>
      <c r="F63" s="61" t="s">
        <v>90</v>
      </c>
      <c r="G63" s="444">
        <f t="shared" si="4"/>
        <v>2.2233171905613767</v>
      </c>
      <c r="H63" s="7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270">
        <v>5</v>
      </c>
      <c r="D64" s="268">
        <f>E44/I47+D41+E53</f>
        <v>2.1457842170542638</v>
      </c>
      <c r="E64" s="268">
        <f>D64*D35</f>
        <v>2.6822302713178297</v>
      </c>
      <c r="F64" s="51" t="s">
        <v>94</v>
      </c>
      <c r="G64" s="444">
        <f t="shared" si="4"/>
        <v>2.9475057926569557</v>
      </c>
      <c r="H64" s="4"/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270">
        <v>1</v>
      </c>
      <c r="D65" s="268">
        <f>E44/I47+D41+E54</f>
        <v>3.5581873178294572</v>
      </c>
      <c r="E65" s="268">
        <f>D65*D35</f>
        <v>4.4477341472868215</v>
      </c>
      <c r="F65" s="61" t="s">
        <v>95</v>
      </c>
      <c r="G65" s="444">
        <f t="shared" si="4"/>
        <v>4.8876199420734299</v>
      </c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270"/>
      <c r="D66" s="268"/>
      <c r="E66" s="268"/>
      <c r="F66" s="61"/>
      <c r="G66" s="445">
        <f t="shared" si="4"/>
        <v>0</v>
      </c>
      <c r="H66" s="4"/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88"/>
      <c r="E67" s="86"/>
      <c r="F67" s="86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89"/>
      <c r="D68" s="89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441"/>
      <c r="F69" s="92"/>
      <c r="G69" s="44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441"/>
      <c r="F70" s="92"/>
      <c r="G70" s="44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B28:D28"/>
    <mergeCell ref="L28:N28"/>
    <mergeCell ref="B29:D29"/>
    <mergeCell ref="L29:N29"/>
    <mergeCell ref="B30:D30"/>
    <mergeCell ref="L30:N30"/>
    <mergeCell ref="B31:D31"/>
    <mergeCell ref="L31:N31"/>
    <mergeCell ref="B32:D32"/>
    <mergeCell ref="L32:N32"/>
    <mergeCell ref="L46:Q46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L55:M55"/>
    <mergeCell ref="N55:O55"/>
    <mergeCell ref="P55:Q55"/>
    <mergeCell ref="A69:B69"/>
    <mergeCell ref="A70:B70"/>
    <mergeCell ref="L56:M56"/>
    <mergeCell ref="N56:O56"/>
    <mergeCell ref="P56:Q56"/>
    <mergeCell ref="A61:B61"/>
    <mergeCell ref="A67:B67"/>
    <mergeCell ref="A68:B68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70"/>
  <sheetViews>
    <sheetView topLeftCell="A9" zoomScale="65" zoomScaleNormal="65" workbookViewId="0">
      <selection activeCell="N54" sqref="N54:O54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20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/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521</v>
      </c>
      <c r="D7" s="63"/>
      <c r="E7" s="63"/>
      <c r="F7" s="63" t="s">
        <v>34</v>
      </c>
      <c r="G7" s="24"/>
      <c r="H7" s="592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527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/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98" t="s">
        <v>67</v>
      </c>
      <c r="M15" s="598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97" t="s">
        <v>121</v>
      </c>
      <c r="L16" s="118">
        <v>1000</v>
      </c>
      <c r="M16" s="116">
        <f>L16*D35</f>
        <v>1270</v>
      </c>
      <c r="N16" s="714"/>
      <c r="O16" s="715"/>
      <c r="P16" s="598" t="s">
        <v>153</v>
      </c>
      <c r="Q16" s="598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2.3570000000000002</v>
      </c>
      <c r="F17" s="367">
        <v>23.57</v>
      </c>
      <c r="G17" s="357" t="s">
        <v>125</v>
      </c>
      <c r="H17" s="156">
        <f>'[9]Base Preços MP'!G10</f>
        <v>0.01</v>
      </c>
      <c r="I17" s="357">
        <f>E20*21/100+E26*7/100</f>
        <v>0.59079999999999999</v>
      </c>
      <c r="J17" s="374">
        <f>F17*H17</f>
        <v>0.23570000000000002</v>
      </c>
      <c r="K17" s="111">
        <f>I17*1.34*10</f>
        <v>7.9167200000000006</v>
      </c>
      <c r="L17" s="676" t="str">
        <f t="shared" ref="L17:L30" si="0">B17</f>
        <v>Agua</v>
      </c>
      <c r="M17" s="677"/>
      <c r="N17" s="678"/>
      <c r="O17" s="117">
        <f>F17*M16/1000</f>
        <v>29.933900000000001</v>
      </c>
      <c r="P17" s="109">
        <v>7.0724400000000003</v>
      </c>
      <c r="Q17" s="375" t="s">
        <v>125</v>
      </c>
      <c r="R17" s="103"/>
      <c r="U17" s="144"/>
      <c r="V17" s="146"/>
    </row>
    <row r="18" spans="1:22" x14ac:dyDescent="0.2">
      <c r="A18" s="1"/>
      <c r="B18" s="682" t="s">
        <v>242</v>
      </c>
      <c r="C18" s="724"/>
      <c r="D18" s="725"/>
      <c r="E18" s="315">
        <f>F18/10</f>
        <v>2.5</v>
      </c>
      <c r="F18" s="83">
        <v>25</v>
      </c>
      <c r="G18" s="357" t="s">
        <v>69</v>
      </c>
      <c r="H18" s="157">
        <f>'Base Preços MP'!G15</f>
        <v>4.95</v>
      </c>
      <c r="I18" s="357">
        <f>E19*60/100</f>
        <v>0</v>
      </c>
      <c r="J18" s="374">
        <f>F18*H18</f>
        <v>123.75</v>
      </c>
      <c r="K18" s="111">
        <f t="shared" ref="K18:K27" si="1">I18*1.34*10</f>
        <v>0</v>
      </c>
      <c r="L18" s="676" t="str">
        <f t="shared" si="0"/>
        <v>Acido Fosforico</v>
      </c>
      <c r="M18" s="677"/>
      <c r="N18" s="678"/>
      <c r="O18" s="117">
        <f>F18*M16/1000</f>
        <v>31.75</v>
      </c>
      <c r="P18" s="109">
        <v>1.7885999999999997</v>
      </c>
      <c r="Q18" s="375" t="s">
        <v>69</v>
      </c>
      <c r="R18" s="103"/>
      <c r="U18" s="144"/>
      <c r="V18" s="146"/>
    </row>
    <row r="19" spans="1:22" x14ac:dyDescent="0.2">
      <c r="A19" s="1"/>
      <c r="B19" s="682" t="s">
        <v>271</v>
      </c>
      <c r="C19" s="724"/>
      <c r="D19" s="725"/>
      <c r="E19" s="315">
        <f t="shared" ref="E19:E30" si="2">F19/10</f>
        <v>0</v>
      </c>
      <c r="F19" s="83"/>
      <c r="G19" s="357" t="s">
        <v>110</v>
      </c>
      <c r="H19" s="157">
        <f>'Base Preços MP'!G32</f>
        <v>1.84</v>
      </c>
      <c r="I19" s="357">
        <f>E18*75.5/100+E25*60/100</f>
        <v>28.287499999999998</v>
      </c>
      <c r="J19" s="374">
        <f>F19*H19</f>
        <v>0</v>
      </c>
      <c r="K19" s="111">
        <f t="shared" si="1"/>
        <v>379.05250000000001</v>
      </c>
      <c r="L19" s="676" t="str">
        <f t="shared" si="0"/>
        <v>Cloreto de Ca 27,5%</v>
      </c>
      <c r="M19" s="677"/>
      <c r="N19" s="678"/>
      <c r="O19" s="117">
        <f>F19*M16/1000</f>
        <v>0</v>
      </c>
      <c r="P19" s="109">
        <v>5.9720309999999994</v>
      </c>
      <c r="Q19" s="375" t="s">
        <v>110</v>
      </c>
      <c r="R19" s="103"/>
      <c r="U19" s="144"/>
      <c r="V19" s="146"/>
    </row>
    <row r="20" spans="1:22" x14ac:dyDescent="0.2">
      <c r="A20" s="1"/>
      <c r="B20" s="682" t="s">
        <v>523</v>
      </c>
      <c r="C20" s="724"/>
      <c r="D20" s="725"/>
      <c r="E20" s="315">
        <f t="shared" si="2"/>
        <v>0.84000000000000008</v>
      </c>
      <c r="F20" s="83">
        <v>8.4</v>
      </c>
      <c r="G20" s="357" t="s">
        <v>106</v>
      </c>
      <c r="H20" s="158">
        <f>'Base Preços MP'!G38</f>
        <v>0.9</v>
      </c>
      <c r="I20" s="357">
        <f>E27*27/100</f>
        <v>9.1557000000000013</v>
      </c>
      <c r="J20" s="374">
        <f>H20*F20</f>
        <v>7.5600000000000005</v>
      </c>
      <c r="K20" s="111">
        <f t="shared" si="1"/>
        <v>122.68638000000003</v>
      </c>
      <c r="L20" s="676" t="str">
        <f t="shared" si="0"/>
        <v>Nitrato de Amonio liquido 21 % Bunge</v>
      </c>
      <c r="M20" s="677"/>
      <c r="N20" s="678"/>
      <c r="O20" s="117">
        <f>F20*M16/1000</f>
        <v>10.667999999999999</v>
      </c>
      <c r="P20" s="109">
        <v>4.3502400000000003</v>
      </c>
      <c r="Q20" s="375" t="s">
        <v>106</v>
      </c>
      <c r="R20" s="103"/>
      <c r="U20" s="144"/>
      <c r="V20" s="146"/>
    </row>
    <row r="21" spans="1:22" x14ac:dyDescent="0.2">
      <c r="A21" s="1"/>
      <c r="B21" s="683" t="s">
        <v>244</v>
      </c>
      <c r="C21" s="726"/>
      <c r="D21" s="727"/>
      <c r="E21" s="315">
        <f t="shared" si="2"/>
        <v>0.16999999999999998</v>
      </c>
      <c r="F21" s="368">
        <v>1.7</v>
      </c>
      <c r="G21" s="357" t="s">
        <v>107</v>
      </c>
      <c r="H21" s="158">
        <f>'Base Preços MP'!G43</f>
        <v>2.7</v>
      </c>
      <c r="I21" s="357">
        <f>E26*7/100</f>
        <v>0.41439999999999999</v>
      </c>
      <c r="J21" s="374">
        <f t="shared" ref="J21:J30" si="3">F21*H21</f>
        <v>4.59</v>
      </c>
      <c r="K21" s="111">
        <f t="shared" si="1"/>
        <v>5.5529600000000006</v>
      </c>
      <c r="L21" s="686" t="str">
        <f t="shared" si="0"/>
        <v>Nitrato de Mn 12%</v>
      </c>
      <c r="M21" s="686"/>
      <c r="N21" s="686"/>
      <c r="O21" s="117">
        <f>F21*M16/1000</f>
        <v>2.1589999999999998</v>
      </c>
      <c r="P21" s="161">
        <v>0.41426000000000002</v>
      </c>
      <c r="Q21" s="375" t="s">
        <v>107</v>
      </c>
      <c r="R21" s="103"/>
      <c r="U21" s="144"/>
      <c r="V21" s="146"/>
    </row>
    <row r="22" spans="1:22" x14ac:dyDescent="0.2">
      <c r="A22" s="1"/>
      <c r="B22" s="682" t="s">
        <v>246</v>
      </c>
      <c r="C22" s="724"/>
      <c r="D22" s="725"/>
      <c r="E22" s="315">
        <f t="shared" si="2"/>
        <v>6.9999999999999993E-2</v>
      </c>
      <c r="F22" s="368">
        <v>0.7</v>
      </c>
      <c r="G22" s="357" t="s">
        <v>108</v>
      </c>
      <c r="H22" s="158">
        <f>'Base Preços MP'!G42</f>
        <v>4.25</v>
      </c>
      <c r="I22" s="357">
        <f>E21*14/100</f>
        <v>2.3799999999999998E-2</v>
      </c>
      <c r="J22" s="374">
        <f>F22*H22</f>
        <v>2.9749999999999996</v>
      </c>
      <c r="K22" s="111">
        <f t="shared" si="1"/>
        <v>0.31891999999999998</v>
      </c>
      <c r="L22" s="687" t="str">
        <f t="shared" si="0"/>
        <v>Nitrato de Zn 15%</v>
      </c>
      <c r="M22" s="687"/>
      <c r="N22" s="687"/>
      <c r="O22" s="117">
        <f>F22*M16/1000</f>
        <v>0.88900000000000001</v>
      </c>
      <c r="P22" s="161">
        <v>2.198E-2</v>
      </c>
      <c r="Q22" s="375" t="s">
        <v>108</v>
      </c>
      <c r="R22" s="103"/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2"/>
        <v>0.39</v>
      </c>
      <c r="F23" s="83">
        <v>3.9</v>
      </c>
      <c r="G23" s="357" t="s">
        <v>109</v>
      </c>
      <c r="H23" s="158">
        <f>'Base Preços MP'!G30</f>
        <v>2.1</v>
      </c>
      <c r="I23" s="315">
        <f>E22*21/100</f>
        <v>1.4699999999999998E-2</v>
      </c>
      <c r="J23" s="374">
        <f t="shared" si="3"/>
        <v>8.19</v>
      </c>
      <c r="K23" s="111">
        <f t="shared" si="1"/>
        <v>0.19697999999999996</v>
      </c>
      <c r="L23" s="687" t="str">
        <f t="shared" si="0"/>
        <v xml:space="preserve">Cloreto Ferrico Sol al 40% </v>
      </c>
      <c r="M23" s="687"/>
      <c r="N23" s="687"/>
      <c r="O23" s="117">
        <f>F23*M16/1000</f>
        <v>4.9530000000000003</v>
      </c>
      <c r="P23" s="161">
        <v>1.4070000000000001E-2</v>
      </c>
      <c r="Q23" s="375" t="s">
        <v>109</v>
      </c>
      <c r="R23" s="103"/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2"/>
        <v>0.21000000000000002</v>
      </c>
      <c r="F24" s="83">
        <v>2.1</v>
      </c>
      <c r="G24" s="357" t="s">
        <v>111</v>
      </c>
      <c r="H24" s="158">
        <f>'Base Preços MP'!G29</f>
        <v>10.3</v>
      </c>
      <c r="I24" s="315">
        <f>E24*14/100</f>
        <v>2.9400000000000003E-2</v>
      </c>
      <c r="J24" s="374">
        <f>F24*H24</f>
        <v>21.630000000000003</v>
      </c>
      <c r="K24" s="111">
        <f t="shared" si="1"/>
        <v>0.39396000000000009</v>
      </c>
      <c r="L24" s="687" t="str">
        <f t="shared" si="0"/>
        <v>Cloreto de Cu 14% liquido</v>
      </c>
      <c r="M24" s="687"/>
      <c r="N24" s="687"/>
      <c r="O24" s="117">
        <f>F24*M16/1000</f>
        <v>2.6669999999999998</v>
      </c>
      <c r="P24" s="161">
        <v>7.4200000000000002E-2</v>
      </c>
      <c r="Q24" s="375" t="s">
        <v>111</v>
      </c>
      <c r="R24" s="103"/>
      <c r="U24" s="144"/>
      <c r="V24" s="146"/>
    </row>
    <row r="25" spans="1:22" x14ac:dyDescent="0.2">
      <c r="A25" s="1"/>
      <c r="B25" s="682" t="s">
        <v>170</v>
      </c>
      <c r="C25" s="724"/>
      <c r="D25" s="725"/>
      <c r="E25" s="315">
        <f t="shared" si="2"/>
        <v>44</v>
      </c>
      <c r="F25" s="83">
        <v>440</v>
      </c>
      <c r="G25" s="357" t="s">
        <v>112</v>
      </c>
      <c r="H25" s="158">
        <f>'Base Preços MP'!G26</f>
        <v>0.53</v>
      </c>
      <c r="I25" s="315">
        <f>E23*13/100</f>
        <v>5.0700000000000002E-2</v>
      </c>
      <c r="J25" s="374">
        <f>F25*H25</f>
        <v>233.20000000000002</v>
      </c>
      <c r="K25" s="111">
        <f t="shared" si="1"/>
        <v>0.67938000000000009</v>
      </c>
      <c r="L25" s="687" t="str">
        <f t="shared" si="0"/>
        <v>Cloreto de Potasio 15%</v>
      </c>
      <c r="M25" s="687"/>
      <c r="N25" s="687"/>
      <c r="O25" s="117">
        <f>F25*M16/1000</f>
        <v>558.79999999999995</v>
      </c>
      <c r="P25" s="161">
        <v>5.382E-2</v>
      </c>
      <c r="Q25" s="375" t="s">
        <v>112</v>
      </c>
      <c r="R25" s="103"/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2"/>
        <v>5.92</v>
      </c>
      <c r="F26" s="83">
        <v>59.2</v>
      </c>
      <c r="G26" s="357" t="s">
        <v>105</v>
      </c>
      <c r="H26" s="159">
        <f>'Base Preços MP'!G41</f>
        <v>1.76</v>
      </c>
      <c r="I26" s="369">
        <f>E28*17/100</f>
        <v>1.0200000000000001E-2</v>
      </c>
      <c r="J26" s="374">
        <f t="shared" si="3"/>
        <v>104.19200000000001</v>
      </c>
      <c r="K26" s="111">
        <f t="shared" si="1"/>
        <v>0.13668000000000002</v>
      </c>
      <c r="L26" s="687" t="str">
        <f t="shared" si="0"/>
        <v>Nitrato de Magnesio liquido (7% Mg) liquido</v>
      </c>
      <c r="M26" s="687"/>
      <c r="N26" s="687"/>
      <c r="O26" s="117">
        <f>F26*M16/1000</f>
        <v>75.183999999999997</v>
      </c>
      <c r="P26" s="161">
        <v>9.3500000000000024E-3</v>
      </c>
      <c r="Q26" s="375" t="s">
        <v>105</v>
      </c>
      <c r="R26" s="103"/>
      <c r="U26" s="144"/>
      <c r="V26" s="146"/>
    </row>
    <row r="27" spans="1:22" x14ac:dyDescent="0.2">
      <c r="A27" s="1"/>
      <c r="B27" s="682" t="s">
        <v>313</v>
      </c>
      <c r="C27" s="724"/>
      <c r="D27" s="725"/>
      <c r="E27" s="315">
        <f t="shared" si="2"/>
        <v>33.910000000000004</v>
      </c>
      <c r="F27" s="83">
        <v>339.1</v>
      </c>
      <c r="G27" s="357" t="s">
        <v>122</v>
      </c>
      <c r="H27" s="159">
        <f>'Base Preços MP'!G40</f>
        <v>1.4</v>
      </c>
      <c r="I27" s="369">
        <f>E29*39/100</f>
        <v>3.9000000000000003E-3</v>
      </c>
      <c r="J27" s="374">
        <f t="shared" si="3"/>
        <v>474.74</v>
      </c>
      <c r="K27" s="111">
        <f t="shared" si="1"/>
        <v>5.2260000000000008E-2</v>
      </c>
      <c r="L27" s="687" t="str">
        <f t="shared" si="0"/>
        <v>Nitrato de Ca Amazon</v>
      </c>
      <c r="M27" s="687"/>
      <c r="N27" s="687"/>
      <c r="O27" s="117">
        <f>F27*M16/1000</f>
        <v>430.65699999999998</v>
      </c>
      <c r="P27" s="161">
        <v>2.7300000000000002E-3</v>
      </c>
      <c r="Q27" s="375" t="s">
        <v>122</v>
      </c>
      <c r="R27" s="103"/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2"/>
        <v>0.06</v>
      </c>
      <c r="F28" s="83">
        <v>0.6</v>
      </c>
      <c r="G28" s="1"/>
      <c r="H28" s="159">
        <f>'Base Preços MP'!G11</f>
        <v>3.4</v>
      </c>
      <c r="I28" s="1"/>
      <c r="J28" s="374">
        <f>F28*H28</f>
        <v>2.04</v>
      </c>
      <c r="K28" s="103"/>
      <c r="L28" s="687" t="str">
        <f t="shared" si="0"/>
        <v>Acido Borico</v>
      </c>
      <c r="M28" s="687"/>
      <c r="N28" s="687"/>
      <c r="O28" s="117">
        <f>F28*M16/1000</f>
        <v>0.76200000000000001</v>
      </c>
      <c r="P28" s="103"/>
      <c r="Q28" s="103"/>
      <c r="R28" s="103"/>
      <c r="U28" s="144"/>
      <c r="V28" s="146"/>
    </row>
    <row r="29" spans="1:22" x14ac:dyDescent="0.2">
      <c r="A29" s="1"/>
      <c r="B29" s="682" t="s">
        <v>28</v>
      </c>
      <c r="C29" s="724"/>
      <c r="D29" s="725"/>
      <c r="E29" s="315">
        <f t="shared" si="2"/>
        <v>0.01</v>
      </c>
      <c r="F29" s="173">
        <v>0.1</v>
      </c>
      <c r="G29" s="1"/>
      <c r="H29" s="159">
        <f>'Base Preços MP'!G37</f>
        <v>52</v>
      </c>
      <c r="I29" s="1"/>
      <c r="J29" s="374">
        <f t="shared" si="3"/>
        <v>5.2</v>
      </c>
      <c r="K29" s="103"/>
      <c r="L29" s="687" t="str">
        <f t="shared" si="0"/>
        <v>Molbdato de Sodio</v>
      </c>
      <c r="M29" s="687"/>
      <c r="N29" s="687"/>
      <c r="O29" s="117">
        <f>F29*M16/1000</f>
        <v>0.127</v>
      </c>
      <c r="P29" s="103"/>
      <c r="Q29" s="103"/>
      <c r="R29" s="103"/>
      <c r="U29" s="144"/>
      <c r="V29" s="146"/>
    </row>
    <row r="30" spans="1:22" x14ac:dyDescent="0.2">
      <c r="A30" s="1"/>
      <c r="B30" s="682" t="s">
        <v>240</v>
      </c>
      <c r="C30" s="724"/>
      <c r="D30" s="725"/>
      <c r="E30" s="315">
        <f t="shared" si="2"/>
        <v>2.9</v>
      </c>
      <c r="F30" s="83">
        <v>29</v>
      </c>
      <c r="G30" s="1"/>
      <c r="H30" s="159">
        <f>'Base Preços MP'!G34</f>
        <v>7.75</v>
      </c>
      <c r="I30" s="1"/>
      <c r="J30" s="374">
        <f t="shared" si="3"/>
        <v>224.75</v>
      </c>
      <c r="K30" s="103"/>
      <c r="L30" s="687" t="str">
        <f t="shared" si="0"/>
        <v>EDTA</v>
      </c>
      <c r="M30" s="687"/>
      <c r="N30" s="687"/>
      <c r="O30" s="117">
        <f>F30*M16/1000</f>
        <v>36.83</v>
      </c>
      <c r="P30" s="103"/>
      <c r="Q30" s="103"/>
      <c r="R30" s="103"/>
      <c r="U30" s="144"/>
      <c r="V30" s="146"/>
    </row>
    <row r="31" spans="1:22" x14ac:dyDescent="0.2">
      <c r="A31" s="1"/>
      <c r="B31" s="683" t="s">
        <v>172</v>
      </c>
      <c r="C31" s="726"/>
      <c r="D31" s="727"/>
      <c r="E31" s="315">
        <f>SUM(E17:E30)</f>
        <v>93.337000000000018</v>
      </c>
      <c r="F31" s="83">
        <v>58.5</v>
      </c>
      <c r="G31" s="1"/>
      <c r="H31" s="159">
        <f>'Base Preços MP'!G46</f>
        <v>1.7</v>
      </c>
      <c r="I31" s="1"/>
      <c r="J31" s="374">
        <f>F31*H31</f>
        <v>99.45</v>
      </c>
      <c r="K31" s="103"/>
      <c r="L31" s="687" t="str">
        <f>B31</f>
        <v>Ureia</v>
      </c>
      <c r="M31" s="687"/>
      <c r="N31" s="687"/>
      <c r="O31" s="117">
        <f>F31*M16/1000</f>
        <v>74.295000000000002</v>
      </c>
      <c r="P31" s="103"/>
      <c r="Q31" s="103"/>
      <c r="R31" s="103"/>
      <c r="U31" s="144"/>
      <c r="V31" s="146"/>
    </row>
    <row r="32" spans="1:22" x14ac:dyDescent="0.2">
      <c r="A32" s="1"/>
      <c r="B32" s="722" t="s">
        <v>245</v>
      </c>
      <c r="C32" s="792"/>
      <c r="D32" s="781"/>
      <c r="E32" s="147"/>
      <c r="F32" s="376">
        <v>8.1300000000000008</v>
      </c>
      <c r="G32" s="103"/>
      <c r="H32" s="159">
        <f>'Base Preços MP'!G12</f>
        <v>5.0999999999999996</v>
      </c>
      <c r="I32" s="103"/>
      <c r="J32" s="281">
        <f>F32*H32</f>
        <v>41.463000000000001</v>
      </c>
      <c r="K32" s="103"/>
      <c r="L32" s="703" t="str">
        <f>B32</f>
        <v>Potassa caustica</v>
      </c>
      <c r="M32" s="692"/>
      <c r="N32" s="692"/>
      <c r="O32" s="205">
        <f>SUM(O17:O31)</f>
        <v>1259.6748999999998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>
        <f>SUM(F17:F32)</f>
        <v>1000.0000000000001</v>
      </c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315"/>
      <c r="Q34" s="103"/>
      <c r="R34" s="103"/>
    </row>
    <row r="35" spans="1:18" ht="13.5" thickBot="1" x14ac:dyDescent="0.25">
      <c r="A35" s="1"/>
      <c r="B35" s="1" t="s">
        <v>2</v>
      </c>
      <c r="C35" s="1"/>
      <c r="D35" s="206">
        <v>1.27</v>
      </c>
      <c r="E35" s="1"/>
      <c r="F35" s="1"/>
      <c r="G35" s="1"/>
      <c r="H35" s="1" t="s">
        <v>1</v>
      </c>
      <c r="I35" s="1"/>
      <c r="J35" s="1">
        <f>SUM(J17:J34)</f>
        <v>1353.9657</v>
      </c>
      <c r="K35" s="103"/>
      <c r="L35" s="103"/>
      <c r="M35" s="103"/>
      <c r="N35" s="103"/>
      <c r="O35" s="103"/>
      <c r="P35" s="357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259</v>
      </c>
      <c r="N36" s="103"/>
      <c r="O36" s="103"/>
      <c r="P36" s="357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03" t="s">
        <v>256</v>
      </c>
      <c r="M37" s="103">
        <v>35</v>
      </c>
      <c r="N37" s="103"/>
      <c r="O37" s="103"/>
      <c r="P37" s="357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>
        <v>45</v>
      </c>
      <c r="N38" s="103"/>
      <c r="O38" s="103"/>
      <c r="P38" s="357"/>
      <c r="Q38" s="103"/>
      <c r="R38" s="103"/>
    </row>
    <row r="39" spans="1:18" x14ac:dyDescent="0.2">
      <c r="A39" s="1"/>
      <c r="B39" s="23" t="s">
        <v>10</v>
      </c>
      <c r="C39" s="1"/>
      <c r="D39" s="27"/>
      <c r="E39" s="280">
        <f>J35/J36</f>
        <v>1.3539657</v>
      </c>
      <c r="F39" s="315"/>
      <c r="G39" s="1" t="s">
        <v>16</v>
      </c>
      <c r="H39" s="23"/>
      <c r="I39" s="27"/>
      <c r="J39" s="29">
        <f>E39*D35</f>
        <v>1.7195364390000001</v>
      </c>
      <c r="K39" s="103"/>
      <c r="L39" s="103" t="s">
        <v>257</v>
      </c>
      <c r="M39" s="103">
        <v>50</v>
      </c>
      <c r="N39" s="103"/>
      <c r="O39" s="103"/>
      <c r="P39" s="357"/>
      <c r="Q39" s="103"/>
      <c r="R39" s="103"/>
    </row>
    <row r="40" spans="1:18" x14ac:dyDescent="0.2">
      <c r="A40" s="1"/>
      <c r="B40" s="3" t="s">
        <v>11</v>
      </c>
      <c r="C40" s="1"/>
      <c r="D40" s="28"/>
      <c r="E40" s="68">
        <v>0.09</v>
      </c>
      <c r="F40" s="364"/>
      <c r="G40" s="3" t="s">
        <v>17</v>
      </c>
      <c r="H40" s="1"/>
      <c r="I40" s="39"/>
      <c r="J40" s="68">
        <f>E40*D35</f>
        <v>0.1143</v>
      </c>
      <c r="K40" s="103"/>
      <c r="L40" s="103"/>
      <c r="M40" s="103"/>
      <c r="N40" s="103"/>
      <c r="O40" s="103"/>
      <c r="P40" s="357"/>
      <c r="Q40" s="103"/>
      <c r="R40" s="103"/>
    </row>
    <row r="41" spans="1:18" x14ac:dyDescent="0.2">
      <c r="A41" s="1"/>
      <c r="B41" s="19" t="s">
        <v>14</v>
      </c>
      <c r="C41" s="4"/>
      <c r="D41" s="71"/>
      <c r="E41" s="68"/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357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357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357"/>
      <c r="Q43" s="103"/>
      <c r="R43" s="103"/>
    </row>
    <row r="44" spans="1:18" x14ac:dyDescent="0.2">
      <c r="A44" s="1"/>
      <c r="B44" s="3" t="s">
        <v>12</v>
      </c>
      <c r="C44" s="1"/>
      <c r="D44" s="71"/>
      <c r="E44" s="68">
        <f>E39+E40+E41+E42+E43</f>
        <v>1.4439657000000001</v>
      </c>
      <c r="F44" s="3"/>
      <c r="G44" s="3" t="s">
        <v>19</v>
      </c>
      <c r="H44" s="1"/>
      <c r="I44" s="39"/>
      <c r="J44" s="68">
        <f>J39+J40+J41+J42+J43</f>
        <v>1.8338364390000002</v>
      </c>
      <c r="K44" s="103"/>
      <c r="L44" s="103"/>
      <c r="M44" s="103"/>
      <c r="N44" s="103"/>
      <c r="O44" s="103"/>
      <c r="P44" s="357"/>
      <c r="Q44" s="103"/>
      <c r="R44" s="103"/>
    </row>
    <row r="45" spans="1:18" x14ac:dyDescent="0.2">
      <c r="A45" s="1"/>
      <c r="B45" s="3"/>
      <c r="C45" s="1"/>
      <c r="D45" s="28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357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 t="s">
        <v>247</v>
      </c>
      <c r="I47" s="33">
        <f>(100-J47)/100</f>
        <v>1</v>
      </c>
      <c r="J47" s="267"/>
      <c r="K47" s="103"/>
      <c r="L47" s="702"/>
      <c r="M47" s="697"/>
      <c r="N47" s="702"/>
      <c r="O47" s="697"/>
      <c r="P47" s="702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3">
        <v>0</v>
      </c>
      <c r="F48" s="6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507" t="s">
        <v>60</v>
      </c>
      <c r="E49" s="36">
        <f>F49/D35</f>
        <v>0</v>
      </c>
      <c r="F49" s="36">
        <f>'[9]Base Preços MP'!C82</f>
        <v>0</v>
      </c>
      <c r="G49" s="19"/>
      <c r="H49" s="318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'[9]Base Preços MP'!#REF!</f>
        <v>#REF!</v>
      </c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0.67905511811023622</v>
      </c>
      <c r="F51" s="36">
        <f>'Base Preços MP'!C88</f>
        <v>0.86239999999999994</v>
      </c>
      <c r="G51" s="19" t="s">
        <v>579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f>F52/D35</f>
        <v>0.4333858267716536</v>
      </c>
      <c r="F52" s="36">
        <f>'Base Preços MP'!C89</f>
        <v>0.55040000000000011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1.0413385826771653</v>
      </c>
      <c r="F53" s="36">
        <f>'Base Preços MP'!C91</f>
        <v>1.3225</v>
      </c>
      <c r="G53" s="19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f>F54/D35</f>
        <v>2.5295275590551181</v>
      </c>
      <c r="F54" s="36">
        <f>'Base Preços MP'!C92</f>
        <v>3.2124999999999999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ht="18" x14ac:dyDescent="0.25">
      <c r="A55" s="22"/>
      <c r="B55" s="22"/>
      <c r="C55" s="35"/>
      <c r="D55" s="24"/>
      <c r="E55" s="36"/>
      <c r="F55" s="36"/>
      <c r="G55" s="4"/>
      <c r="H55" s="4"/>
      <c r="I55" s="640" t="s">
        <v>578</v>
      </c>
      <c r="J55" s="20"/>
      <c r="L55" s="800"/>
      <c r="M55" s="800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179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19" t="s">
        <v>295</v>
      </c>
      <c r="H58" s="56"/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ht="15.75" x14ac:dyDescent="0.25">
      <c r="A59" s="1"/>
      <c r="B59" s="1"/>
      <c r="C59" s="271" t="s">
        <v>23</v>
      </c>
      <c r="D59" s="268">
        <f>E44/I46</f>
        <v>1.4439657000000001</v>
      </c>
      <c r="E59" s="268">
        <f>J44/I46</f>
        <v>1.8338364390000002</v>
      </c>
      <c r="F59" s="58" t="s">
        <v>88</v>
      </c>
      <c r="G59" s="399">
        <f>E59/0.91</f>
        <v>2.015204878021978</v>
      </c>
      <c r="H59" s="27" t="s">
        <v>401</v>
      </c>
      <c r="I59" s="56" t="s">
        <v>414</v>
      </c>
      <c r="J59" s="41"/>
      <c r="K59" s="641" t="s">
        <v>580</v>
      </c>
      <c r="L59" s="641"/>
      <c r="M59" s="641" t="s">
        <v>577</v>
      </c>
      <c r="N59" s="641"/>
      <c r="O59" s="103"/>
      <c r="P59" s="103"/>
      <c r="Q59" s="103"/>
      <c r="R59" s="103"/>
    </row>
    <row r="60" spans="1:18" ht="15.75" x14ac:dyDescent="0.25">
      <c r="A60" s="1" t="str">
        <f>'[9]FUEL BLACK 20%'!A60:B60</f>
        <v>Contentor Incluido</v>
      </c>
      <c r="B60" s="1"/>
      <c r="C60" s="377">
        <v>1000</v>
      </c>
      <c r="D60" s="268">
        <f>(E44+E49)/I46</f>
        <v>1.4439657000000001</v>
      </c>
      <c r="E60" s="268">
        <f>(J44+F49)/I46</f>
        <v>1.8338364390000002</v>
      </c>
      <c r="F60" s="280" t="s">
        <v>89</v>
      </c>
      <c r="G60" s="399">
        <f t="shared" ref="G60:G66" si="4">E60/0.91</f>
        <v>2.015204878021978</v>
      </c>
      <c r="H60" s="33"/>
      <c r="I60" s="56"/>
      <c r="J60" s="41"/>
      <c r="K60" s="641"/>
      <c r="L60" s="641"/>
      <c r="M60" s="641"/>
      <c r="N60" s="641"/>
      <c r="O60" s="103"/>
      <c r="P60" s="103"/>
      <c r="Q60" s="103"/>
      <c r="R60" s="103"/>
    </row>
    <row r="61" spans="1:18" ht="15.75" x14ac:dyDescent="0.25">
      <c r="A61" s="670"/>
      <c r="B61" s="694"/>
      <c r="C61" s="269">
        <v>50</v>
      </c>
      <c r="D61" s="268" t="e">
        <f>(E44+E50)/I46</f>
        <v>#REF!</v>
      </c>
      <c r="E61" s="268" t="e">
        <f>(J44+F50)/I46</f>
        <v>#REF!</v>
      </c>
      <c r="F61" s="61" t="s">
        <v>90</v>
      </c>
      <c r="G61" s="399" t="e">
        <f t="shared" si="4"/>
        <v>#REF!</v>
      </c>
      <c r="H61" s="33"/>
      <c r="I61" s="56"/>
      <c r="J61" s="41"/>
      <c r="K61" s="641"/>
      <c r="L61" s="641"/>
      <c r="M61" s="641"/>
      <c r="N61" s="641"/>
      <c r="O61" s="103"/>
      <c r="P61" s="103"/>
      <c r="Q61" s="103"/>
      <c r="R61" s="103"/>
    </row>
    <row r="62" spans="1:18" ht="15.75" x14ac:dyDescent="0.25">
      <c r="A62" s="1"/>
      <c r="B62" s="1"/>
      <c r="C62" s="270">
        <v>25</v>
      </c>
      <c r="D62" s="268">
        <f>E44/I47+E51</f>
        <v>2.1230208181102364</v>
      </c>
      <c r="E62" s="268">
        <f>D62*D35</f>
        <v>2.6962364390000002</v>
      </c>
      <c r="F62" s="51" t="s">
        <v>573</v>
      </c>
      <c r="G62" s="399">
        <f t="shared" si="4"/>
        <v>2.9628971857142856</v>
      </c>
      <c r="H62" s="33"/>
      <c r="I62" s="56"/>
      <c r="J62" s="1"/>
      <c r="K62" s="642">
        <f>E62+1.5</f>
        <v>4.1962364389999998</v>
      </c>
      <c r="L62" s="641"/>
      <c r="M62" s="642">
        <f>K62/3.7</f>
        <v>1.1341179564864863</v>
      </c>
      <c r="N62" s="641"/>
      <c r="O62" s="103"/>
      <c r="P62" s="103"/>
      <c r="Q62" s="103"/>
      <c r="R62" s="103"/>
    </row>
    <row r="63" spans="1:18" ht="15.75" x14ac:dyDescent="0.25">
      <c r="A63" s="1"/>
      <c r="B63" s="1"/>
      <c r="C63" s="270">
        <v>25</v>
      </c>
      <c r="D63" s="268">
        <f>(E44+E52)/I46</f>
        <v>1.8773515267716538</v>
      </c>
      <c r="E63" s="268">
        <f>(J44+F52)/I46</f>
        <v>2.3842364390000004</v>
      </c>
      <c r="F63" s="61" t="s">
        <v>90</v>
      </c>
      <c r="G63" s="399">
        <f t="shared" si="4"/>
        <v>2.6200400428571431</v>
      </c>
      <c r="H63" s="33"/>
      <c r="I63" s="7"/>
      <c r="J63" s="1"/>
      <c r="K63" s="641"/>
      <c r="L63" s="641"/>
      <c r="M63" s="642"/>
      <c r="N63" s="641"/>
      <c r="O63" s="103"/>
      <c r="P63" s="103"/>
      <c r="Q63" s="103"/>
      <c r="R63" s="103"/>
    </row>
    <row r="64" spans="1:18" ht="15.75" x14ac:dyDescent="0.25">
      <c r="A64" s="1"/>
      <c r="B64" s="1"/>
      <c r="C64" s="270">
        <v>5</v>
      </c>
      <c r="D64" s="268">
        <f>(E44)/I46+E53</f>
        <v>2.4853042826771654</v>
      </c>
      <c r="E64" s="268">
        <f>D64*D35</f>
        <v>3.1563364389999999</v>
      </c>
      <c r="F64" s="51" t="s">
        <v>94</v>
      </c>
      <c r="G64" s="399">
        <f t="shared" si="4"/>
        <v>3.468501581318681</v>
      </c>
      <c r="H64" s="33">
        <f>E63/0.88</f>
        <v>2.7093595897727276</v>
      </c>
      <c r="I64" s="20">
        <f>H64+0.5</f>
        <v>3.2093595897727276</v>
      </c>
      <c r="J64" s="1"/>
      <c r="K64" s="642">
        <f>E64+1.5</f>
        <v>4.6563364390000004</v>
      </c>
      <c r="L64" s="641"/>
      <c r="M64" s="642">
        <f>K64/3.7</f>
        <v>1.2584693078378379</v>
      </c>
      <c r="N64" s="641"/>
      <c r="O64" s="103"/>
      <c r="P64" s="103"/>
      <c r="Q64" s="103"/>
      <c r="R64" s="103"/>
    </row>
    <row r="65" spans="1:18" ht="15.75" x14ac:dyDescent="0.25">
      <c r="A65" s="1"/>
      <c r="B65" s="1"/>
      <c r="C65" s="270">
        <v>1</v>
      </c>
      <c r="D65" s="268">
        <f>(E44)/I46+E54</f>
        <v>3.9734932590551182</v>
      </c>
      <c r="E65" s="268">
        <f>D65*D35</f>
        <v>5.0463364390000001</v>
      </c>
      <c r="F65" s="61" t="s">
        <v>95</v>
      </c>
      <c r="G65" s="399">
        <f t="shared" si="4"/>
        <v>5.5454246582417586</v>
      </c>
      <c r="H65" s="39">
        <f>E64/0.88</f>
        <v>3.5867459534090909</v>
      </c>
      <c r="I65" s="20">
        <f>H65+0.5</f>
        <v>4.0867459534090909</v>
      </c>
      <c r="J65" s="1"/>
      <c r="K65" s="642">
        <f>E65+1.5</f>
        <v>6.5463364390000001</v>
      </c>
      <c r="L65" s="641"/>
      <c r="M65" s="642">
        <f>K65/3.7</f>
        <v>1.7692801186486486</v>
      </c>
      <c r="N65" s="641"/>
      <c r="O65" s="103"/>
      <c r="P65" s="103"/>
      <c r="Q65" s="103"/>
      <c r="R65" s="103"/>
    </row>
    <row r="66" spans="1:18" ht="15.75" x14ac:dyDescent="0.25">
      <c r="A66" s="86"/>
      <c r="B66" s="86"/>
      <c r="C66" s="270"/>
      <c r="D66" s="268"/>
      <c r="E66" s="268"/>
      <c r="F66" s="61"/>
      <c r="G66" s="225">
        <f t="shared" si="4"/>
        <v>0</v>
      </c>
      <c r="H66" s="87">
        <f>F66/0.88</f>
        <v>0</v>
      </c>
      <c r="I66" s="20">
        <f>H66+0.5</f>
        <v>0.5</v>
      </c>
      <c r="J66" s="1"/>
      <c r="K66" s="641"/>
      <c r="L66" s="641"/>
      <c r="M66" s="642"/>
      <c r="N66" s="641"/>
      <c r="O66" s="103"/>
      <c r="P66" s="103"/>
      <c r="Q66" s="103"/>
      <c r="R66" s="103"/>
    </row>
    <row r="67" spans="1:18" ht="15.75" x14ac:dyDescent="0.25">
      <c r="A67" s="695"/>
      <c r="B67" s="695"/>
      <c r="C67" s="85"/>
      <c r="D67" s="237"/>
      <c r="E67" s="86"/>
      <c r="F67" s="86"/>
      <c r="G67" s="86"/>
      <c r="H67" s="86"/>
      <c r="I67" s="7"/>
      <c r="J67" s="1"/>
      <c r="K67" s="641"/>
      <c r="L67" s="641"/>
      <c r="M67" s="641"/>
      <c r="N67" s="641"/>
      <c r="O67" s="103"/>
      <c r="P67" s="103"/>
      <c r="Q67" s="103"/>
      <c r="R67" s="103"/>
    </row>
    <row r="68" spans="1:18" x14ac:dyDescent="0.2">
      <c r="A68" s="696"/>
      <c r="B68" s="696"/>
      <c r="C68" s="90"/>
      <c r="D68" s="90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591"/>
      <c r="F69" s="92"/>
      <c r="G69" s="5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591"/>
      <c r="F70" s="92"/>
      <c r="G70" s="5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P48:Q48"/>
    <mergeCell ref="L49:M49"/>
    <mergeCell ref="N49:O49"/>
    <mergeCell ref="P49:Q49"/>
    <mergeCell ref="B32:D32"/>
    <mergeCell ref="L32:N32"/>
    <mergeCell ref="L46:Q46"/>
    <mergeCell ref="L47:M47"/>
    <mergeCell ref="N47:O47"/>
    <mergeCell ref="P47:Q47"/>
    <mergeCell ref="P52:Q52"/>
    <mergeCell ref="L53:M53"/>
    <mergeCell ref="N53:O53"/>
    <mergeCell ref="P53:Q53"/>
    <mergeCell ref="L50:M50"/>
    <mergeCell ref="N50:O50"/>
    <mergeCell ref="P50:Q50"/>
    <mergeCell ref="L51:M51"/>
    <mergeCell ref="N51:O51"/>
    <mergeCell ref="P51:Q51"/>
    <mergeCell ref="P56:Q56"/>
    <mergeCell ref="A61:B61"/>
    <mergeCell ref="A67:B67"/>
    <mergeCell ref="A68:B68"/>
    <mergeCell ref="L54:M54"/>
    <mergeCell ref="N54:O54"/>
    <mergeCell ref="P54:Q54"/>
    <mergeCell ref="L55:M55"/>
    <mergeCell ref="N55:O55"/>
    <mergeCell ref="P55:Q55"/>
    <mergeCell ref="B31:D31"/>
    <mergeCell ref="L31:N31"/>
    <mergeCell ref="A69:B69"/>
    <mergeCell ref="A70:B70"/>
    <mergeCell ref="L56:M56"/>
    <mergeCell ref="N56:O56"/>
    <mergeCell ref="L52:M52"/>
    <mergeCell ref="N52:O52"/>
    <mergeCell ref="L48:M48"/>
    <mergeCell ref="N48:O48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9"/>
  <sheetViews>
    <sheetView topLeftCell="A30" zoomScale="65" zoomScaleNormal="65" workbookViewId="0">
      <selection activeCell="J26" sqref="J26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7109375" customWidth="1"/>
  </cols>
  <sheetData>
    <row r="1" spans="1:16" hidden="1" x14ac:dyDescent="0.2"/>
    <row r="2" spans="1:16" hidden="1" x14ac:dyDescent="0.2"/>
    <row r="3" spans="1:16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6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1:16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1:16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</row>
    <row r="7" spans="1:16" ht="15.75" x14ac:dyDescent="0.25">
      <c r="A7" s="1"/>
      <c r="B7" s="3" t="s">
        <v>0</v>
      </c>
      <c r="C7" s="63" t="s">
        <v>521</v>
      </c>
      <c r="D7" s="63"/>
      <c r="E7" s="63"/>
      <c r="F7" s="63" t="s">
        <v>284</v>
      </c>
      <c r="G7" s="24"/>
      <c r="H7" s="592" t="s">
        <v>115</v>
      </c>
      <c r="I7" s="722"/>
      <c r="J7" s="663"/>
      <c r="K7" s="1"/>
      <c r="L7" s="103"/>
      <c r="M7" s="103"/>
      <c r="N7" s="103"/>
      <c r="O7" s="103"/>
    </row>
    <row r="8" spans="1:16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723"/>
      <c r="J8" s="665"/>
      <c r="K8" s="103"/>
      <c r="L8" s="103"/>
      <c r="M8" s="103"/>
      <c r="N8" s="103"/>
      <c r="O8" s="103"/>
    </row>
    <row r="9" spans="1:16" ht="15.75" x14ac:dyDescent="0.25">
      <c r="A9" s="1"/>
      <c r="B9" s="3" t="s">
        <v>3</v>
      </c>
      <c r="C9" s="8" t="s">
        <v>524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</row>
    <row r="10" spans="1:16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</row>
    <row r="11" spans="1:16" x14ac:dyDescent="0.2">
      <c r="A11" s="1"/>
      <c r="B11" s="3" t="s">
        <v>46</v>
      </c>
      <c r="C11" s="62">
        <v>41960</v>
      </c>
      <c r="D11" s="507"/>
      <c r="E11" s="4"/>
      <c r="F11" s="4"/>
      <c r="G11" s="1"/>
      <c r="H11" s="3" t="s">
        <v>47</v>
      </c>
      <c r="I11" s="64" t="s">
        <v>239</v>
      </c>
      <c r="J11" s="64"/>
      <c r="K11" s="103"/>
      <c r="L11" s="103"/>
      <c r="M11" s="103"/>
      <c r="N11" s="103"/>
      <c r="O11" s="103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</row>
    <row r="13" spans="1:16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</row>
    <row r="14" spans="1:16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716">
        <v>374</v>
      </c>
      <c r="O14" s="670"/>
    </row>
    <row r="15" spans="1:16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98" t="s">
        <v>67</v>
      </c>
      <c r="M15" s="598" t="s">
        <v>117</v>
      </c>
      <c r="N15" s="717"/>
      <c r="O15" s="718"/>
      <c r="P15" s="353" t="s">
        <v>153</v>
      </c>
    </row>
    <row r="16" spans="1:16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97" t="s">
        <v>121</v>
      </c>
      <c r="L16" s="195">
        <v>1000</v>
      </c>
      <c r="M16" s="196">
        <f>L16*D35</f>
        <v>1180</v>
      </c>
      <c r="N16" s="714"/>
      <c r="O16" s="715"/>
      <c r="P16" s="355"/>
    </row>
    <row r="17" spans="1:16" x14ac:dyDescent="0.2">
      <c r="A17" s="1"/>
      <c r="B17" s="710" t="s">
        <v>49</v>
      </c>
      <c r="C17" s="711"/>
      <c r="D17" s="712"/>
      <c r="E17" s="315">
        <f>F17/10</f>
        <v>35.408999999999999</v>
      </c>
      <c r="F17" s="356">
        <v>354.09</v>
      </c>
      <c r="G17" s="357" t="s">
        <v>125</v>
      </c>
      <c r="H17" s="358">
        <f>'[9]Base Preços MP'!G10</f>
        <v>0.01</v>
      </c>
      <c r="I17" s="170">
        <f>E20*17/100+E26*7/100</f>
        <v>0.99358999999999997</v>
      </c>
      <c r="J17" s="359">
        <f>F17*H17</f>
        <v>3.5408999999999997</v>
      </c>
      <c r="K17" s="111">
        <f>I17*1.325*10</f>
        <v>13.165067499999999</v>
      </c>
      <c r="L17" s="676" t="str">
        <f t="shared" ref="L17:L30" si="0">B17</f>
        <v>Agua</v>
      </c>
      <c r="M17" s="677"/>
      <c r="N17" s="678"/>
      <c r="O17" s="117">
        <f>F17*M16/1000</f>
        <v>417.82619999999997</v>
      </c>
      <c r="P17" s="197" t="s">
        <v>169</v>
      </c>
    </row>
    <row r="18" spans="1:16" x14ac:dyDescent="0.2">
      <c r="A18" s="1"/>
      <c r="B18" s="226" t="s">
        <v>233</v>
      </c>
      <c r="C18" s="227"/>
      <c r="D18" s="228"/>
      <c r="E18" s="315">
        <f t="shared" ref="E18:E30" si="1">F18/10</f>
        <v>3.4</v>
      </c>
      <c r="F18" s="260">
        <v>34</v>
      </c>
      <c r="G18" s="357" t="s">
        <v>69</v>
      </c>
      <c r="H18" s="360">
        <f>'Base Preços MP'!G12</f>
        <v>5.0999999999999996</v>
      </c>
      <c r="I18" s="170">
        <f>E19*60/100</f>
        <v>4.9266000000000005</v>
      </c>
      <c r="J18" s="359">
        <f>F18*H18</f>
        <v>173.39999999999998</v>
      </c>
      <c r="K18" s="111">
        <f t="shared" ref="K18:K27" si="2">I18*1.325*10</f>
        <v>65.277450000000002</v>
      </c>
      <c r="L18" s="676" t="str">
        <f t="shared" si="0"/>
        <v>Potasa Caustica en Escamas</v>
      </c>
      <c r="M18" s="677"/>
      <c r="N18" s="678"/>
      <c r="O18" s="117">
        <f>F18*M16/1000</f>
        <v>40.119999999999997</v>
      </c>
      <c r="P18" s="197">
        <v>2.11</v>
      </c>
    </row>
    <row r="19" spans="1:16" x14ac:dyDescent="0.2">
      <c r="A19" s="1"/>
      <c r="B19" s="226" t="s">
        <v>279</v>
      </c>
      <c r="C19" s="227"/>
      <c r="D19" s="228" t="s">
        <v>69</v>
      </c>
      <c r="E19" s="315">
        <f t="shared" si="1"/>
        <v>8.2110000000000003</v>
      </c>
      <c r="F19" s="260">
        <v>82.11</v>
      </c>
      <c r="G19" s="357" t="s">
        <v>110</v>
      </c>
      <c r="H19" s="360">
        <f>'Base Preços MP'!G15</f>
        <v>4.95</v>
      </c>
      <c r="I19" s="170">
        <f>E18*75.5/100+E25*15/100</f>
        <v>2.5776499999999998</v>
      </c>
      <c r="J19" s="359">
        <f t="shared" ref="J19:J30" si="3">F19*H19</f>
        <v>406.44450000000001</v>
      </c>
      <c r="K19" s="111">
        <f t="shared" si="2"/>
        <v>34.153862499999995</v>
      </c>
      <c r="L19" s="676" t="str">
        <f t="shared" si="0"/>
        <v>Acido Fosforico Tecnico 61,5%</v>
      </c>
      <c r="M19" s="677"/>
      <c r="N19" s="678"/>
      <c r="O19" s="117">
        <f>F19*M16/1000</f>
        <v>96.889800000000008</v>
      </c>
      <c r="P19" s="197">
        <v>6.02</v>
      </c>
    </row>
    <row r="20" spans="1:16" x14ac:dyDescent="0.2">
      <c r="A20" s="1"/>
      <c r="B20" s="683" t="s">
        <v>525</v>
      </c>
      <c r="C20" s="704"/>
      <c r="D20" s="705"/>
      <c r="E20" s="315">
        <f t="shared" si="1"/>
        <v>5.8360000000000003</v>
      </c>
      <c r="F20" s="260">
        <v>58.36</v>
      </c>
      <c r="G20" s="357" t="s">
        <v>106</v>
      </c>
      <c r="H20" s="361">
        <f>'Base Preços MP'!G38</f>
        <v>0.9</v>
      </c>
      <c r="I20" s="170">
        <f>E27*27/100</f>
        <v>2.7000000000000003E-2</v>
      </c>
      <c r="J20" s="359">
        <f>H20*F20</f>
        <v>52.524000000000001</v>
      </c>
      <c r="K20" s="111">
        <f t="shared" si="2"/>
        <v>0.35775000000000001</v>
      </c>
      <c r="L20" s="676" t="str">
        <f t="shared" si="0"/>
        <v>Nitrato de Amonio Liquido 21%</v>
      </c>
      <c r="M20" s="677"/>
      <c r="N20" s="678"/>
      <c r="O20" s="117">
        <f>F20*M16/1000</f>
        <v>68.864800000000002</v>
      </c>
      <c r="P20" s="197">
        <v>3.64</v>
      </c>
    </row>
    <row r="21" spans="1:16" x14ac:dyDescent="0.2">
      <c r="A21" s="1"/>
      <c r="B21" s="226" t="s">
        <v>234</v>
      </c>
      <c r="C21" s="227"/>
      <c r="D21" s="228"/>
      <c r="E21" s="315">
        <f t="shared" si="1"/>
        <v>6.18</v>
      </c>
      <c r="F21" s="260">
        <v>61.8</v>
      </c>
      <c r="G21" s="357" t="s">
        <v>107</v>
      </c>
      <c r="H21" s="361">
        <f>'Base Preços MP'!G46</f>
        <v>1.7</v>
      </c>
      <c r="I21" s="171">
        <f>E26*7/100</f>
        <v>1.47E-3</v>
      </c>
      <c r="J21" s="359">
        <f t="shared" si="3"/>
        <v>105.05999999999999</v>
      </c>
      <c r="K21" s="111">
        <f t="shared" si="2"/>
        <v>1.9477499999999998E-2</v>
      </c>
      <c r="L21" s="686" t="str">
        <f t="shared" si="0"/>
        <v>Ureia 46%</v>
      </c>
      <c r="M21" s="686"/>
      <c r="N21" s="686"/>
      <c r="O21" s="117">
        <f>F21*M16/1000</f>
        <v>72.924000000000007</v>
      </c>
      <c r="P21" s="197">
        <v>0.81</v>
      </c>
    </row>
    <row r="22" spans="1:16" x14ac:dyDescent="0.2">
      <c r="A22" s="1"/>
      <c r="B22" s="801" t="s">
        <v>282</v>
      </c>
      <c r="C22" s="802"/>
      <c r="D22" s="803"/>
      <c r="E22" s="315">
        <f t="shared" si="1"/>
        <v>21.73</v>
      </c>
      <c r="F22" s="260">
        <v>217.3</v>
      </c>
      <c r="G22" s="357" t="s">
        <v>108</v>
      </c>
      <c r="H22" s="361">
        <f>'Base Preços MP'!G26</f>
        <v>0.53</v>
      </c>
      <c r="I22" s="171">
        <f>E21*14/100</f>
        <v>0.86519999999999997</v>
      </c>
      <c r="J22" s="359">
        <f>F22*H22</f>
        <v>115.16900000000001</v>
      </c>
      <c r="K22" s="111">
        <f t="shared" si="2"/>
        <v>11.463900000000001</v>
      </c>
      <c r="L22" s="687" t="str">
        <f t="shared" si="0"/>
        <v>Cloreto de Potassio 15,5%</v>
      </c>
      <c r="M22" s="687"/>
      <c r="N22" s="687"/>
      <c r="O22" s="117">
        <f>F22*M16/1000</f>
        <v>256.41399999999999</v>
      </c>
      <c r="P22" s="198">
        <v>2.9000000000000001E-2</v>
      </c>
    </row>
    <row r="23" spans="1:16" x14ac:dyDescent="0.2">
      <c r="A23" s="1"/>
      <c r="B23" s="230" t="s">
        <v>280</v>
      </c>
      <c r="C23" s="231"/>
      <c r="D23" s="232"/>
      <c r="E23" s="315">
        <f t="shared" si="1"/>
        <v>10</v>
      </c>
      <c r="F23" s="260">
        <v>100</v>
      </c>
      <c r="G23" s="357" t="s">
        <v>109</v>
      </c>
      <c r="H23" s="361">
        <f>'Base Preços MP'!G41</f>
        <v>1.76</v>
      </c>
      <c r="I23" s="171">
        <f>E22*21/100</f>
        <v>4.5632999999999999</v>
      </c>
      <c r="J23" s="359">
        <f t="shared" si="3"/>
        <v>176</v>
      </c>
      <c r="K23" s="111">
        <f t="shared" si="2"/>
        <v>60.463724999999997</v>
      </c>
      <c r="L23" s="687" t="str">
        <f t="shared" si="0"/>
        <v>Nitrato de Magnesio liquido (5% Mg)</v>
      </c>
      <c r="M23" s="687"/>
      <c r="N23" s="687"/>
      <c r="O23" s="117">
        <f>F23*M16/1000</f>
        <v>118</v>
      </c>
      <c r="P23" s="198">
        <v>1.7999999999999999E-2</v>
      </c>
    </row>
    <row r="24" spans="1:16" x14ac:dyDescent="0.2">
      <c r="A24" s="1"/>
      <c r="B24" s="230" t="s">
        <v>281</v>
      </c>
      <c r="C24" s="231"/>
      <c r="D24" s="232"/>
      <c r="E24" s="315">
        <f t="shared" si="1"/>
        <v>7</v>
      </c>
      <c r="F24" s="260">
        <v>70</v>
      </c>
      <c r="G24" s="357" t="s">
        <v>111</v>
      </c>
      <c r="H24" s="361">
        <f>'Base Preços MP'!G40</f>
        <v>1.4</v>
      </c>
      <c r="I24" s="510">
        <f>E24*14/100</f>
        <v>0.98</v>
      </c>
      <c r="J24" s="359">
        <f>F24*H24</f>
        <v>98</v>
      </c>
      <c r="K24" s="111">
        <f t="shared" si="2"/>
        <v>12.984999999999999</v>
      </c>
      <c r="L24" s="687" t="str">
        <f t="shared" si="0"/>
        <v>Nitrato de Calcio liquido  (11% Ca) 8% N</v>
      </c>
      <c r="M24" s="687"/>
      <c r="N24" s="687"/>
      <c r="O24" s="117">
        <f>F24*M16/1000</f>
        <v>82.6</v>
      </c>
      <c r="P24" s="198">
        <v>1.7999999999999999E-2</v>
      </c>
    </row>
    <row r="25" spans="1:16" x14ac:dyDescent="0.2">
      <c r="A25" s="1"/>
      <c r="B25" s="226" t="s">
        <v>283</v>
      </c>
      <c r="C25" s="227"/>
      <c r="D25" s="228"/>
      <c r="E25" s="315">
        <f t="shared" si="1"/>
        <v>7.0999999999999994E-2</v>
      </c>
      <c r="F25" s="260">
        <v>0.71</v>
      </c>
      <c r="G25" s="357" t="s">
        <v>112</v>
      </c>
      <c r="H25" s="361">
        <f>'Base Preços MP'!G57</f>
        <v>3.8</v>
      </c>
      <c r="I25" s="510">
        <f>E23*13/100</f>
        <v>1.3</v>
      </c>
      <c r="J25" s="359">
        <f>F25*H25</f>
        <v>2.698</v>
      </c>
      <c r="K25" s="111">
        <f t="shared" si="2"/>
        <v>17.224999999999998</v>
      </c>
      <c r="L25" s="687" t="str">
        <f t="shared" si="0"/>
        <v>Sulfato de Manganes Monohidratado 30%</v>
      </c>
      <c r="M25" s="687"/>
      <c r="N25" s="687"/>
      <c r="O25" s="117">
        <f>F25*M16/1000</f>
        <v>0.83779999999999999</v>
      </c>
      <c r="P25" s="198">
        <v>0.105</v>
      </c>
    </row>
    <row r="26" spans="1:16" x14ac:dyDescent="0.2">
      <c r="A26" s="1"/>
      <c r="B26" s="226" t="s">
        <v>235</v>
      </c>
      <c r="C26" s="227"/>
      <c r="D26" s="228"/>
      <c r="E26" s="315">
        <f t="shared" si="1"/>
        <v>2.0999999999999998E-2</v>
      </c>
      <c r="F26" s="260">
        <v>0.21</v>
      </c>
      <c r="G26" s="357" t="s">
        <v>105</v>
      </c>
      <c r="H26" s="362">
        <f>'Base Preços MP'!G59</f>
        <v>3.8</v>
      </c>
      <c r="I26" s="171">
        <f>E28*17/100</f>
        <v>3.4000000000000002E-3</v>
      </c>
      <c r="J26" s="359">
        <f t="shared" si="3"/>
        <v>0.79799999999999993</v>
      </c>
      <c r="K26" s="111">
        <f t="shared" si="2"/>
        <v>4.5050000000000007E-2</v>
      </c>
      <c r="L26" s="687" t="str">
        <f t="shared" si="0"/>
        <v>Sulfato de Zinco Monohidratado</v>
      </c>
      <c r="M26" s="687"/>
      <c r="N26" s="687"/>
      <c r="O26" s="117">
        <f>F26*M16/1000</f>
        <v>0.24779999999999999</v>
      </c>
      <c r="P26" s="198">
        <v>8.0000000000000002E-3</v>
      </c>
    </row>
    <row r="27" spans="1:16" x14ac:dyDescent="0.2">
      <c r="A27" s="1"/>
      <c r="B27" s="226" t="s">
        <v>236</v>
      </c>
      <c r="C27" s="227"/>
      <c r="D27" s="228"/>
      <c r="E27" s="315">
        <f t="shared" si="1"/>
        <v>0.1</v>
      </c>
      <c r="F27" s="260">
        <v>1</v>
      </c>
      <c r="G27" s="357" t="s">
        <v>122</v>
      </c>
      <c r="H27" s="362">
        <f>'Base Preços MP'!G61</f>
        <v>2.36</v>
      </c>
      <c r="I27" s="171">
        <f>E29*39/100</f>
        <v>4.6800000000000001E-3</v>
      </c>
      <c r="J27" s="359">
        <f t="shared" si="3"/>
        <v>2.36</v>
      </c>
      <c r="K27" s="111">
        <f t="shared" si="2"/>
        <v>6.2009999999999996E-2</v>
      </c>
      <c r="L27" s="687" t="str">
        <f t="shared" si="0"/>
        <v>Sulfato Ferroso 20%</v>
      </c>
      <c r="M27" s="687"/>
      <c r="N27" s="687"/>
      <c r="O27" s="117">
        <f>F27*M16/1000</f>
        <v>1.18</v>
      </c>
      <c r="P27" s="198">
        <v>6.0000000000000001E-3</v>
      </c>
    </row>
    <row r="28" spans="1:16" x14ac:dyDescent="0.2">
      <c r="A28" s="1"/>
      <c r="B28" s="226" t="s">
        <v>237</v>
      </c>
      <c r="C28" s="227"/>
      <c r="D28" s="228"/>
      <c r="E28" s="315">
        <f t="shared" si="1"/>
        <v>0.02</v>
      </c>
      <c r="F28" s="260">
        <v>0.2</v>
      </c>
      <c r="G28" s="1"/>
      <c r="H28" s="362">
        <f>'[9]Base Preços MP'!G59</f>
        <v>7.2</v>
      </c>
      <c r="I28" s="1"/>
      <c r="J28" s="359">
        <f>F28*H28</f>
        <v>1.4400000000000002</v>
      </c>
      <c r="K28" s="103"/>
      <c r="L28" s="687" t="str">
        <f t="shared" si="0"/>
        <v>Sulfato de Cobre Pentahidratado</v>
      </c>
      <c r="M28" s="687"/>
      <c r="N28" s="687"/>
      <c r="O28" s="117">
        <f>F28*M16/1000</f>
        <v>0.23599999999999999</v>
      </c>
      <c r="P28" s="197"/>
    </row>
    <row r="29" spans="1:16" x14ac:dyDescent="0.2">
      <c r="A29" s="1"/>
      <c r="B29" s="226" t="s">
        <v>30</v>
      </c>
      <c r="C29" s="227"/>
      <c r="D29" s="228"/>
      <c r="E29" s="315">
        <f t="shared" si="1"/>
        <v>1.2E-2</v>
      </c>
      <c r="F29" s="260">
        <v>0.12</v>
      </c>
      <c r="G29" s="1"/>
      <c r="H29" s="362">
        <f>'Base Preços MP'!G11</f>
        <v>3.4</v>
      </c>
      <c r="I29" s="1"/>
      <c r="J29" s="359">
        <f t="shared" si="3"/>
        <v>0.40799999999999997</v>
      </c>
      <c r="K29" s="103"/>
      <c r="L29" s="687" t="str">
        <f t="shared" si="0"/>
        <v>Acido Borico</v>
      </c>
      <c r="M29" s="687"/>
      <c r="N29" s="687"/>
      <c r="O29" s="117">
        <f>F29*M16/1000</f>
        <v>0.1416</v>
      </c>
      <c r="P29" s="197"/>
    </row>
    <row r="30" spans="1:16" x14ac:dyDescent="0.2">
      <c r="A30" s="1"/>
      <c r="B30" s="226" t="s">
        <v>28</v>
      </c>
      <c r="C30" s="227"/>
      <c r="D30" s="228"/>
      <c r="E30" s="315">
        <f t="shared" si="1"/>
        <v>1.0999999999999999E-2</v>
      </c>
      <c r="F30" s="260">
        <v>0.11</v>
      </c>
      <c r="G30" s="1"/>
      <c r="H30" s="362">
        <f>'Base Preços MP'!G37</f>
        <v>52</v>
      </c>
      <c r="I30" s="1"/>
      <c r="J30" s="359">
        <f t="shared" si="3"/>
        <v>5.72</v>
      </c>
      <c r="K30" s="103"/>
      <c r="L30" s="687" t="str">
        <f t="shared" si="0"/>
        <v>Molbdato de Sodio</v>
      </c>
      <c r="M30" s="687"/>
      <c r="N30" s="687"/>
      <c r="O30" s="117">
        <f>F30*M16/1000</f>
        <v>0.1298</v>
      </c>
      <c r="P30" s="197"/>
    </row>
    <row r="31" spans="1:16" x14ac:dyDescent="0.2">
      <c r="A31" s="1"/>
      <c r="B31" s="226" t="s">
        <v>240</v>
      </c>
      <c r="C31" s="227"/>
      <c r="D31" s="228"/>
      <c r="E31" s="147">
        <f>SUM(E17:E30)</f>
        <v>98.000999999999976</v>
      </c>
      <c r="F31" s="260">
        <v>20</v>
      </c>
      <c r="G31" s="103"/>
      <c r="H31" s="113">
        <f>'Base Preços MP'!G34</f>
        <v>7.75</v>
      </c>
      <c r="I31" s="103"/>
      <c r="J31" s="112"/>
      <c r="K31" s="103"/>
      <c r="L31" s="703" t="s">
        <v>43</v>
      </c>
      <c r="M31" s="692"/>
      <c r="N31" s="692"/>
      <c r="O31" s="193">
        <f>SUM(O17:O30)</f>
        <v>1156.4118000000001</v>
      </c>
    </row>
    <row r="32" spans="1:16" x14ac:dyDescent="0.2">
      <c r="A32" s="1"/>
      <c r="B32" s="698" t="s">
        <v>238</v>
      </c>
      <c r="C32" s="699"/>
      <c r="D32" s="700"/>
      <c r="E32" s="1"/>
      <c r="F32" s="261">
        <f>SUM(F17:F31)</f>
        <v>1000.01</v>
      </c>
      <c r="G32" s="103"/>
      <c r="H32" s="108"/>
      <c r="I32" s="103"/>
      <c r="J32" s="108"/>
      <c r="K32" s="103"/>
      <c r="L32" s="103"/>
      <c r="M32" s="103"/>
      <c r="N32" s="103"/>
      <c r="O32" s="103"/>
    </row>
    <row r="33" spans="1:15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</row>
    <row r="34" spans="1:15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</row>
    <row r="35" spans="1:15" ht="13.5" thickBot="1" x14ac:dyDescent="0.25">
      <c r="A35" s="1"/>
      <c r="B35" s="3" t="s">
        <v>2</v>
      </c>
      <c r="C35" s="1"/>
      <c r="D35" s="82">
        <v>1.18</v>
      </c>
      <c r="E35" s="1"/>
      <c r="F35" s="1"/>
      <c r="G35" s="1"/>
      <c r="H35" s="17" t="s">
        <v>1</v>
      </c>
      <c r="I35" s="1"/>
      <c r="J35" s="25">
        <f>SUM(J17:J34)</f>
        <v>1143.5623999999998</v>
      </c>
      <c r="K35" s="103"/>
      <c r="L35" s="103" t="s">
        <v>254</v>
      </c>
      <c r="M35" s="103" t="s">
        <v>260</v>
      </c>
      <c r="N35" s="103"/>
      <c r="O35" s="103"/>
    </row>
    <row r="36" spans="1:15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45</v>
      </c>
      <c r="N36" s="103"/>
      <c r="O36" s="103"/>
    </row>
    <row r="37" spans="1:15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</row>
    <row r="38" spans="1:15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</row>
    <row r="39" spans="1:15" x14ac:dyDescent="0.2">
      <c r="A39" s="1"/>
      <c r="B39" s="3" t="s">
        <v>10</v>
      </c>
      <c r="C39" s="1"/>
      <c r="D39" s="28"/>
      <c r="E39" s="68">
        <f>J35/J36</f>
        <v>1.1435623999999998</v>
      </c>
      <c r="F39" s="364"/>
      <c r="G39" s="3" t="s">
        <v>16</v>
      </c>
      <c r="H39" s="1"/>
      <c r="I39" s="39"/>
      <c r="J39" s="68">
        <f>E39*D35</f>
        <v>1.3494036319999996</v>
      </c>
      <c r="K39" s="103"/>
      <c r="L39" s="103"/>
      <c r="M39" s="103"/>
      <c r="N39" s="103"/>
      <c r="O39" s="103"/>
    </row>
    <row r="40" spans="1:15" x14ac:dyDescent="0.2">
      <c r="A40" s="1"/>
      <c r="B40" s="19" t="s">
        <v>11</v>
      </c>
      <c r="C40" s="4"/>
      <c r="D40" s="71"/>
      <c r="E40" s="68">
        <f>'[9]Base Preços MP'!G63</f>
        <v>0.1</v>
      </c>
      <c r="F40" s="16"/>
      <c r="G40" s="19" t="s">
        <v>17</v>
      </c>
      <c r="H40" s="4"/>
      <c r="I40" s="39"/>
      <c r="J40" s="68">
        <f>E40*D35</f>
        <v>0.11799999999999999</v>
      </c>
      <c r="K40" s="103"/>
      <c r="L40" s="103"/>
      <c r="M40" s="103"/>
      <c r="N40" s="103"/>
      <c r="O40" s="103"/>
    </row>
    <row r="41" spans="1:15" x14ac:dyDescent="0.2">
      <c r="A41" s="1"/>
      <c r="B41" s="3" t="s">
        <v>14</v>
      </c>
      <c r="C41" s="1"/>
      <c r="D41" s="71"/>
      <c r="E41" s="68">
        <v>0.25</v>
      </c>
      <c r="F41" s="6"/>
      <c r="G41" s="3" t="s">
        <v>18</v>
      </c>
      <c r="H41" s="1"/>
      <c r="I41" s="39"/>
      <c r="J41" s="68">
        <f>E41*D35</f>
        <v>0.29499999999999998</v>
      </c>
      <c r="K41" s="103"/>
      <c r="L41" s="103"/>
      <c r="M41" s="103"/>
      <c r="N41" s="103"/>
      <c r="O41" s="103"/>
    </row>
    <row r="42" spans="1:15" x14ac:dyDescent="0.2">
      <c r="A42" s="1"/>
      <c r="B42" s="3" t="s">
        <v>79</v>
      </c>
      <c r="C42" s="1"/>
      <c r="D42" s="7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</row>
    <row r="43" spans="1:15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</row>
    <row r="44" spans="1:15" x14ac:dyDescent="0.2">
      <c r="A44" s="1"/>
      <c r="B44" s="3" t="s">
        <v>12</v>
      </c>
      <c r="C44" s="1"/>
      <c r="D44" s="28"/>
      <c r="E44" s="142">
        <f>E39+E40+E41+E42+E43</f>
        <v>1.4935623999999998</v>
      </c>
      <c r="F44" s="3"/>
      <c r="G44" s="3" t="s">
        <v>19</v>
      </c>
      <c r="H44" s="1"/>
      <c r="I44" s="33"/>
      <c r="J44" s="142">
        <f>J39+J40+J41+J42+J43</f>
        <v>1.7624036319999994</v>
      </c>
      <c r="K44" s="103"/>
      <c r="L44" s="103"/>
      <c r="M44" s="103"/>
      <c r="N44" s="103"/>
      <c r="O44" s="103"/>
    </row>
    <row r="45" spans="1:15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</row>
    <row r="46" spans="1:15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</row>
    <row r="47" spans="1:15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</row>
    <row r="48" spans="1:15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</row>
    <row r="49" spans="1:15" x14ac:dyDescent="0.2">
      <c r="A49" s="1"/>
      <c r="B49" s="1"/>
      <c r="C49" s="1"/>
      <c r="D49" s="24" t="s">
        <v>60</v>
      </c>
      <c r="E49" s="36">
        <f>F49/D35</f>
        <v>0</v>
      </c>
      <c r="F49" s="36">
        <f>'[9]Base Preços MP'!C82</f>
        <v>0</v>
      </c>
      <c r="G49" s="4"/>
      <c r="H49" s="4"/>
      <c r="I49" s="6"/>
      <c r="J49" s="20"/>
      <c r="K49" s="103"/>
      <c r="L49" s="697"/>
      <c r="M49" s="697"/>
      <c r="N49" s="697"/>
      <c r="O49" s="697"/>
    </row>
    <row r="50" spans="1:15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'[9]Base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</row>
    <row r="51" spans="1:15" x14ac:dyDescent="0.2">
      <c r="A51" s="1"/>
      <c r="B51" s="1"/>
      <c r="C51" s="1"/>
      <c r="D51" s="24" t="s">
        <v>50</v>
      </c>
      <c r="E51" s="36">
        <f>F51/D35</f>
        <v>0.59000000000000008</v>
      </c>
      <c r="F51" s="36">
        <f>'[9]Base Preços MP'!C85</f>
        <v>0.69620000000000004</v>
      </c>
      <c r="G51" s="4"/>
      <c r="H51" s="4"/>
      <c r="I51" s="6"/>
      <c r="J51" s="20"/>
      <c r="K51" s="103"/>
      <c r="L51" s="697"/>
      <c r="M51" s="697"/>
      <c r="N51" s="697"/>
      <c r="O51" s="697"/>
    </row>
    <row r="52" spans="1:15" x14ac:dyDescent="0.2">
      <c r="A52" s="1"/>
      <c r="B52" s="1"/>
      <c r="C52" s="5"/>
      <c r="D52" s="24" t="s">
        <v>50</v>
      </c>
      <c r="E52" s="36">
        <f>F52/D35</f>
        <v>0.68406779661016959</v>
      </c>
      <c r="F52" s="36">
        <f>'[9]Base Preços MP'!C86</f>
        <v>0.80720000000000003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</row>
    <row r="53" spans="1:15" x14ac:dyDescent="0.2">
      <c r="A53" s="1"/>
      <c r="B53" s="1"/>
      <c r="C53" s="5"/>
      <c r="D53" s="24" t="s">
        <v>59</v>
      </c>
      <c r="E53" s="36">
        <f>F53/D35</f>
        <v>1.008898305084746</v>
      </c>
      <c r="F53" s="36">
        <f>'[9]Base Preços MP'!C89</f>
        <v>1.1905000000000001</v>
      </c>
      <c r="G53" s="1"/>
      <c r="H53" s="1"/>
      <c r="I53" s="6"/>
      <c r="J53" s="7"/>
      <c r="K53" s="103"/>
      <c r="L53" s="697"/>
      <c r="M53" s="697"/>
      <c r="N53" s="697"/>
      <c r="O53" s="697"/>
    </row>
    <row r="54" spans="1:15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2.5529661016949152</v>
      </c>
      <c r="F54" s="36">
        <f>'[9]Base Preços MP'!C90</f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</row>
    <row r="55" spans="1:15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</row>
    <row r="56" spans="1:15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</row>
    <row r="57" spans="1:15" x14ac:dyDescent="0.2">
      <c r="A57" s="1"/>
      <c r="B57" s="1"/>
      <c r="C57" s="55" t="s">
        <v>526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</row>
    <row r="58" spans="1:15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</row>
    <row r="59" spans="1:15" x14ac:dyDescent="0.2">
      <c r="A59" s="1"/>
      <c r="B59" s="1"/>
      <c r="C59" s="66" t="s">
        <v>23</v>
      </c>
      <c r="D59" s="67">
        <f>E44/I46</f>
        <v>1.4935623999999998</v>
      </c>
      <c r="E59" s="67">
        <f>J44/I46</f>
        <v>1.7624036319999994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</row>
    <row r="60" spans="1:15" x14ac:dyDescent="0.2">
      <c r="A60" s="670" t="str">
        <f>'[9]FUEL BLACK 20%'!A60:B60</f>
        <v>Contentor Incluido</v>
      </c>
      <c r="B60" s="694"/>
      <c r="C60" s="74">
        <v>1000</v>
      </c>
      <c r="D60" s="70">
        <f>(E44+E49)/I46</f>
        <v>1.4935623999999998</v>
      </c>
      <c r="E60" s="70">
        <f>(J44+F49)/I46</f>
        <v>1.7624036319999994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</row>
    <row r="61" spans="1:15" x14ac:dyDescent="0.2">
      <c r="A61" s="1"/>
      <c r="B61" s="1"/>
      <c r="C61" s="69">
        <v>50</v>
      </c>
      <c r="D61" s="70" t="e">
        <f>(E44+E50)/I46</f>
        <v>#REF!</v>
      </c>
      <c r="E61" s="70" t="e">
        <f>(J44+F50)/I46</f>
        <v>#REF!</v>
      </c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</row>
    <row r="62" spans="1:15" x14ac:dyDescent="0.2">
      <c r="A62" s="1"/>
      <c r="B62" s="1"/>
      <c r="C62" s="69">
        <v>25</v>
      </c>
      <c r="D62" s="70">
        <f>(E44+E51)/I46</f>
        <v>2.0835623999999999</v>
      </c>
      <c r="E62" s="70">
        <f>(J44+F51)/I46</f>
        <v>2.4586036319999995</v>
      </c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</row>
    <row r="63" spans="1:15" x14ac:dyDescent="0.2">
      <c r="A63" s="1"/>
      <c r="B63" s="1"/>
      <c r="C63" s="69">
        <v>25</v>
      </c>
      <c r="D63" s="70">
        <f>(E44+E52)/I46</f>
        <v>2.1776301966101697</v>
      </c>
      <c r="E63" s="70">
        <f>(J44+F52)/I46</f>
        <v>2.5696036319999993</v>
      </c>
      <c r="F63" s="51" t="s">
        <v>90</v>
      </c>
      <c r="G63" s="33">
        <f>E63/0.88</f>
        <v>2.9200041272727266</v>
      </c>
      <c r="H63" s="20">
        <f>G63+0.5</f>
        <v>3.4200041272727266</v>
      </c>
      <c r="I63" s="1"/>
      <c r="J63" s="1"/>
      <c r="K63" s="103"/>
      <c r="L63" s="103"/>
      <c r="M63" s="103"/>
      <c r="N63" s="103"/>
      <c r="O63" s="103"/>
    </row>
    <row r="64" spans="1:15" x14ac:dyDescent="0.2">
      <c r="A64" s="1"/>
      <c r="B64" s="1"/>
      <c r="C64" s="69">
        <v>5</v>
      </c>
      <c r="D64" s="70">
        <f>(E44+E53)/I46</f>
        <v>2.5024607050847458</v>
      </c>
      <c r="E64" s="70">
        <f>D64*D35</f>
        <v>2.9529036319999999</v>
      </c>
      <c r="F64" s="61" t="s">
        <v>94</v>
      </c>
      <c r="G64" s="39">
        <f>E64/0.88</f>
        <v>3.3555723090909089</v>
      </c>
      <c r="H64" s="7">
        <f>G64+0.5</f>
        <v>3.8555723090909089</v>
      </c>
      <c r="I64" s="4"/>
      <c r="J64" s="1"/>
      <c r="K64" s="103"/>
      <c r="L64" s="103"/>
      <c r="M64" s="103"/>
      <c r="N64" s="103"/>
      <c r="O64" s="103"/>
    </row>
    <row r="65" spans="1:15" x14ac:dyDescent="0.2">
      <c r="A65" s="86"/>
      <c r="B65" s="86"/>
      <c r="C65" s="69">
        <v>1</v>
      </c>
      <c r="D65" s="70">
        <f>(E54+E44)/I46</f>
        <v>4.0465285016949153</v>
      </c>
      <c r="E65" s="70">
        <f>D65*D35</f>
        <v>4.774903632</v>
      </c>
      <c r="F65" s="61" t="s">
        <v>95</v>
      </c>
      <c r="G65" s="87">
        <f>E65/0.88</f>
        <v>5.4260268545454542</v>
      </c>
      <c r="H65" s="7">
        <f>G65+0.5</f>
        <v>5.9260268545454542</v>
      </c>
      <c r="I65" s="4"/>
      <c r="J65" s="1"/>
      <c r="K65" s="103"/>
      <c r="L65" s="103"/>
      <c r="M65" s="103"/>
      <c r="N65" s="103"/>
      <c r="O65" s="103"/>
    </row>
    <row r="66" spans="1:15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</row>
    <row r="67" spans="1:15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</row>
    <row r="68" spans="1:15" x14ac:dyDescent="0.2">
      <c r="A68" s="693"/>
      <c r="B68" s="693"/>
      <c r="C68" s="93"/>
      <c r="D68" s="92"/>
      <c r="E68" s="591"/>
      <c r="F68" s="92"/>
      <c r="G68" s="591"/>
      <c r="H68" s="73"/>
      <c r="I68" s="1"/>
      <c r="J68" s="1"/>
      <c r="K68" s="103"/>
      <c r="L68" s="103"/>
      <c r="M68" s="103"/>
      <c r="N68" s="103"/>
      <c r="O68" s="103"/>
    </row>
    <row r="69" spans="1:15" x14ac:dyDescent="0.2">
      <c r="A69" s="693"/>
      <c r="B69" s="693"/>
      <c r="C69" s="93"/>
      <c r="D69" s="92"/>
      <c r="E69" s="591"/>
      <c r="F69" s="92"/>
      <c r="G69" s="591"/>
      <c r="H69" s="73"/>
      <c r="I69" s="1"/>
      <c r="J69" s="1"/>
      <c r="K69" s="103"/>
      <c r="L69" s="103"/>
      <c r="M69" s="103"/>
      <c r="N69" s="103"/>
      <c r="O69" s="103"/>
    </row>
  </sheetData>
  <mergeCells count="54">
    <mergeCell ref="A68:B68"/>
    <mergeCell ref="A69:B69"/>
    <mergeCell ref="L55:M55"/>
    <mergeCell ref="N55:O55"/>
    <mergeCell ref="A60:B60"/>
    <mergeCell ref="A66:B66"/>
    <mergeCell ref="A67:B67"/>
    <mergeCell ref="L53:M53"/>
    <mergeCell ref="N53:O53"/>
    <mergeCell ref="L54:M54"/>
    <mergeCell ref="N54:O54"/>
    <mergeCell ref="L51:M51"/>
    <mergeCell ref="N51:O51"/>
    <mergeCell ref="L52:M52"/>
    <mergeCell ref="N52:O52"/>
    <mergeCell ref="L49:M49"/>
    <mergeCell ref="N49:O49"/>
    <mergeCell ref="L50:M50"/>
    <mergeCell ref="N50:O50"/>
    <mergeCell ref="L47:M47"/>
    <mergeCell ref="N47:O47"/>
    <mergeCell ref="L48:M48"/>
    <mergeCell ref="N48:O48"/>
    <mergeCell ref="L31:N31"/>
    <mergeCell ref="L45:O45"/>
    <mergeCell ref="L46:M46"/>
    <mergeCell ref="N46:O46"/>
    <mergeCell ref="L28:N28"/>
    <mergeCell ref="L29:N29"/>
    <mergeCell ref="L23:N23"/>
    <mergeCell ref="L24:N24"/>
    <mergeCell ref="L30:N30"/>
    <mergeCell ref="L25:N25"/>
    <mergeCell ref="L26:N26"/>
    <mergeCell ref="L27:N27"/>
    <mergeCell ref="L19:N19"/>
    <mergeCell ref="B20:D20"/>
    <mergeCell ref="L20:N20"/>
    <mergeCell ref="L21:N21"/>
    <mergeCell ref="B22:D22"/>
    <mergeCell ref="L22:N22"/>
    <mergeCell ref="L14:M14"/>
    <mergeCell ref="N16:O16"/>
    <mergeCell ref="B17:D17"/>
    <mergeCell ref="L17:N17"/>
    <mergeCell ref="L18:N18"/>
    <mergeCell ref="N14:O15"/>
    <mergeCell ref="B32:D32"/>
    <mergeCell ref="I6:K6"/>
    <mergeCell ref="I7:J7"/>
    <mergeCell ref="I8:J8"/>
    <mergeCell ref="G9:H9"/>
    <mergeCell ref="I9:J9"/>
    <mergeCell ref="I10:J10"/>
  </mergeCells>
  <pageMargins left="0.78740157499999996" right="0.78740157499999996" top="0.984251969" bottom="0.984251969" header="0.49212598499999999" footer="0.49212598499999999"/>
  <pageSetup scale="70" orientation="portrait" horizont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0"/>
  <sheetViews>
    <sheetView topLeftCell="A25" zoomScale="82" zoomScaleNormal="82" workbookViewId="0">
      <selection activeCell="H33" sqref="H33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t="12.75" hidden="1" customHeight="1" x14ac:dyDescent="0.2"/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521</v>
      </c>
      <c r="D7" s="63"/>
      <c r="E7" s="63"/>
      <c r="F7" s="63"/>
      <c r="G7" s="24"/>
      <c r="H7" s="592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266</v>
      </c>
      <c r="D9" s="9"/>
      <c r="E9" s="9"/>
      <c r="F9" s="294" t="s">
        <v>34</v>
      </c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/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98" t="s">
        <v>67</v>
      </c>
      <c r="M15" s="598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97" t="s">
        <v>121</v>
      </c>
      <c r="L16" s="118">
        <v>1000</v>
      </c>
      <c r="M16" s="116">
        <f>L16*D35</f>
        <v>1280</v>
      </c>
      <c r="N16" s="714"/>
      <c r="O16" s="715"/>
      <c r="P16" s="598" t="s">
        <v>153</v>
      </c>
      <c r="Q16" s="598" t="s">
        <v>124</v>
      </c>
      <c r="R16" s="103"/>
    </row>
    <row r="17" spans="1:22" x14ac:dyDescent="0.2">
      <c r="A17" s="1"/>
      <c r="B17" s="810" t="s">
        <v>49</v>
      </c>
      <c r="C17" s="811"/>
      <c r="D17" s="812"/>
      <c r="E17" s="315">
        <f>F17/10</f>
        <v>13.438999999999998</v>
      </c>
      <c r="F17" s="367">
        <v>134.38999999999999</v>
      </c>
      <c r="G17" s="357" t="s">
        <v>125</v>
      </c>
      <c r="H17" s="156">
        <f>'[9]Base Preços MP'!G10</f>
        <v>0.01</v>
      </c>
      <c r="I17" s="357">
        <f>E20*21/100+E26*7/100</f>
        <v>2.6124000000000001</v>
      </c>
      <c r="J17" s="374">
        <f>F17*H17</f>
        <v>1.3438999999999999</v>
      </c>
      <c r="K17" s="111">
        <f>I17*1.34*10</f>
        <v>35.006160000000001</v>
      </c>
      <c r="L17" s="676" t="str">
        <f t="shared" ref="L17:L30" si="0">B17</f>
        <v>Agua</v>
      </c>
      <c r="M17" s="677"/>
      <c r="N17" s="678"/>
      <c r="O17" s="117">
        <f>F17*M16/1000</f>
        <v>172.01919999999998</v>
      </c>
      <c r="P17" s="109">
        <v>7.0724400000000003</v>
      </c>
      <c r="Q17" s="375" t="s">
        <v>125</v>
      </c>
      <c r="R17" s="103"/>
      <c r="U17" s="144"/>
      <c r="V17" s="146"/>
    </row>
    <row r="18" spans="1:22" x14ac:dyDescent="0.2">
      <c r="A18" s="1"/>
      <c r="B18" s="807" t="s">
        <v>242</v>
      </c>
      <c r="C18" s="808"/>
      <c r="D18" s="809"/>
      <c r="E18" s="315">
        <f>F18/10</f>
        <v>5.6590000000000007</v>
      </c>
      <c r="F18" s="83">
        <v>56.59</v>
      </c>
      <c r="G18" s="357" t="s">
        <v>69</v>
      </c>
      <c r="H18" s="157">
        <f>'Base Preços MP'!G15</f>
        <v>4.95</v>
      </c>
      <c r="I18" s="357">
        <f>E19*60/100</f>
        <v>0</v>
      </c>
      <c r="J18" s="374">
        <f>F18*H18</f>
        <v>280.12050000000005</v>
      </c>
      <c r="K18" s="111">
        <f t="shared" ref="K18:K27" si="1">I18*1.34*10</f>
        <v>0</v>
      </c>
      <c r="L18" s="676" t="str">
        <f t="shared" si="0"/>
        <v>Acido Fosforico</v>
      </c>
      <c r="M18" s="677"/>
      <c r="N18" s="678"/>
      <c r="O18" s="117">
        <f>F18*M16/1000</f>
        <v>72.435200000000009</v>
      </c>
      <c r="P18" s="109">
        <v>1.7885999999999997</v>
      </c>
      <c r="Q18" s="375" t="s">
        <v>69</v>
      </c>
      <c r="R18" s="103"/>
      <c r="U18" s="144"/>
      <c r="V18" s="146"/>
    </row>
    <row r="19" spans="1:22" x14ac:dyDescent="0.2">
      <c r="A19" s="1"/>
      <c r="B19" s="682"/>
      <c r="C19" s="724"/>
      <c r="D19" s="725"/>
      <c r="E19" s="315">
        <f t="shared" ref="E19:E30" si="2">F19/10</f>
        <v>0</v>
      </c>
      <c r="F19" s="83"/>
      <c r="G19" s="357" t="s">
        <v>110</v>
      </c>
      <c r="H19" s="157"/>
      <c r="I19" s="357">
        <f>E18*75.5/100+E25*60/100</f>
        <v>22.474745000000002</v>
      </c>
      <c r="J19" s="374">
        <f>F19*H19</f>
        <v>0</v>
      </c>
      <c r="K19" s="111">
        <f t="shared" si="1"/>
        <v>301.16158300000006</v>
      </c>
      <c r="L19" s="676">
        <f t="shared" si="0"/>
        <v>0</v>
      </c>
      <c r="M19" s="677"/>
      <c r="N19" s="678"/>
      <c r="O19" s="117">
        <f>F19*M16/1000</f>
        <v>0</v>
      </c>
      <c r="P19" s="109">
        <v>5.9720309999999994</v>
      </c>
      <c r="Q19" s="375" t="s">
        <v>110</v>
      </c>
      <c r="R19" s="103"/>
      <c r="U19" s="144"/>
      <c r="V19" s="146"/>
    </row>
    <row r="20" spans="1:22" x14ac:dyDescent="0.2">
      <c r="A20" s="1"/>
      <c r="B20" s="807" t="s">
        <v>523</v>
      </c>
      <c r="C20" s="808"/>
      <c r="D20" s="809"/>
      <c r="E20" s="315">
        <f t="shared" si="2"/>
        <v>12.440000000000001</v>
      </c>
      <c r="F20" s="83">
        <v>124.4</v>
      </c>
      <c r="G20" s="357" t="s">
        <v>106</v>
      </c>
      <c r="H20" s="158">
        <f>'Base Preços MP'!G38</f>
        <v>0.9</v>
      </c>
      <c r="I20" s="357">
        <f>E27*27/100</f>
        <v>9.3762899999999991</v>
      </c>
      <c r="J20" s="374">
        <f>H20*F20</f>
        <v>111.96000000000001</v>
      </c>
      <c r="K20" s="111">
        <f t="shared" si="1"/>
        <v>125.642286</v>
      </c>
      <c r="L20" s="676" t="str">
        <f t="shared" si="0"/>
        <v>Nitrato de Amonio liquido 21 % Bunge</v>
      </c>
      <c r="M20" s="677"/>
      <c r="N20" s="678"/>
      <c r="O20" s="117">
        <f>F20*M16/1000</f>
        <v>159.232</v>
      </c>
      <c r="P20" s="109">
        <v>4.3502400000000003</v>
      </c>
      <c r="Q20" s="375" t="s">
        <v>106</v>
      </c>
      <c r="R20" s="103"/>
      <c r="U20" s="144"/>
      <c r="V20" s="146"/>
    </row>
    <row r="21" spans="1:22" x14ac:dyDescent="0.2">
      <c r="A21" s="1"/>
      <c r="B21" s="813" t="s">
        <v>244</v>
      </c>
      <c r="C21" s="814"/>
      <c r="D21" s="815"/>
      <c r="E21" s="315">
        <f t="shared" si="2"/>
        <v>0.16699999999999998</v>
      </c>
      <c r="F21" s="368">
        <v>1.67</v>
      </c>
      <c r="G21" s="357" t="s">
        <v>107</v>
      </c>
      <c r="H21" s="158">
        <f>'Base Preços MP'!G43</f>
        <v>2.7</v>
      </c>
      <c r="I21" s="357">
        <f>E26*7/100</f>
        <v>0</v>
      </c>
      <c r="J21" s="374">
        <f t="shared" ref="J21:J30" si="3">F21*H21</f>
        <v>4.5090000000000003</v>
      </c>
      <c r="K21" s="111">
        <f t="shared" si="1"/>
        <v>0</v>
      </c>
      <c r="L21" s="686" t="str">
        <f t="shared" si="0"/>
        <v>Nitrato de Mn 12%</v>
      </c>
      <c r="M21" s="686"/>
      <c r="N21" s="686"/>
      <c r="O21" s="117">
        <f>F21*M16/1000</f>
        <v>2.1375999999999999</v>
      </c>
      <c r="P21" s="161">
        <v>0.41426000000000002</v>
      </c>
      <c r="Q21" s="375" t="s">
        <v>107</v>
      </c>
      <c r="R21" s="103"/>
      <c r="U21" s="144"/>
      <c r="V21" s="146"/>
    </row>
    <row r="22" spans="1:22" x14ac:dyDescent="0.2">
      <c r="A22" s="1"/>
      <c r="B22" s="807" t="s">
        <v>246</v>
      </c>
      <c r="C22" s="808"/>
      <c r="D22" s="809"/>
      <c r="E22" s="315">
        <f t="shared" si="2"/>
        <v>5.3000000000000005E-2</v>
      </c>
      <c r="F22" s="368">
        <v>0.53</v>
      </c>
      <c r="G22" s="357" t="s">
        <v>108</v>
      </c>
      <c r="H22" s="158">
        <f>'Base Preços MP'!G42</f>
        <v>4.25</v>
      </c>
      <c r="I22" s="357">
        <f>E21*14/100</f>
        <v>2.3379999999999998E-2</v>
      </c>
      <c r="J22" s="374">
        <f>F22*H22</f>
        <v>2.2524999999999999</v>
      </c>
      <c r="K22" s="111">
        <f t="shared" si="1"/>
        <v>0.31329200000000001</v>
      </c>
      <c r="L22" s="687" t="str">
        <f t="shared" si="0"/>
        <v>Nitrato de Zn 15%</v>
      </c>
      <c r="M22" s="687"/>
      <c r="N22" s="687"/>
      <c r="O22" s="117">
        <f>F22*M16/1000</f>
        <v>0.67840000000000011</v>
      </c>
      <c r="P22" s="161">
        <v>2.198E-2</v>
      </c>
      <c r="Q22" s="375" t="s">
        <v>108</v>
      </c>
      <c r="R22" s="103"/>
      <c r="U22" s="144"/>
      <c r="V22" s="146"/>
    </row>
    <row r="23" spans="1:22" x14ac:dyDescent="0.2">
      <c r="A23" s="1"/>
      <c r="B23" s="816"/>
      <c r="C23" s="817"/>
      <c r="D23" s="818"/>
      <c r="E23" s="315">
        <f t="shared" si="2"/>
        <v>0</v>
      </c>
      <c r="F23" s="83"/>
      <c r="G23" s="357" t="s">
        <v>109</v>
      </c>
      <c r="H23" s="158"/>
      <c r="I23" s="315">
        <f>E22*21/100</f>
        <v>1.1130000000000003E-2</v>
      </c>
      <c r="J23" s="374">
        <f t="shared" si="3"/>
        <v>0</v>
      </c>
      <c r="K23" s="111">
        <f t="shared" si="1"/>
        <v>0.14914200000000005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375" t="s">
        <v>109</v>
      </c>
      <c r="R23" s="103"/>
      <c r="U23" s="144"/>
      <c r="V23" s="146"/>
    </row>
    <row r="24" spans="1:22" x14ac:dyDescent="0.2">
      <c r="A24" s="1"/>
      <c r="B24" s="807" t="s">
        <v>130</v>
      </c>
      <c r="C24" s="808"/>
      <c r="D24" s="809"/>
      <c r="E24" s="315">
        <f t="shared" si="2"/>
        <v>1.4000000000000002E-2</v>
      </c>
      <c r="F24" s="83">
        <v>0.14000000000000001</v>
      </c>
      <c r="G24" s="357" t="s">
        <v>111</v>
      </c>
      <c r="H24" s="158">
        <f>'Base Preços MP'!G29</f>
        <v>10.3</v>
      </c>
      <c r="I24" s="315">
        <f>E24*14/100</f>
        <v>1.9600000000000004E-3</v>
      </c>
      <c r="J24" s="374">
        <f>F24*H24</f>
        <v>1.4420000000000002</v>
      </c>
      <c r="K24" s="111">
        <f t="shared" si="1"/>
        <v>2.6264000000000006E-2</v>
      </c>
      <c r="L24" s="687" t="str">
        <f t="shared" si="0"/>
        <v>Cloreto de Cu 14% liquido</v>
      </c>
      <c r="M24" s="687"/>
      <c r="N24" s="687"/>
      <c r="O24" s="117">
        <f>F24*M16/1000</f>
        <v>0.17920000000000003</v>
      </c>
      <c r="P24" s="161">
        <v>7.4200000000000002E-2</v>
      </c>
      <c r="Q24" s="375" t="s">
        <v>111</v>
      </c>
      <c r="R24" s="103"/>
      <c r="U24" s="144"/>
      <c r="V24" s="146"/>
    </row>
    <row r="25" spans="1:22" x14ac:dyDescent="0.2">
      <c r="A25" s="1"/>
      <c r="B25" s="807" t="s">
        <v>170</v>
      </c>
      <c r="C25" s="808"/>
      <c r="D25" s="809"/>
      <c r="E25" s="315">
        <f t="shared" si="2"/>
        <v>30.337</v>
      </c>
      <c r="F25" s="83">
        <v>303.37</v>
      </c>
      <c r="G25" s="357" t="s">
        <v>112</v>
      </c>
      <c r="H25" s="158">
        <f>'Base Preços MP'!G26</f>
        <v>0.53</v>
      </c>
      <c r="I25" s="315">
        <f>E23*13/100</f>
        <v>0</v>
      </c>
      <c r="J25" s="374">
        <f>F25*H25</f>
        <v>160.7861</v>
      </c>
      <c r="K25" s="111">
        <f t="shared" si="1"/>
        <v>0</v>
      </c>
      <c r="L25" s="687" t="str">
        <f t="shared" si="0"/>
        <v>Cloreto de Potasio 15%</v>
      </c>
      <c r="M25" s="687"/>
      <c r="N25" s="687"/>
      <c r="O25" s="117">
        <f>F25*M16/1000</f>
        <v>388.31359999999995</v>
      </c>
      <c r="P25" s="161">
        <v>5.382E-2</v>
      </c>
      <c r="Q25" s="375" t="s">
        <v>112</v>
      </c>
      <c r="R25" s="103"/>
      <c r="U25" s="144"/>
      <c r="V25" s="146"/>
    </row>
    <row r="26" spans="1:22" x14ac:dyDescent="0.2">
      <c r="A26" s="1"/>
      <c r="B26" s="682"/>
      <c r="C26" s="724"/>
      <c r="D26" s="725"/>
      <c r="E26" s="315">
        <f t="shared" si="2"/>
        <v>0</v>
      </c>
      <c r="F26" s="83"/>
      <c r="G26" s="357" t="s">
        <v>105</v>
      </c>
      <c r="H26" s="159"/>
      <c r="I26" s="369">
        <f>E28*17/100</f>
        <v>1.0029999999999999E-2</v>
      </c>
      <c r="J26" s="374">
        <f t="shared" si="3"/>
        <v>0</v>
      </c>
      <c r="K26" s="111">
        <f t="shared" si="1"/>
        <v>0.13440199999999999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375" t="s">
        <v>105</v>
      </c>
      <c r="R26" s="103"/>
      <c r="U26" s="144"/>
      <c r="V26" s="146"/>
    </row>
    <row r="27" spans="1:22" x14ac:dyDescent="0.2">
      <c r="A27" s="1"/>
      <c r="B27" s="807" t="s">
        <v>243</v>
      </c>
      <c r="C27" s="808"/>
      <c r="D27" s="809"/>
      <c r="E27" s="315">
        <f t="shared" si="2"/>
        <v>34.726999999999997</v>
      </c>
      <c r="F27" s="83">
        <v>347.27</v>
      </c>
      <c r="G27" s="357" t="s">
        <v>122</v>
      </c>
      <c r="H27" s="159">
        <f>'Base Preços MP'!G40</f>
        <v>1.4</v>
      </c>
      <c r="I27" s="369">
        <f>E29*39/100</f>
        <v>1.9500000000000001E-3</v>
      </c>
      <c r="J27" s="374">
        <f t="shared" si="3"/>
        <v>486.17799999999994</v>
      </c>
      <c r="K27" s="111">
        <f t="shared" si="1"/>
        <v>2.6130000000000004E-2</v>
      </c>
      <c r="L27" s="687" t="str">
        <f t="shared" si="0"/>
        <v>Nitrato de Ca 12%</v>
      </c>
      <c r="M27" s="687"/>
      <c r="N27" s="687"/>
      <c r="O27" s="117">
        <f>F27*M16/1000</f>
        <v>444.50559999999996</v>
      </c>
      <c r="P27" s="161">
        <v>2.7300000000000002E-3</v>
      </c>
      <c r="Q27" s="375" t="s">
        <v>122</v>
      </c>
      <c r="R27" s="103"/>
      <c r="U27" s="144"/>
      <c r="V27" s="146"/>
    </row>
    <row r="28" spans="1:22" x14ac:dyDescent="0.2">
      <c r="A28" s="1"/>
      <c r="B28" s="807" t="s">
        <v>30</v>
      </c>
      <c r="C28" s="808"/>
      <c r="D28" s="809"/>
      <c r="E28" s="315">
        <f t="shared" si="2"/>
        <v>5.8999999999999997E-2</v>
      </c>
      <c r="F28" s="83">
        <v>0.59</v>
      </c>
      <c r="G28" s="1"/>
      <c r="H28" s="159">
        <f>'Base Preços MP'!G11</f>
        <v>3.4</v>
      </c>
      <c r="I28" s="1"/>
      <c r="J28" s="374">
        <f>F28*H28</f>
        <v>2.0059999999999998</v>
      </c>
      <c r="K28" s="103"/>
      <c r="L28" s="687" t="str">
        <f t="shared" si="0"/>
        <v>Acido Borico</v>
      </c>
      <c r="M28" s="687"/>
      <c r="N28" s="687"/>
      <c r="O28" s="117">
        <f>F28*M16/1000</f>
        <v>0.75519999999999998</v>
      </c>
      <c r="P28" s="103"/>
      <c r="Q28" s="103"/>
      <c r="R28" s="103"/>
      <c r="U28" s="144"/>
      <c r="V28" s="146"/>
    </row>
    <row r="29" spans="1:22" x14ac:dyDescent="0.2">
      <c r="A29" s="1"/>
      <c r="B29" s="807" t="s">
        <v>28</v>
      </c>
      <c r="C29" s="808"/>
      <c r="D29" s="809"/>
      <c r="E29" s="315">
        <f t="shared" si="2"/>
        <v>5.0000000000000001E-3</v>
      </c>
      <c r="F29" s="173">
        <v>0.05</v>
      </c>
      <c r="G29" s="1"/>
      <c r="H29" s="159">
        <f>'Base Preços MP'!G37</f>
        <v>52</v>
      </c>
      <c r="I29" s="1"/>
      <c r="J29" s="374">
        <f t="shared" si="3"/>
        <v>2.6</v>
      </c>
      <c r="K29" s="103"/>
      <c r="L29" s="687" t="str">
        <f t="shared" si="0"/>
        <v>Molbdato de Sodio</v>
      </c>
      <c r="M29" s="687"/>
      <c r="N29" s="687"/>
      <c r="O29" s="117">
        <f>F29*M16/1000</f>
        <v>6.4000000000000001E-2</v>
      </c>
      <c r="P29" s="103"/>
      <c r="Q29" s="103"/>
      <c r="R29" s="103"/>
      <c r="U29" s="144"/>
      <c r="V29" s="146"/>
    </row>
    <row r="30" spans="1:22" x14ac:dyDescent="0.2">
      <c r="A30" s="1"/>
      <c r="B30" s="807" t="s">
        <v>267</v>
      </c>
      <c r="C30" s="808"/>
      <c r="D30" s="809"/>
      <c r="E30" s="315">
        <f t="shared" si="2"/>
        <v>0.5</v>
      </c>
      <c r="F30" s="83">
        <v>5</v>
      </c>
      <c r="G30" s="1"/>
      <c r="H30" s="159">
        <f>'Base Preços MP'!G24</f>
        <v>4.3</v>
      </c>
      <c r="I30" s="1"/>
      <c r="J30" s="374">
        <f t="shared" si="3"/>
        <v>21.5</v>
      </c>
      <c r="K30" s="103"/>
      <c r="L30" s="687" t="str">
        <f t="shared" si="0"/>
        <v>Acido citrico</v>
      </c>
      <c r="M30" s="687"/>
      <c r="N30" s="687"/>
      <c r="O30" s="117">
        <f>F30*M16/1000</f>
        <v>6.4</v>
      </c>
      <c r="P30" s="103"/>
      <c r="Q30" s="103"/>
      <c r="R30" s="103"/>
      <c r="U30" s="144"/>
      <c r="V30" s="146"/>
    </row>
    <row r="31" spans="1:22" x14ac:dyDescent="0.2">
      <c r="A31" s="1"/>
      <c r="B31" s="683"/>
      <c r="C31" s="726"/>
      <c r="D31" s="727"/>
      <c r="E31" s="315">
        <f>SUM(E17:E30)</f>
        <v>97.399999999999991</v>
      </c>
      <c r="F31" s="83"/>
      <c r="G31" s="1"/>
      <c r="H31" s="159"/>
      <c r="I31" s="1"/>
      <c r="J31" s="374">
        <f>F31*H31</f>
        <v>0</v>
      </c>
      <c r="K31" s="103"/>
      <c r="L31" s="687">
        <f>B31</f>
        <v>0</v>
      </c>
      <c r="M31" s="687"/>
      <c r="N31" s="687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804" t="s">
        <v>245</v>
      </c>
      <c r="C32" s="805"/>
      <c r="D32" s="806"/>
      <c r="E32" s="147"/>
      <c r="F32" s="376">
        <v>26</v>
      </c>
      <c r="G32" s="103"/>
      <c r="H32" s="159">
        <f>'Base Preços MP'!G12</f>
        <v>5.0999999999999996</v>
      </c>
      <c r="I32" s="103"/>
      <c r="J32" s="281">
        <f>F32*H32</f>
        <v>132.6</v>
      </c>
      <c r="K32" s="103"/>
      <c r="L32" s="795" t="str">
        <f>B32</f>
        <v>Potassa caustica</v>
      </c>
      <c r="M32" s="796"/>
      <c r="N32" s="797"/>
      <c r="O32" s="288">
        <f>F32*M16/1000</f>
        <v>33.28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>
        <f>SUM(F17:F32)</f>
        <v>999.99999999999989</v>
      </c>
      <c r="G33" s="103"/>
      <c r="H33" s="108"/>
      <c r="I33" s="103"/>
      <c r="J33" s="108"/>
      <c r="K33" s="103"/>
      <c r="L33" s="103"/>
      <c r="M33" s="103"/>
      <c r="N33" s="103"/>
      <c r="O33" s="121">
        <f>SUM(O17:O32)</f>
        <v>1280</v>
      </c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315"/>
      <c r="Q34" s="103"/>
      <c r="R34" s="103"/>
    </row>
    <row r="35" spans="1:18" ht="13.5" thickBot="1" x14ac:dyDescent="0.25">
      <c r="A35" s="1"/>
      <c r="B35" s="1" t="s">
        <v>2</v>
      </c>
      <c r="C35" s="1"/>
      <c r="D35" s="206">
        <v>1.28</v>
      </c>
      <c r="E35" s="1"/>
      <c r="F35" s="1"/>
      <c r="G35" s="1"/>
      <c r="H35" s="1" t="s">
        <v>1</v>
      </c>
      <c r="I35" s="1"/>
      <c r="J35" s="1">
        <f>SUM(J17:J34)</f>
        <v>1207.298</v>
      </c>
      <c r="K35" s="103"/>
      <c r="L35" s="103"/>
      <c r="M35" s="103"/>
      <c r="N35" s="103"/>
      <c r="O35" s="103"/>
      <c r="P35" s="357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259</v>
      </c>
      <c r="N36" s="103"/>
      <c r="O36" s="103"/>
      <c r="P36" s="357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89" t="s">
        <v>256</v>
      </c>
      <c r="M37" s="189">
        <v>40</v>
      </c>
      <c r="N37" s="103"/>
      <c r="O37" s="103"/>
      <c r="P37" s="357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/>
      <c r="N38" s="103"/>
      <c r="O38" s="103"/>
      <c r="P38" s="357"/>
      <c r="Q38" s="103"/>
      <c r="R38" s="103"/>
    </row>
    <row r="39" spans="1:18" x14ac:dyDescent="0.2">
      <c r="A39" s="1"/>
      <c r="B39" s="23" t="s">
        <v>10</v>
      </c>
      <c r="C39" s="1"/>
      <c r="D39" s="27"/>
      <c r="E39" s="264">
        <f>(J35/D35)/1000</f>
        <v>0.94320156249999998</v>
      </c>
      <c r="F39" s="315"/>
      <c r="G39" s="1" t="s">
        <v>16</v>
      </c>
      <c r="H39" s="23"/>
      <c r="I39" s="27"/>
      <c r="J39" s="29">
        <f>E39*D35</f>
        <v>1.207298</v>
      </c>
      <c r="K39" s="103"/>
      <c r="L39" s="103" t="s">
        <v>257</v>
      </c>
      <c r="M39" s="103"/>
      <c r="N39" s="103"/>
      <c r="O39" s="103"/>
      <c r="P39" s="357"/>
      <c r="Q39" s="103"/>
      <c r="R39" s="103"/>
    </row>
    <row r="40" spans="1:18" x14ac:dyDescent="0.2">
      <c r="A40" s="1"/>
      <c r="B40" s="3" t="s">
        <v>11</v>
      </c>
      <c r="C40" s="1"/>
      <c r="D40" s="28"/>
      <c r="E40" s="68">
        <v>0.09</v>
      </c>
      <c r="F40" s="364"/>
      <c r="G40" s="3" t="s">
        <v>17</v>
      </c>
      <c r="H40" s="1"/>
      <c r="I40" s="39"/>
      <c r="J40" s="68">
        <f>E40*D35</f>
        <v>0.1152</v>
      </c>
      <c r="K40" s="103"/>
      <c r="L40" s="103"/>
      <c r="M40" s="103"/>
      <c r="N40" s="103"/>
      <c r="O40" s="103"/>
      <c r="P40" s="357"/>
      <c r="Q40" s="103"/>
      <c r="R40" s="103"/>
    </row>
    <row r="41" spans="1:18" x14ac:dyDescent="0.2">
      <c r="A41" s="1"/>
      <c r="B41" s="19" t="s">
        <v>14</v>
      </c>
      <c r="C41" s="4"/>
      <c r="D41" s="71"/>
      <c r="E41" s="68"/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357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357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357"/>
      <c r="Q43" s="103"/>
      <c r="R43" s="103"/>
    </row>
    <row r="44" spans="1:18" x14ac:dyDescent="0.2">
      <c r="A44" s="1"/>
      <c r="B44" s="3" t="s">
        <v>12</v>
      </c>
      <c r="C44" s="1"/>
      <c r="D44" s="71"/>
      <c r="E44" s="68">
        <f>E39+E40+E41+E42+E43</f>
        <v>1.0332015624999999</v>
      </c>
      <c r="F44" s="3"/>
      <c r="G44" s="3" t="s">
        <v>19</v>
      </c>
      <c r="H44" s="1"/>
      <c r="I44" s="39"/>
      <c r="J44" s="68">
        <f>J39+J40+J41+J42+J43</f>
        <v>1.322498</v>
      </c>
      <c r="K44" s="103"/>
      <c r="L44" s="103"/>
      <c r="M44" s="103"/>
      <c r="N44" s="103"/>
      <c r="O44" s="103"/>
      <c r="P44" s="357"/>
      <c r="Q44" s="103"/>
      <c r="R44" s="103"/>
    </row>
    <row r="45" spans="1:18" x14ac:dyDescent="0.2">
      <c r="A45" s="1"/>
      <c r="B45" s="3"/>
      <c r="C45" s="1"/>
      <c r="D45" s="28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357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 t="s">
        <v>247</v>
      </c>
      <c r="I47" s="33">
        <f>(100-J47)/100</f>
        <v>1</v>
      </c>
      <c r="J47" s="267"/>
      <c r="K47" s="103"/>
      <c r="L47" s="702"/>
      <c r="M47" s="697"/>
      <c r="N47" s="702"/>
      <c r="O47" s="697"/>
      <c r="P47" s="702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3">
        <v>0</v>
      </c>
      <c r="F48" s="6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507" t="s">
        <v>60</v>
      </c>
      <c r="E49" s="36">
        <f>F49/D35</f>
        <v>0</v>
      </c>
      <c r="F49" s="36">
        <f>'[9]Base Preços MP'!C82</f>
        <v>0</v>
      </c>
      <c r="G49" s="19"/>
      <c r="H49" s="318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'[9]Base Preços MP'!#REF!</f>
        <v>#REF!</v>
      </c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0.54390625000000004</v>
      </c>
      <c r="F51" s="36">
        <f>'[9]Base Preços MP'!C85</f>
        <v>0.69620000000000004</v>
      </c>
      <c r="G51" s="19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f>F52/D35</f>
        <v>0.39875000000000005</v>
      </c>
      <c r="F52" s="36">
        <f>'[9]Base Preços MP'!C87</f>
        <v>0.51040000000000008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0.93007812500000009</v>
      </c>
      <c r="F53" s="36">
        <f>'[9]Base Preços MP'!C89</f>
        <v>1.1905000000000001</v>
      </c>
      <c r="G53" s="19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f>F54/D35</f>
        <v>2.3535156249999996</v>
      </c>
      <c r="F54" s="36">
        <f>'[9]Base Preços MP'!C90</f>
        <v>3.0124999999999997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266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27" t="s">
        <v>401</v>
      </c>
      <c r="H58" s="56" t="s">
        <v>414</v>
      </c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271" t="s">
        <v>23</v>
      </c>
      <c r="D59" s="265">
        <f>E44/I46</f>
        <v>1.0332015624999999</v>
      </c>
      <c r="E59" s="265">
        <f>J44/I46</f>
        <v>1.322498</v>
      </c>
      <c r="F59" s="58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'[9]FUEL BLACK 20%'!A60:B60</f>
        <v>Contentor Incluido</v>
      </c>
      <c r="B60" s="1"/>
      <c r="C60" s="377">
        <v>1000</v>
      </c>
      <c r="D60" s="268">
        <f>(E44+E49)/I46</f>
        <v>1.0332015624999999</v>
      </c>
      <c r="E60" s="268">
        <f>(J44+F49)/I46</f>
        <v>1.322498</v>
      </c>
      <c r="F60" s="72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269">
        <v>50</v>
      </c>
      <c r="D61" s="268" t="e">
        <f>(E44+E50)/I46</f>
        <v>#REF!</v>
      </c>
      <c r="E61" s="268" t="e">
        <f>(J44+F50)/I46</f>
        <v>#REF!</v>
      </c>
      <c r="F61" s="61" t="s">
        <v>90</v>
      </c>
      <c r="G61" s="33"/>
      <c r="H61" s="56"/>
      <c r="I61" s="1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270">
        <v>25</v>
      </c>
      <c r="D62" s="268">
        <f>(E44+E51)/I46</f>
        <v>1.5771078125</v>
      </c>
      <c r="E62" s="268">
        <f>(J44+F51)/I46</f>
        <v>2.0186980000000001</v>
      </c>
      <c r="F62" s="5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270">
        <v>25</v>
      </c>
      <c r="D63" s="268">
        <f>(E44+E52)/I46</f>
        <v>1.4319515625000001</v>
      </c>
      <c r="E63" s="268">
        <f>(J44+F52)/I46</f>
        <v>1.8328980000000001</v>
      </c>
      <c r="F63" s="61" t="s">
        <v>90</v>
      </c>
      <c r="G63" s="33">
        <f>E63/0.88</f>
        <v>2.0828386363636366</v>
      </c>
      <c r="H63" s="20">
        <f>G63+0.5</f>
        <v>2.5828386363636366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270">
        <v>5</v>
      </c>
      <c r="D64" s="268">
        <f>(E44+E53)/I46</f>
        <v>1.9632796875</v>
      </c>
      <c r="E64" s="268">
        <f>D64*D35</f>
        <v>2.5129980000000001</v>
      </c>
      <c r="F64" s="51" t="s">
        <v>94</v>
      </c>
      <c r="G64" s="39">
        <f>E64/0.88</f>
        <v>2.8556795454545454</v>
      </c>
      <c r="H64" s="7">
        <f>G64+0.5</f>
        <v>3.3556795454545454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270">
        <v>1</v>
      </c>
      <c r="D65" s="268">
        <f>(E54+E44)/I46</f>
        <v>3.3867171874999995</v>
      </c>
      <c r="E65" s="268">
        <f>D65*D35</f>
        <v>4.3349979999999997</v>
      </c>
      <c r="F65" s="61" t="s">
        <v>95</v>
      </c>
      <c r="G65" s="87">
        <f>E65/0.88</f>
        <v>4.9261340909090903</v>
      </c>
      <c r="H65" s="7">
        <f>G65+0.5</f>
        <v>5.4261340909090903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270"/>
      <c r="D66" s="268"/>
      <c r="E66" s="268"/>
      <c r="F66" s="6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237"/>
      <c r="E67" s="86"/>
      <c r="F67" s="86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90"/>
      <c r="D68" s="90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591"/>
      <c r="F69" s="92"/>
      <c r="G69" s="5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591"/>
      <c r="F70" s="92"/>
      <c r="G70" s="5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6:K6"/>
    <mergeCell ref="I7:J7"/>
    <mergeCell ref="I8:J8"/>
    <mergeCell ref="G9:H9"/>
    <mergeCell ref="I9:J9"/>
    <mergeCell ref="L24:N24"/>
    <mergeCell ref="I10:J10"/>
    <mergeCell ref="L14:M14"/>
    <mergeCell ref="N16:O16"/>
    <mergeCell ref="L21:N21"/>
    <mergeCell ref="L25:N25"/>
    <mergeCell ref="B17:D17"/>
    <mergeCell ref="L17:N17"/>
    <mergeCell ref="L18:N18"/>
    <mergeCell ref="L19:N19"/>
    <mergeCell ref="B20:D20"/>
    <mergeCell ref="L20:N20"/>
    <mergeCell ref="B18:D18"/>
    <mergeCell ref="B19:D19"/>
    <mergeCell ref="B21:D21"/>
    <mergeCell ref="B23:D23"/>
    <mergeCell ref="B24:D24"/>
    <mergeCell ref="B25:D25"/>
    <mergeCell ref="B22:D22"/>
    <mergeCell ref="L22:N22"/>
    <mergeCell ref="L23:N23"/>
    <mergeCell ref="L31:N31"/>
    <mergeCell ref="B32:D32"/>
    <mergeCell ref="L32:N32"/>
    <mergeCell ref="L46:Q46"/>
    <mergeCell ref="L26:N26"/>
    <mergeCell ref="L27:N27"/>
    <mergeCell ref="L28:N28"/>
    <mergeCell ref="L29:N29"/>
    <mergeCell ref="L30:N30"/>
    <mergeCell ref="B26:D26"/>
    <mergeCell ref="B27:D27"/>
    <mergeCell ref="B28:D28"/>
    <mergeCell ref="B29:D29"/>
    <mergeCell ref="B30:D30"/>
    <mergeCell ref="B31:D31"/>
    <mergeCell ref="L47:M47"/>
    <mergeCell ref="N47:O47"/>
    <mergeCell ref="L48:M48"/>
    <mergeCell ref="N48:O48"/>
    <mergeCell ref="L49:M49"/>
    <mergeCell ref="N49:O49"/>
    <mergeCell ref="L55:M55"/>
    <mergeCell ref="N55:O55"/>
    <mergeCell ref="L50:M50"/>
    <mergeCell ref="N50:O50"/>
    <mergeCell ref="L51:M51"/>
    <mergeCell ref="N51:O51"/>
    <mergeCell ref="L52:M52"/>
    <mergeCell ref="N52:O52"/>
    <mergeCell ref="P47:Q47"/>
    <mergeCell ref="P48:Q48"/>
    <mergeCell ref="P49:Q49"/>
    <mergeCell ref="P50:Q50"/>
    <mergeCell ref="P51:Q51"/>
    <mergeCell ref="A70:B70"/>
    <mergeCell ref="P52:Q52"/>
    <mergeCell ref="P53:Q53"/>
    <mergeCell ref="P54:Q54"/>
    <mergeCell ref="P55:Q55"/>
    <mergeCell ref="L56:M56"/>
    <mergeCell ref="N56:O56"/>
    <mergeCell ref="P56:Q56"/>
    <mergeCell ref="A67:B67"/>
    <mergeCell ref="A68:B68"/>
    <mergeCell ref="A69:B69"/>
    <mergeCell ref="A61:B61"/>
    <mergeCell ref="L53:M53"/>
    <mergeCell ref="N53:O53"/>
    <mergeCell ref="L54:M54"/>
    <mergeCell ref="N54:O54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opLeftCell="B6" workbookViewId="0">
      <selection activeCell="H21" sqref="H21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ht="12.75" hidden="1" customHeight="1" x14ac:dyDescent="0.2"/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521</v>
      </c>
      <c r="D7" s="63"/>
      <c r="E7" s="63"/>
      <c r="F7" s="63"/>
      <c r="G7" s="24"/>
      <c r="H7" s="592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224</v>
      </c>
      <c r="D9" s="9"/>
      <c r="E9" s="9"/>
      <c r="F9" s="294" t="s">
        <v>34</v>
      </c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/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98" t="s">
        <v>67</v>
      </c>
      <c r="M15" s="598" t="s">
        <v>117</v>
      </c>
      <c r="N15" s="1"/>
      <c r="O15" s="1"/>
      <c r="P15" s="103"/>
      <c r="Q15" s="103"/>
      <c r="R15" s="597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97" t="s">
        <v>121</v>
      </c>
      <c r="L16" s="195">
        <v>1000</v>
      </c>
      <c r="M16" s="196">
        <f>L16*D37</f>
        <v>1280</v>
      </c>
      <c r="N16" s="714"/>
      <c r="O16" s="715"/>
      <c r="P16" s="599" t="s">
        <v>152</v>
      </c>
      <c r="Q16" s="366" t="s">
        <v>154</v>
      </c>
      <c r="R16" s="597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8.354000000000001</v>
      </c>
      <c r="F17" s="378">
        <v>83.54</v>
      </c>
      <c r="G17" s="357" t="s">
        <v>125</v>
      </c>
      <c r="H17" s="358">
        <f>'[8]Base Preços MP'!G10</f>
        <v>0.01</v>
      </c>
      <c r="I17" s="170">
        <f>E20*20/100+E26*7/100</f>
        <v>2.7830000000000004</v>
      </c>
      <c r="J17" s="359">
        <f>F17*H17</f>
        <v>0.83540000000000003</v>
      </c>
      <c r="K17" s="111">
        <f>I17*1.325*10</f>
        <v>36.874750000000006</v>
      </c>
      <c r="L17" s="676" t="str">
        <f t="shared" ref="L17:L32" si="0">B17</f>
        <v>Agua</v>
      </c>
      <c r="M17" s="677"/>
      <c r="N17" s="678"/>
      <c r="O17" s="117">
        <f>F17*M16/1000</f>
        <v>106.93120000000002</v>
      </c>
      <c r="P17" s="109">
        <v>6.02</v>
      </c>
      <c r="Q17" s="165" t="s">
        <v>125</v>
      </c>
      <c r="R17" s="166">
        <f>J17/994.31</f>
        <v>8.4018062777202289E-4</v>
      </c>
      <c r="U17" s="144"/>
      <c r="V17" s="146"/>
    </row>
    <row r="18" spans="1:22" x14ac:dyDescent="0.2">
      <c r="A18" s="1"/>
      <c r="B18" s="688" t="s">
        <v>167</v>
      </c>
      <c r="C18" s="689"/>
      <c r="D18" s="690"/>
      <c r="E18" s="315">
        <f t="shared" ref="E18:E32" si="1">F18/10</f>
        <v>1.03</v>
      </c>
      <c r="F18" s="290">
        <v>10.3</v>
      </c>
      <c r="G18" s="357" t="s">
        <v>69</v>
      </c>
      <c r="H18" s="360">
        <f>'Base Preços MP'!G12</f>
        <v>5.0999999999999996</v>
      </c>
      <c r="I18" s="170">
        <f>E19*60/100</f>
        <v>1.7658</v>
      </c>
      <c r="J18" s="359">
        <f>F18*H18</f>
        <v>52.53</v>
      </c>
      <c r="K18" s="111">
        <f t="shared" ref="K18:K27" si="2">I18*1.325*10</f>
        <v>23.396849999999997</v>
      </c>
      <c r="L18" s="676" t="str">
        <f t="shared" si="0"/>
        <v>Potasa Caustica en Escamas 90 %</v>
      </c>
      <c r="M18" s="677"/>
      <c r="N18" s="678"/>
      <c r="O18" s="117">
        <f>F18*M16/1000</f>
        <v>13.183999999999999</v>
      </c>
      <c r="P18" s="109">
        <v>2.11</v>
      </c>
      <c r="Q18" s="165" t="s">
        <v>69</v>
      </c>
      <c r="R18" s="166">
        <f t="shared" ref="R18:R34" si="3">J18/994.31</f>
        <v>5.2830606148987741E-2</v>
      </c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2.9430000000000001</v>
      </c>
      <c r="F19" s="290">
        <v>29.43</v>
      </c>
      <c r="G19" s="357" t="s">
        <v>110</v>
      </c>
      <c r="H19" s="360">
        <f>'Base Preços MP'!G15</f>
        <v>4.95</v>
      </c>
      <c r="I19" s="170">
        <f>E18*75.5/100+E25*60/100</f>
        <v>21.519050000000004</v>
      </c>
      <c r="J19" s="359">
        <f t="shared" ref="J19:J32" si="4">F19*H19</f>
        <v>145.67850000000001</v>
      </c>
      <c r="K19" s="111">
        <f t="shared" si="2"/>
        <v>285.12741250000005</v>
      </c>
      <c r="L19" s="676" t="str">
        <f t="shared" si="0"/>
        <v>Acido Fosforico Tecnico 60% liquido</v>
      </c>
      <c r="M19" s="677"/>
      <c r="N19" s="678"/>
      <c r="O19" s="117">
        <f>F19*M16/1000</f>
        <v>37.670400000000001</v>
      </c>
      <c r="P19" s="109">
        <v>6.02</v>
      </c>
      <c r="Q19" s="165" t="s">
        <v>110</v>
      </c>
      <c r="R19" s="166">
        <f t="shared" si="3"/>
        <v>0.14651215415715424</v>
      </c>
      <c r="U19" s="144"/>
      <c r="V19" s="146"/>
    </row>
    <row r="20" spans="1:22" x14ac:dyDescent="0.2">
      <c r="A20" s="1"/>
      <c r="B20" s="688" t="s">
        <v>522</v>
      </c>
      <c r="C20" s="689"/>
      <c r="D20" s="690"/>
      <c r="E20" s="315">
        <f t="shared" si="1"/>
        <v>8.245000000000001</v>
      </c>
      <c r="F20" s="290">
        <v>82.45</v>
      </c>
      <c r="G20" s="357" t="s">
        <v>106</v>
      </c>
      <c r="H20" s="361">
        <f>'Base Preços MP'!G38</f>
        <v>0.9</v>
      </c>
      <c r="I20" s="170">
        <f>E27*27/100</f>
        <v>2.7</v>
      </c>
      <c r="J20" s="359">
        <f>H20*F20</f>
        <v>74.204999999999998</v>
      </c>
      <c r="K20" s="111">
        <f t="shared" si="2"/>
        <v>35.774999999999999</v>
      </c>
      <c r="L20" s="676" t="str">
        <f t="shared" si="0"/>
        <v>Nitrato de Amonio Liquido 21 %</v>
      </c>
      <c r="M20" s="677"/>
      <c r="N20" s="678"/>
      <c r="O20" s="117">
        <f>F20*M16/1000</f>
        <v>105.536</v>
      </c>
      <c r="P20" s="109">
        <v>3.64</v>
      </c>
      <c r="Q20" s="165" t="s">
        <v>106</v>
      </c>
      <c r="R20" s="166">
        <f t="shared" si="3"/>
        <v>7.4629642666773952E-2</v>
      </c>
      <c r="U20" s="144"/>
      <c r="V20" s="146"/>
    </row>
    <row r="21" spans="1:22" x14ac:dyDescent="0.2">
      <c r="A21" s="1"/>
      <c r="B21" s="683" t="s">
        <v>275</v>
      </c>
      <c r="C21" s="726"/>
      <c r="D21" s="727"/>
      <c r="E21" s="315">
        <f t="shared" si="1"/>
        <v>0.24199999999999999</v>
      </c>
      <c r="F21" s="379">
        <v>2.42</v>
      </c>
      <c r="G21" s="357" t="s">
        <v>107</v>
      </c>
      <c r="H21" s="361">
        <f>'Base Preços MP'!G43</f>
        <v>2.7</v>
      </c>
      <c r="I21" s="171">
        <f>E26*7/100</f>
        <v>1.1339999999999999</v>
      </c>
      <c r="J21" s="359">
        <f t="shared" si="4"/>
        <v>6.5339999999999998</v>
      </c>
      <c r="K21" s="111">
        <f t="shared" si="2"/>
        <v>15.025499999999997</v>
      </c>
      <c r="L21" s="686" t="str">
        <f t="shared" si="0"/>
        <v>Nitrato de Mn Liquido</v>
      </c>
      <c r="M21" s="686"/>
      <c r="N21" s="686"/>
      <c r="O21" s="117">
        <f>F21*M16/1000</f>
        <v>3.0975999999999999</v>
      </c>
      <c r="P21" s="161">
        <v>0.81</v>
      </c>
      <c r="Q21" s="165" t="s">
        <v>107</v>
      </c>
      <c r="R21" s="166">
        <f t="shared" si="3"/>
        <v>6.571391216019149E-3</v>
      </c>
      <c r="U21" s="144"/>
      <c r="V21" s="146"/>
    </row>
    <row r="22" spans="1:22" x14ac:dyDescent="0.2">
      <c r="A22" s="1"/>
      <c r="B22" s="682" t="s">
        <v>268</v>
      </c>
      <c r="C22" s="724"/>
      <c r="D22" s="725"/>
      <c r="E22" s="315">
        <f t="shared" si="1"/>
        <v>0.12</v>
      </c>
      <c r="F22" s="379">
        <v>1.2</v>
      </c>
      <c r="G22" s="357" t="s">
        <v>108</v>
      </c>
      <c r="H22" s="361">
        <f>'Base Preços MP'!G42</f>
        <v>4.25</v>
      </c>
      <c r="I22" s="171">
        <f>E21*14/100</f>
        <v>3.388E-2</v>
      </c>
      <c r="J22" s="359">
        <f>F22*H22</f>
        <v>5.0999999999999996</v>
      </c>
      <c r="K22" s="111">
        <f t="shared" si="2"/>
        <v>0.44891000000000003</v>
      </c>
      <c r="L22" s="687" t="str">
        <f t="shared" si="0"/>
        <v>Nitrato de Zn</v>
      </c>
      <c r="M22" s="687"/>
      <c r="N22" s="687"/>
      <c r="O22" s="117">
        <f>F22*M16/1000</f>
        <v>1.536</v>
      </c>
      <c r="P22" s="161">
        <v>2.9000000000000001E-2</v>
      </c>
      <c r="Q22" s="165" t="s">
        <v>108</v>
      </c>
      <c r="R22" s="166">
        <f t="shared" si="3"/>
        <v>5.1291850630085182E-3</v>
      </c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1"/>
        <v>0.80800000000000005</v>
      </c>
      <c r="F23" s="290">
        <v>8.08</v>
      </c>
      <c r="G23" s="357" t="s">
        <v>109</v>
      </c>
      <c r="H23" s="361">
        <f>'Base Preços MP'!G30</f>
        <v>2.1</v>
      </c>
      <c r="I23" s="171">
        <f>E22*21/100</f>
        <v>2.52E-2</v>
      </c>
      <c r="J23" s="359">
        <f t="shared" si="4"/>
        <v>16.968</v>
      </c>
      <c r="K23" s="111">
        <f t="shared" si="2"/>
        <v>0.33389999999999997</v>
      </c>
      <c r="L23" s="687" t="str">
        <f t="shared" si="0"/>
        <v xml:space="preserve">Cloreto Ferrico Sol al 40% </v>
      </c>
      <c r="M23" s="687"/>
      <c r="N23" s="687"/>
      <c r="O23" s="117">
        <f>F23*M16/1000</f>
        <v>10.3424</v>
      </c>
      <c r="P23" s="161">
        <v>1.7999999999999999E-2</v>
      </c>
      <c r="Q23" s="165" t="s">
        <v>109</v>
      </c>
      <c r="R23" s="166">
        <f t="shared" si="3"/>
        <v>1.7065100421397753E-2</v>
      </c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1"/>
        <v>0.129</v>
      </c>
      <c r="F24" s="290">
        <v>1.29</v>
      </c>
      <c r="G24" s="357" t="s">
        <v>111</v>
      </c>
      <c r="H24" s="361">
        <f>'Base Preços MP'!G29</f>
        <v>10.3</v>
      </c>
      <c r="I24" s="510">
        <f>E24*14/100</f>
        <v>1.806E-2</v>
      </c>
      <c r="J24" s="359">
        <f>F24*H24</f>
        <v>13.287000000000001</v>
      </c>
      <c r="K24" s="111">
        <f t="shared" si="2"/>
        <v>0.23929499999999998</v>
      </c>
      <c r="L24" s="687" t="str">
        <f t="shared" si="0"/>
        <v>Cloreto de Cu 14% liquido</v>
      </c>
      <c r="M24" s="687"/>
      <c r="N24" s="687"/>
      <c r="O24" s="117">
        <f>F24*M16/1000</f>
        <v>1.6512</v>
      </c>
      <c r="P24" s="161">
        <v>1.7999999999999999E-2</v>
      </c>
      <c r="Q24" s="165" t="s">
        <v>111</v>
      </c>
      <c r="R24" s="166">
        <f t="shared" si="3"/>
        <v>1.3363035672979253E-2</v>
      </c>
      <c r="U24" s="144"/>
      <c r="V24" s="146"/>
    </row>
    <row r="25" spans="1:22" x14ac:dyDescent="0.2">
      <c r="A25" s="1"/>
      <c r="B25" s="682" t="s">
        <v>273</v>
      </c>
      <c r="C25" s="724"/>
      <c r="D25" s="725"/>
      <c r="E25" s="315">
        <f t="shared" si="1"/>
        <v>34.569000000000003</v>
      </c>
      <c r="F25" s="290">
        <v>345.69</v>
      </c>
      <c r="G25" s="357" t="s">
        <v>112</v>
      </c>
      <c r="H25" s="361">
        <f>'Base Preços MP'!G26</f>
        <v>0.53</v>
      </c>
      <c r="I25" s="510">
        <f>E23*13/100</f>
        <v>0.10504000000000001</v>
      </c>
      <c r="J25" s="359">
        <f>F25*H25</f>
        <v>183.2157</v>
      </c>
      <c r="K25" s="111">
        <f t="shared" si="2"/>
        <v>1.39178</v>
      </c>
      <c r="L25" s="687" t="str">
        <f t="shared" si="0"/>
        <v>Cloreto de Potasio 15,5%</v>
      </c>
      <c r="M25" s="687"/>
      <c r="N25" s="687"/>
      <c r="O25" s="117">
        <f>F25*M16/1000</f>
        <v>442.48320000000001</v>
      </c>
      <c r="P25" s="161">
        <v>0.105</v>
      </c>
      <c r="Q25" s="165" t="s">
        <v>112</v>
      </c>
      <c r="R25" s="166">
        <f t="shared" si="3"/>
        <v>0.18426416308797056</v>
      </c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1"/>
        <v>16.2</v>
      </c>
      <c r="F26" s="290">
        <v>162</v>
      </c>
      <c r="G26" s="357" t="s">
        <v>105</v>
      </c>
      <c r="H26" s="362">
        <f>'Base Preços MP'!G41</f>
        <v>1.76</v>
      </c>
      <c r="I26" s="171">
        <f>E30*17/100</f>
        <v>7.9900000000000006E-3</v>
      </c>
      <c r="J26" s="359">
        <f t="shared" si="4"/>
        <v>285.12</v>
      </c>
      <c r="K26" s="111">
        <f t="shared" si="2"/>
        <v>0.1058675</v>
      </c>
      <c r="L26" s="687" t="str">
        <f t="shared" si="0"/>
        <v>Nitrato de Magnesio liquido (7% Mg) liquido</v>
      </c>
      <c r="M26" s="687"/>
      <c r="N26" s="687"/>
      <c r="O26" s="117">
        <f>F26*M16/1000</f>
        <v>207.36</v>
      </c>
      <c r="P26" s="161">
        <v>8.0000000000000002E-3</v>
      </c>
      <c r="Q26" s="165" t="s">
        <v>105</v>
      </c>
      <c r="R26" s="166">
        <f t="shared" si="3"/>
        <v>0.28675161669901744</v>
      </c>
      <c r="U26" s="144"/>
      <c r="V26" s="146"/>
    </row>
    <row r="27" spans="1:22" x14ac:dyDescent="0.2">
      <c r="A27" s="1"/>
      <c r="B27" s="688" t="s">
        <v>272</v>
      </c>
      <c r="C27" s="689"/>
      <c r="D27" s="690"/>
      <c r="E27" s="315">
        <f t="shared" si="1"/>
        <v>10</v>
      </c>
      <c r="F27" s="290">
        <v>100</v>
      </c>
      <c r="G27" s="357" t="s">
        <v>122</v>
      </c>
      <c r="H27" s="362">
        <f>'Base Preços MP'!G32</f>
        <v>1.84</v>
      </c>
      <c r="I27" s="171">
        <f>E31*39/100</f>
        <v>5.8499999999999993E-3</v>
      </c>
      <c r="J27" s="359">
        <f t="shared" si="4"/>
        <v>184</v>
      </c>
      <c r="K27" s="111">
        <f t="shared" si="2"/>
        <v>7.7512499999999984E-2</v>
      </c>
      <c r="L27" s="687" t="str">
        <f t="shared" si="0"/>
        <v>Cloreto de Ca 27,5</v>
      </c>
      <c r="M27" s="687"/>
      <c r="N27" s="687"/>
      <c r="O27" s="117">
        <f>F27*M16/1000</f>
        <v>128</v>
      </c>
      <c r="P27" s="161">
        <v>6.0000000000000001E-3</v>
      </c>
      <c r="Q27" s="165" t="s">
        <v>122</v>
      </c>
      <c r="R27" s="166">
        <f t="shared" si="3"/>
        <v>0.18505295129285637</v>
      </c>
      <c r="U27" s="144"/>
      <c r="V27" s="146"/>
    </row>
    <row r="28" spans="1:22" x14ac:dyDescent="0.2">
      <c r="A28" s="1"/>
      <c r="B28" s="594" t="s">
        <v>276</v>
      </c>
      <c r="C28" s="595"/>
      <c r="D28" s="596"/>
      <c r="E28" s="315">
        <f t="shared" si="1"/>
        <v>7.7269999999999994</v>
      </c>
      <c r="F28" s="290">
        <v>77.27</v>
      </c>
      <c r="G28" s="357"/>
      <c r="H28" s="362">
        <f>'Base Preços MP'!G40</f>
        <v>1.4</v>
      </c>
      <c r="I28" s="171"/>
      <c r="J28" s="359">
        <f>F28*H28</f>
        <v>108.17799999999998</v>
      </c>
      <c r="K28" s="111"/>
      <c r="L28" s="593" t="s">
        <v>277</v>
      </c>
      <c r="M28" s="593"/>
      <c r="N28" s="593"/>
      <c r="O28" s="117">
        <f>F28*M16/1000</f>
        <v>98.905599999999993</v>
      </c>
      <c r="P28" s="215"/>
      <c r="Q28" s="600"/>
      <c r="R28" s="166">
        <f t="shared" si="3"/>
        <v>0.10879705524434029</v>
      </c>
      <c r="U28" s="144"/>
      <c r="V28" s="146"/>
    </row>
    <row r="29" spans="1:22" x14ac:dyDescent="0.2">
      <c r="A29" s="1"/>
      <c r="B29" s="594" t="s">
        <v>113</v>
      </c>
      <c r="C29" s="595"/>
      <c r="D29" s="596"/>
      <c r="E29" s="315">
        <f t="shared" si="1"/>
        <v>6.0709999999999997</v>
      </c>
      <c r="F29" s="290">
        <v>60.71</v>
      </c>
      <c r="G29" s="357"/>
      <c r="H29" s="362">
        <f>'Base Preços MP'!G46</f>
        <v>1.7</v>
      </c>
      <c r="I29" s="171"/>
      <c r="J29" s="359">
        <f>F29*H29</f>
        <v>103.20699999999999</v>
      </c>
      <c r="K29" s="111"/>
      <c r="L29" s="593" t="s">
        <v>172</v>
      </c>
      <c r="M29" s="593"/>
      <c r="N29" s="593"/>
      <c r="O29" s="117">
        <f>F29*M16/1000</f>
        <v>77.708799999999997</v>
      </c>
      <c r="P29" s="215"/>
      <c r="Q29" s="600"/>
      <c r="R29" s="166">
        <f t="shared" si="3"/>
        <v>0.10379760839174905</v>
      </c>
      <c r="U29" s="144"/>
      <c r="V29" s="146"/>
    </row>
    <row r="30" spans="1:22" x14ac:dyDescent="0.2">
      <c r="A30" s="1"/>
      <c r="B30" s="682" t="s">
        <v>30</v>
      </c>
      <c r="C30" s="724"/>
      <c r="D30" s="725"/>
      <c r="E30" s="315">
        <f t="shared" si="1"/>
        <v>4.7E-2</v>
      </c>
      <c r="F30" s="290">
        <v>0.47</v>
      </c>
      <c r="G30" s="1"/>
      <c r="H30" s="362">
        <f>'Base Preços MP'!G11</f>
        <v>3.4</v>
      </c>
      <c r="I30" s="1"/>
      <c r="J30" s="359">
        <f>F30*H30</f>
        <v>1.5979999999999999</v>
      </c>
      <c r="K30" s="103"/>
      <c r="L30" s="687" t="str">
        <f t="shared" si="0"/>
        <v>Acido Borico</v>
      </c>
      <c r="M30" s="687"/>
      <c r="N30" s="687"/>
      <c r="O30" s="117">
        <f>F30*M16/1000</f>
        <v>0.60159999999999991</v>
      </c>
      <c r="P30" s="103"/>
      <c r="Q30" s="103"/>
      <c r="R30" s="166">
        <f t="shared" si="3"/>
        <v>1.6071446530760024E-3</v>
      </c>
      <c r="U30" s="144"/>
      <c r="V30" s="146"/>
    </row>
    <row r="31" spans="1:22" x14ac:dyDescent="0.2">
      <c r="A31" s="1"/>
      <c r="B31" s="682" t="s">
        <v>28</v>
      </c>
      <c r="C31" s="724"/>
      <c r="D31" s="725"/>
      <c r="E31" s="315">
        <f t="shared" si="1"/>
        <v>1.4999999999999999E-2</v>
      </c>
      <c r="F31" s="291">
        <v>0.15</v>
      </c>
      <c r="G31" s="1"/>
      <c r="H31" s="362">
        <f>'Base Preços MP'!G37</f>
        <v>52</v>
      </c>
      <c r="I31" s="1"/>
      <c r="J31" s="359">
        <f t="shared" si="4"/>
        <v>7.8</v>
      </c>
      <c r="K31" s="103"/>
      <c r="L31" s="687" t="str">
        <f t="shared" si="0"/>
        <v>Molbdato de Sodio</v>
      </c>
      <c r="M31" s="687"/>
      <c r="N31" s="687"/>
      <c r="O31" s="117">
        <f>F31*M16/1000</f>
        <v>0.192</v>
      </c>
      <c r="P31" s="103"/>
      <c r="Q31" s="103"/>
      <c r="R31" s="166">
        <f t="shared" si="3"/>
        <v>7.8446359787189106E-3</v>
      </c>
      <c r="U31" s="144"/>
      <c r="V31" s="146"/>
    </row>
    <row r="32" spans="1:22" x14ac:dyDescent="0.2">
      <c r="A32" s="1"/>
      <c r="B32" s="682" t="s">
        <v>274</v>
      </c>
      <c r="C32" s="724"/>
      <c r="D32" s="725"/>
      <c r="E32" s="315">
        <f t="shared" si="1"/>
        <v>3</v>
      </c>
      <c r="F32" s="290">
        <v>30</v>
      </c>
      <c r="G32" s="1"/>
      <c r="H32" s="362">
        <f>'Base Preços MP'!G34</f>
        <v>7.75</v>
      </c>
      <c r="I32" s="1"/>
      <c r="J32" s="359">
        <f t="shared" si="4"/>
        <v>232.5</v>
      </c>
      <c r="K32" s="103"/>
      <c r="L32" s="687" t="str">
        <f t="shared" si="0"/>
        <v>EDTA liquido</v>
      </c>
      <c r="M32" s="687"/>
      <c r="N32" s="687"/>
      <c r="O32" s="117">
        <f>F32*M16/1000</f>
        <v>38.4</v>
      </c>
      <c r="P32" s="103"/>
      <c r="Q32" s="103"/>
      <c r="R32" s="166">
        <f t="shared" si="3"/>
        <v>0.23383049551950599</v>
      </c>
      <c r="U32" s="144"/>
      <c r="V32" s="146"/>
    </row>
    <row r="33" spans="1:21" x14ac:dyDescent="0.2">
      <c r="A33" s="1"/>
      <c r="B33" s="659" t="s">
        <v>73</v>
      </c>
      <c r="C33" s="660"/>
      <c r="D33" s="661"/>
      <c r="E33" s="147">
        <f>SUM(E17:E32)</f>
        <v>99.500000000000014</v>
      </c>
      <c r="F33" s="292">
        <v>5</v>
      </c>
      <c r="G33" s="103"/>
      <c r="H33" s="362">
        <f>'Base Preços MP'!G19</f>
        <v>3.5</v>
      </c>
      <c r="I33" s="103"/>
      <c r="J33" s="281">
        <f>F33*H33</f>
        <v>17.5</v>
      </c>
      <c r="K33" s="103"/>
      <c r="L33" s="795" t="s">
        <v>73</v>
      </c>
      <c r="M33" s="796"/>
      <c r="N33" s="797"/>
      <c r="O33" s="293">
        <f>F33*M16/1000</f>
        <v>6.4</v>
      </c>
      <c r="P33" s="103"/>
      <c r="Q33" s="103"/>
      <c r="R33" s="164">
        <f t="shared" si="3"/>
        <v>1.7600144824048838E-2</v>
      </c>
      <c r="U33" s="145"/>
    </row>
    <row r="34" spans="1:21" x14ac:dyDescent="0.2">
      <c r="A34" s="1"/>
      <c r="B34" s="4"/>
      <c r="C34" s="4"/>
      <c r="D34" s="4"/>
      <c r="E34" s="1"/>
      <c r="F34" s="4">
        <f>SUM(F17:F33)</f>
        <v>1000</v>
      </c>
      <c r="G34" s="103"/>
      <c r="H34" s="108"/>
      <c r="I34" s="103"/>
      <c r="J34" s="108"/>
      <c r="K34" s="103"/>
      <c r="L34" s="103"/>
      <c r="M34" s="103"/>
      <c r="N34" s="103"/>
      <c r="O34" s="121">
        <f>SUM(O17:O33)</f>
        <v>1280</v>
      </c>
      <c r="P34" s="103"/>
      <c r="Q34" s="103"/>
      <c r="R34" s="103">
        <f t="shared" si="3"/>
        <v>0</v>
      </c>
    </row>
    <row r="35" spans="1:21" x14ac:dyDescent="0.2">
      <c r="A35" s="22">
        <v>1</v>
      </c>
      <c r="B35" s="21" t="s">
        <v>8</v>
      </c>
      <c r="C35" s="21"/>
      <c r="D35" s="4"/>
      <c r="E35" s="103"/>
      <c r="F35" s="104"/>
      <c r="G35" s="105"/>
      <c r="H35" s="106"/>
      <c r="I35" s="1"/>
      <c r="J35" s="7"/>
      <c r="K35" s="103"/>
      <c r="L35" s="103"/>
      <c r="M35" s="103"/>
      <c r="N35" s="103"/>
      <c r="O35" s="103"/>
      <c r="P35" s="103"/>
      <c r="Q35" s="103"/>
      <c r="R35" s="103"/>
    </row>
    <row r="36" spans="1:21" ht="13.5" thickBo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03"/>
      <c r="L36" s="103"/>
      <c r="M36" s="103"/>
      <c r="N36" s="103"/>
      <c r="O36" s="103"/>
      <c r="P36" s="103"/>
      <c r="Q36" s="103"/>
      <c r="R36" s="103"/>
    </row>
    <row r="37" spans="1:21" ht="13.5" thickBot="1" x14ac:dyDescent="0.25">
      <c r="A37" s="1"/>
      <c r="B37" s="3" t="s">
        <v>2</v>
      </c>
      <c r="C37" s="1"/>
      <c r="D37" s="82">
        <v>1.28</v>
      </c>
      <c r="E37" s="1"/>
      <c r="F37" s="1"/>
      <c r="G37" s="1"/>
      <c r="H37" s="17" t="s">
        <v>1</v>
      </c>
      <c r="I37" s="1"/>
      <c r="J37" s="25">
        <f>SUM(J17:J36)</f>
        <v>1438.2565999999999</v>
      </c>
      <c r="K37" s="103"/>
      <c r="L37" s="103"/>
      <c r="M37" s="103"/>
      <c r="N37" s="103"/>
      <c r="O37" s="103"/>
      <c r="P37" s="103"/>
      <c r="Q37" s="103"/>
      <c r="R37" s="103"/>
    </row>
    <row r="38" spans="1:21" ht="13.5" thickBot="1" x14ac:dyDescent="0.25">
      <c r="A38" s="1"/>
      <c r="B38" s="1"/>
      <c r="C38" s="1"/>
      <c r="D38" s="1"/>
      <c r="E38" s="1"/>
      <c r="F38" s="1"/>
      <c r="G38" s="1"/>
      <c r="H38" s="17" t="s">
        <v>26</v>
      </c>
      <c r="I38" s="1"/>
      <c r="J38" s="18">
        <v>1000</v>
      </c>
      <c r="K38" s="103"/>
      <c r="L38" s="103"/>
      <c r="M38" s="103" t="s">
        <v>254</v>
      </c>
      <c r="N38" s="103" t="s">
        <v>255</v>
      </c>
      <c r="O38" s="103"/>
      <c r="P38" s="103"/>
      <c r="Q38" s="103"/>
      <c r="R38" s="103"/>
    </row>
    <row r="39" spans="1:21" x14ac:dyDescent="0.2">
      <c r="A39" s="1"/>
      <c r="B39" s="1"/>
      <c r="C39" s="1"/>
      <c r="D39" s="1"/>
      <c r="E39" s="1"/>
      <c r="F39" s="1"/>
      <c r="G39" s="1"/>
      <c r="H39" s="19"/>
      <c r="I39" s="1"/>
      <c r="J39" s="30"/>
      <c r="K39" s="103"/>
      <c r="L39" s="103"/>
      <c r="M39" s="189" t="s">
        <v>256</v>
      </c>
      <c r="N39" s="189">
        <v>0</v>
      </c>
      <c r="O39" s="103"/>
      <c r="P39" s="103"/>
      <c r="Q39" s="103"/>
    </row>
    <row r="40" spans="1:21" x14ac:dyDescent="0.2">
      <c r="A40" s="1"/>
      <c r="B40" s="23" t="s">
        <v>15</v>
      </c>
      <c r="C40" s="1"/>
      <c r="D40" s="27"/>
      <c r="E40" s="23" t="s">
        <v>77</v>
      </c>
      <c r="F40" s="315"/>
      <c r="G40" s="1"/>
      <c r="H40" s="23"/>
      <c r="I40" s="27"/>
      <c r="J40" s="29" t="s">
        <v>78</v>
      </c>
      <c r="K40" s="103"/>
      <c r="L40" s="103"/>
      <c r="M40" s="103" t="s">
        <v>105</v>
      </c>
      <c r="N40" s="103"/>
      <c r="O40" s="103"/>
      <c r="P40" s="103"/>
      <c r="Q40" s="103"/>
    </row>
    <row r="41" spans="1:21" x14ac:dyDescent="0.2">
      <c r="A41" s="1"/>
      <c r="B41" s="3" t="s">
        <v>10</v>
      </c>
      <c r="C41" s="1"/>
      <c r="D41" s="28"/>
      <c r="E41" s="68">
        <f>J37/J38</f>
        <v>1.4382565999999999</v>
      </c>
      <c r="F41" s="364"/>
      <c r="G41" s="3" t="s">
        <v>16</v>
      </c>
      <c r="H41" s="1"/>
      <c r="I41" s="39"/>
      <c r="J41" s="68">
        <f>E41*D37</f>
        <v>1.8409684479999999</v>
      </c>
      <c r="K41" s="103"/>
      <c r="L41" s="103"/>
      <c r="M41" s="103" t="s">
        <v>257</v>
      </c>
      <c r="N41" s="103"/>
      <c r="O41" s="103"/>
      <c r="P41" s="103"/>
      <c r="Q41" s="103"/>
    </row>
    <row r="42" spans="1:21" x14ac:dyDescent="0.2">
      <c r="A42" s="1"/>
      <c r="B42" s="19" t="s">
        <v>11</v>
      </c>
      <c r="C42" s="4"/>
      <c r="D42" s="71"/>
      <c r="E42" s="68">
        <v>0.09</v>
      </c>
      <c r="F42" s="16"/>
      <c r="G42" s="19" t="s">
        <v>17</v>
      </c>
      <c r="H42" s="4"/>
      <c r="I42" s="39"/>
      <c r="J42" s="68">
        <f>E42*D37</f>
        <v>0.1152</v>
      </c>
      <c r="K42" s="103"/>
      <c r="L42" s="103"/>
      <c r="M42" s="103"/>
      <c r="N42" s="103"/>
      <c r="O42" s="103"/>
      <c r="P42" s="103"/>
      <c r="Q42" s="103"/>
      <c r="R42" s="103"/>
    </row>
    <row r="43" spans="1:21" x14ac:dyDescent="0.2">
      <c r="A43" s="1"/>
      <c r="B43" s="3" t="s">
        <v>14</v>
      </c>
      <c r="C43" s="1"/>
      <c r="D43" s="71"/>
      <c r="E43" s="68"/>
      <c r="F43" s="6"/>
      <c r="G43" s="3" t="s">
        <v>18</v>
      </c>
      <c r="H43" s="1"/>
      <c r="I43" s="39"/>
      <c r="J43" s="68">
        <f>E43*D37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21" x14ac:dyDescent="0.2">
      <c r="A44" s="1"/>
      <c r="B44" s="3" t="s">
        <v>79</v>
      </c>
      <c r="C44" s="1"/>
      <c r="D44" s="71"/>
      <c r="E44" s="68"/>
      <c r="F44" s="3"/>
      <c r="G44" s="3" t="s">
        <v>80</v>
      </c>
      <c r="H44" s="1"/>
      <c r="I44" s="39"/>
      <c r="J44" s="68">
        <f>E44*D37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21" x14ac:dyDescent="0.2">
      <c r="A45" s="1"/>
      <c r="B45" s="3" t="s">
        <v>42</v>
      </c>
      <c r="C45" s="1"/>
      <c r="D45" s="71"/>
      <c r="E45" s="68"/>
      <c r="F45" s="3"/>
      <c r="G45" s="3" t="s">
        <v>81</v>
      </c>
      <c r="H45" s="1"/>
      <c r="I45" s="39"/>
      <c r="J45" s="68">
        <f>E45*D37</f>
        <v>0</v>
      </c>
      <c r="K45" s="103"/>
      <c r="L45" s="103"/>
      <c r="M45" s="103"/>
      <c r="N45" s="103"/>
      <c r="O45" s="103"/>
      <c r="P45" s="103"/>
      <c r="Q45" s="103"/>
      <c r="R45" s="103"/>
    </row>
    <row r="46" spans="1:21" x14ac:dyDescent="0.2">
      <c r="A46" s="1"/>
      <c r="B46" s="3" t="s">
        <v>12</v>
      </c>
      <c r="C46" s="1"/>
      <c r="D46" s="28"/>
      <c r="E46" s="142">
        <f>E41+E42+E43+E44+E45</f>
        <v>1.5282566</v>
      </c>
      <c r="F46" s="3"/>
      <c r="G46" s="3" t="s">
        <v>19</v>
      </c>
      <c r="H46" s="1"/>
      <c r="I46" s="33"/>
      <c r="J46" s="142">
        <f>J41+J42+J43+J44+J45</f>
        <v>1.9561684479999999</v>
      </c>
      <c r="K46" s="103"/>
      <c r="L46" s="103"/>
      <c r="M46" s="103"/>
      <c r="N46" s="103"/>
      <c r="O46" s="103"/>
      <c r="P46" s="103"/>
      <c r="Q46" s="103"/>
      <c r="R46" s="103"/>
    </row>
    <row r="47" spans="1:21" x14ac:dyDescent="0.2">
      <c r="A47" s="1"/>
      <c r="B47" s="1"/>
      <c r="C47" s="1"/>
      <c r="D47" s="4"/>
      <c r="E47" s="1"/>
      <c r="F47" s="19"/>
      <c r="G47" s="4"/>
      <c r="H47" s="4"/>
      <c r="I47" s="6"/>
      <c r="J47" s="28" t="s">
        <v>21</v>
      </c>
      <c r="K47" s="103"/>
      <c r="L47" s="701"/>
      <c r="M47" s="701"/>
      <c r="N47" s="701"/>
      <c r="O47" s="701"/>
      <c r="P47" s="701"/>
      <c r="Q47" s="701"/>
      <c r="R47" s="103"/>
    </row>
    <row r="48" spans="1:21" x14ac:dyDescent="0.2">
      <c r="A48" s="34">
        <v>2</v>
      </c>
      <c r="B48" s="22" t="s">
        <v>9</v>
      </c>
      <c r="C48" s="22"/>
      <c r="D48" s="1"/>
      <c r="E48" s="1"/>
      <c r="F48" s="19"/>
      <c r="G48" s="4"/>
      <c r="H48" s="27" t="s">
        <v>20</v>
      </c>
      <c r="I48" s="33">
        <f>(100-J48)/100</f>
        <v>1</v>
      </c>
      <c r="J48" s="76"/>
      <c r="K48" s="103"/>
      <c r="L48" s="702"/>
      <c r="M48" s="697"/>
      <c r="N48" s="702"/>
      <c r="O48" s="697"/>
      <c r="P48" s="702"/>
      <c r="Q48" s="697"/>
      <c r="R48" s="103"/>
    </row>
    <row r="49" spans="1:18" x14ac:dyDescent="0.2">
      <c r="A49" s="1"/>
      <c r="B49" s="23"/>
      <c r="C49" s="23"/>
      <c r="D49" s="29"/>
      <c r="E49" s="3" t="s">
        <v>84</v>
      </c>
      <c r="F49" s="6" t="s">
        <v>85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22" t="s">
        <v>22</v>
      </c>
      <c r="C50" s="11"/>
      <c r="D50" s="507" t="s">
        <v>13</v>
      </c>
      <c r="E50" s="36">
        <v>0</v>
      </c>
      <c r="F50" s="36">
        <v>0</v>
      </c>
      <c r="G50" s="19"/>
      <c r="H50" s="318"/>
      <c r="I50" s="75"/>
      <c r="J50" s="32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60</v>
      </c>
      <c r="E51" s="36">
        <f>F51/D37</f>
        <v>0.42656250000000001</v>
      </c>
      <c r="F51" s="36">
        <f>'[8]Base Preços MP'!C63</f>
        <v>0.54600000000000004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82</v>
      </c>
      <c r="E52" s="36" t="e">
        <f>F52/D37</f>
        <v>#REF!</v>
      </c>
      <c r="F52" s="36" t="e">
        <f>'[8]Base Preços MP'!#REF!</f>
        <v>#REF!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1"/>
      <c r="D53" s="24" t="s">
        <v>50</v>
      </c>
      <c r="E53" s="36">
        <f>F53/D37</f>
        <v>0.640625</v>
      </c>
      <c r="F53" s="36">
        <f>'[8]Base Preços MP'!C66</f>
        <v>0.82</v>
      </c>
      <c r="G53" s="4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5"/>
      <c r="D54" s="24" t="s">
        <v>50</v>
      </c>
      <c r="E54" s="36">
        <f>F54/D37</f>
        <v>0.63062499999999999</v>
      </c>
      <c r="F54" s="36">
        <f>'[9]Base Preços MP'!G86</f>
        <v>0.80720000000000003</v>
      </c>
      <c r="G54" s="19" t="s">
        <v>86</v>
      </c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5"/>
      <c r="D55" s="24" t="s">
        <v>59</v>
      </c>
      <c r="E55" s="36">
        <f>F55/D37</f>
        <v>0.78125</v>
      </c>
      <c r="F55" s="36">
        <f>'[8]Base Preços MP'!C69</f>
        <v>1</v>
      </c>
      <c r="G55" s="1"/>
      <c r="H55" s="1"/>
      <c r="I55" s="6"/>
      <c r="J55" s="7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22">
        <v>3</v>
      </c>
      <c r="B56" s="22" t="s">
        <v>25</v>
      </c>
      <c r="C56" s="35"/>
      <c r="D56" s="24" t="s">
        <v>61</v>
      </c>
      <c r="E56" s="36">
        <f>F56/D37</f>
        <v>1.953125</v>
      </c>
      <c r="F56" s="36">
        <f>'[8]Base Preços MP'!C70</f>
        <v>2.5</v>
      </c>
      <c r="G56" s="4"/>
      <c r="H56" s="4"/>
      <c r="I56" s="6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1"/>
      <c r="D57" s="1"/>
      <c r="E57" s="1"/>
      <c r="F57" s="19"/>
      <c r="G57" s="4"/>
      <c r="H57" s="4"/>
      <c r="I57" s="19"/>
      <c r="J57" s="20"/>
      <c r="K57" s="103"/>
      <c r="L57" s="697"/>
      <c r="M57" s="697"/>
      <c r="N57" s="697"/>
      <c r="O57" s="697"/>
      <c r="P57" s="697"/>
      <c r="Q57" s="697"/>
      <c r="R57" s="103"/>
    </row>
    <row r="58" spans="1:18" x14ac:dyDescent="0.2">
      <c r="A58" s="1"/>
      <c r="B58" s="1"/>
      <c r="C58" s="27"/>
      <c r="D58" s="27"/>
      <c r="E58" s="27"/>
      <c r="F58" s="27"/>
      <c r="G58" s="27"/>
      <c r="H58" s="4"/>
      <c r="I58" s="6"/>
      <c r="J58" s="40"/>
      <c r="K58" s="103"/>
      <c r="L58" s="143"/>
      <c r="M58" s="143"/>
      <c r="N58" s="143"/>
      <c r="O58" s="143"/>
      <c r="P58" s="143"/>
      <c r="Q58" s="143"/>
      <c r="R58" s="103"/>
    </row>
    <row r="59" spans="1:18" x14ac:dyDescent="0.2">
      <c r="A59" s="1"/>
      <c r="B59" s="1"/>
      <c r="C59" s="55" t="s">
        <v>224</v>
      </c>
      <c r="D59" s="1"/>
      <c r="E59" s="1"/>
      <c r="F59" s="19"/>
      <c r="G59" s="4"/>
      <c r="H59" s="56"/>
      <c r="I59" s="19"/>
      <c r="J59" s="20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5" t="s">
        <v>64</v>
      </c>
      <c r="D60" s="65" t="s">
        <v>65</v>
      </c>
      <c r="E60" s="65" t="s">
        <v>66</v>
      </c>
      <c r="F60" s="58" t="s">
        <v>87</v>
      </c>
      <c r="G60" s="27" t="s">
        <v>401</v>
      </c>
      <c r="H60" s="56" t="s">
        <v>414</v>
      </c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6" t="s">
        <v>23</v>
      </c>
      <c r="D61" s="67">
        <f>E46/I48</f>
        <v>1.5282566</v>
      </c>
      <c r="E61" s="67">
        <f>J46/I48</f>
        <v>1.9561684479999999</v>
      </c>
      <c r="F61" s="72" t="s">
        <v>88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670" t="str">
        <f>'[8]FUEL BLACK 20%'!A60:B60</f>
        <v>Contentor Incluido</v>
      </c>
      <c r="B62" s="694"/>
      <c r="C62" s="74">
        <v>1000</v>
      </c>
      <c r="D62" s="70">
        <f>(E46+E51)/I48</f>
        <v>1.9548190999999999</v>
      </c>
      <c r="E62" s="70">
        <f>(J46+F51)/I48</f>
        <v>2.5021684479999999</v>
      </c>
      <c r="F62" s="61" t="s">
        <v>89</v>
      </c>
      <c r="G62" s="33"/>
      <c r="H62" s="56"/>
      <c r="I62" s="19"/>
      <c r="J62" s="4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50</v>
      </c>
      <c r="D63" s="70" t="e">
        <f>(E46+E52)/I48</f>
        <v>#REF!</v>
      </c>
      <c r="E63" s="70" t="e">
        <f>(J46+F52)/I48</f>
        <v>#REF!</v>
      </c>
      <c r="F63" s="51" t="s">
        <v>90</v>
      </c>
      <c r="G63" s="33"/>
      <c r="H63" s="56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(E46+E53)/I48</f>
        <v>2.1688815999999997</v>
      </c>
      <c r="E64" s="70">
        <f>(J46+F53)/I48</f>
        <v>2.776168448</v>
      </c>
      <c r="F64" s="61" t="s">
        <v>89</v>
      </c>
      <c r="G64" s="33"/>
      <c r="H64" s="7"/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25</v>
      </c>
      <c r="D65" s="70">
        <f>(E46+E54)/I48</f>
        <v>2.1588816</v>
      </c>
      <c r="E65" s="70">
        <f>(J46+F54)/I48</f>
        <v>2.763368448</v>
      </c>
      <c r="F65" s="51" t="s">
        <v>90</v>
      </c>
      <c r="G65" s="33">
        <f>E65/0.88</f>
        <v>3.1401914181818182</v>
      </c>
      <c r="H65" s="20">
        <f>G65+0.5</f>
        <v>3.6401914181818182</v>
      </c>
      <c r="I65" s="1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1"/>
      <c r="B66" s="1"/>
      <c r="C66" s="69">
        <v>5</v>
      </c>
      <c r="D66" s="70">
        <f>(E46+E55)/I48</f>
        <v>2.3095065999999997</v>
      </c>
      <c r="E66" s="70">
        <f>D66*D37</f>
        <v>2.9561684479999997</v>
      </c>
      <c r="F66" s="61" t="s">
        <v>94</v>
      </c>
      <c r="G66" s="39">
        <f>E66/0.88</f>
        <v>3.359282327272727</v>
      </c>
      <c r="H66" s="7">
        <f>G66+0.5</f>
        <v>3.859282327272727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86"/>
      <c r="B67" s="86"/>
      <c r="C67" s="69">
        <v>1</v>
      </c>
      <c r="D67" s="70">
        <f>(E56+E46)/I48</f>
        <v>3.4813815999999997</v>
      </c>
      <c r="E67" s="70">
        <f>D67*D37</f>
        <v>4.4561684479999997</v>
      </c>
      <c r="F67" s="61" t="s">
        <v>95</v>
      </c>
      <c r="G67" s="87">
        <f>E67/0.88</f>
        <v>5.0638277818181816</v>
      </c>
      <c r="H67" s="7">
        <f>G67+0.5</f>
        <v>5.5638277818181816</v>
      </c>
      <c r="I67" s="4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5"/>
      <c r="B68" s="695"/>
      <c r="C68" s="85"/>
      <c r="D68" s="237"/>
      <c r="E68" s="86"/>
      <c r="F68" s="86"/>
      <c r="G68" s="86"/>
      <c r="H68" s="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6"/>
      <c r="B69" s="696"/>
      <c r="C69" s="90"/>
      <c r="D69" s="90"/>
      <c r="E69" s="90"/>
      <c r="F69" s="90"/>
      <c r="G69" s="90"/>
      <c r="H69" s="57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591"/>
      <c r="F70" s="92"/>
      <c r="G70" s="5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  <row r="71" spans="1:18" x14ac:dyDescent="0.2">
      <c r="A71" s="693"/>
      <c r="B71" s="693"/>
      <c r="C71" s="93"/>
      <c r="D71" s="92"/>
      <c r="E71" s="591"/>
      <c r="F71" s="92"/>
      <c r="G71" s="591"/>
      <c r="H71" s="73"/>
      <c r="I71" s="1"/>
      <c r="J71" s="1"/>
      <c r="K71" s="103"/>
      <c r="L71" s="103"/>
      <c r="M71" s="103"/>
      <c r="N71" s="103"/>
      <c r="O71" s="103"/>
      <c r="P71" s="103"/>
      <c r="Q71" s="103"/>
      <c r="R71" s="103"/>
    </row>
  </sheetData>
  <mergeCells count="74">
    <mergeCell ref="A70:B70"/>
    <mergeCell ref="A71:B71"/>
    <mergeCell ref="P55:Q55"/>
    <mergeCell ref="L56:M56"/>
    <mergeCell ref="N56:O56"/>
    <mergeCell ref="P56:Q56"/>
    <mergeCell ref="L57:M57"/>
    <mergeCell ref="N57:O57"/>
    <mergeCell ref="P57:Q57"/>
    <mergeCell ref="A68:B68"/>
    <mergeCell ref="A69:B69"/>
    <mergeCell ref="L55:M55"/>
    <mergeCell ref="A62:B62"/>
    <mergeCell ref="P50:Q50"/>
    <mergeCell ref="P51:Q51"/>
    <mergeCell ref="P52:Q52"/>
    <mergeCell ref="P53:Q53"/>
    <mergeCell ref="P54:Q54"/>
    <mergeCell ref="B33:D33"/>
    <mergeCell ref="L33:N33"/>
    <mergeCell ref="L47:Q47"/>
    <mergeCell ref="P48:Q48"/>
    <mergeCell ref="P49:Q49"/>
    <mergeCell ref="B18:D18"/>
    <mergeCell ref="B19:D19"/>
    <mergeCell ref="B21:D21"/>
    <mergeCell ref="B23:D23"/>
    <mergeCell ref="B24:D24"/>
    <mergeCell ref="B20:D20"/>
    <mergeCell ref="I6:K6"/>
    <mergeCell ref="I7:J7"/>
    <mergeCell ref="N16:O16"/>
    <mergeCell ref="G9:H9"/>
    <mergeCell ref="I9:J9"/>
    <mergeCell ref="I10:J10"/>
    <mergeCell ref="L14:M14"/>
    <mergeCell ref="I8:J8"/>
    <mergeCell ref="L19:N19"/>
    <mergeCell ref="B17:D17"/>
    <mergeCell ref="L17:N17"/>
    <mergeCell ref="L18:N18"/>
    <mergeCell ref="N51:O51"/>
    <mergeCell ref="L51:M51"/>
    <mergeCell ref="L49:M49"/>
    <mergeCell ref="L50:M50"/>
    <mergeCell ref="N49:O49"/>
    <mergeCell ref="N50:O50"/>
    <mergeCell ref="N48:O48"/>
    <mergeCell ref="L30:N30"/>
    <mergeCell ref="L31:N31"/>
    <mergeCell ref="B32:D32"/>
    <mergeCell ref="L48:M48"/>
    <mergeCell ref="L32:N32"/>
    <mergeCell ref="L20:N20"/>
    <mergeCell ref="L21:N21"/>
    <mergeCell ref="B22:D22"/>
    <mergeCell ref="L22:N22"/>
    <mergeCell ref="N52:O52"/>
    <mergeCell ref="L52:M52"/>
    <mergeCell ref="L23:N23"/>
    <mergeCell ref="L24:N24"/>
    <mergeCell ref="L25:N25"/>
    <mergeCell ref="L26:N26"/>
    <mergeCell ref="L27:N27"/>
    <mergeCell ref="B25:D25"/>
    <mergeCell ref="B26:D26"/>
    <mergeCell ref="B27:D27"/>
    <mergeCell ref="B30:D30"/>
    <mergeCell ref="B31:D31"/>
    <mergeCell ref="L53:M53"/>
    <mergeCell ref="N53:O53"/>
    <mergeCell ref="L54:M54"/>
    <mergeCell ref="N54:O54"/>
    <mergeCell ref="N55:O55"/>
  </mergeCells>
  <pageMargins left="0.511811024" right="0.511811024" top="0.78740157499999996" bottom="0.78740157499999996" header="0.31496062000000002" footer="0.31496062000000002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23" workbookViewId="0">
      <selection activeCell="D36" sqref="D36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ht="12.75" hidden="1" customHeight="1" x14ac:dyDescent="0.2">
      <c r="A1" t="s">
        <v>507</v>
      </c>
    </row>
    <row r="2" spans="1:18" ht="12.75" hidden="1" customHeight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343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/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4" t="s">
        <v>67</v>
      </c>
      <c r="M15" s="344" t="s">
        <v>117</v>
      </c>
      <c r="N15" s="1"/>
      <c r="O15" s="1"/>
      <c r="P15" s="103"/>
      <c r="Q15" s="103"/>
      <c r="R15" s="354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28000</v>
      </c>
      <c r="M16" s="116">
        <f>L16*D36</f>
        <v>30520.000000000004</v>
      </c>
      <c r="N16" s="714"/>
      <c r="O16" s="715"/>
      <c r="P16" s="345" t="s">
        <v>152</v>
      </c>
      <c r="Q16" s="366" t="s">
        <v>154</v>
      </c>
      <c r="R16" s="354"/>
    </row>
    <row r="17" spans="1:22" x14ac:dyDescent="0.2">
      <c r="A17" s="1"/>
      <c r="B17" s="673" t="s">
        <v>49</v>
      </c>
      <c r="C17" s="674"/>
      <c r="D17" s="675"/>
      <c r="E17" s="315">
        <f>F17/10</f>
        <v>0</v>
      </c>
      <c r="F17" s="367"/>
      <c r="G17" s="357" t="s">
        <v>125</v>
      </c>
      <c r="H17" s="358">
        <f>'[8]Base Preços MP'!G10</f>
        <v>0.01</v>
      </c>
      <c r="I17" s="170">
        <f>E20*21/100+E26*7/100+E22*6/100+E21*5/100</f>
        <v>0.21210000000000001</v>
      </c>
      <c r="J17" s="359">
        <f>F17*H17</f>
        <v>0</v>
      </c>
      <c r="K17" s="111">
        <f>I17*1.34*10</f>
        <v>2.8421400000000001</v>
      </c>
      <c r="L17" s="676" t="str">
        <f t="shared" ref="L17:L30" si="0">B17</f>
        <v>Agua</v>
      </c>
      <c r="M17" s="677"/>
      <c r="N17" s="678"/>
      <c r="O17" s="117">
        <f>F17*M16/1000</f>
        <v>0</v>
      </c>
      <c r="P17" s="109">
        <v>7.0724400000000003</v>
      </c>
      <c r="Q17" s="165" t="s">
        <v>125</v>
      </c>
      <c r="R17" s="166"/>
      <c r="U17" s="144"/>
      <c r="V17" s="146"/>
    </row>
    <row r="18" spans="1:22" x14ac:dyDescent="0.2">
      <c r="A18" s="1"/>
      <c r="B18" s="682" t="s">
        <v>472</v>
      </c>
      <c r="C18" s="724"/>
      <c r="D18" s="725"/>
      <c r="E18" s="315">
        <f t="shared" ref="E18:E31" si="1">F18/10</f>
        <v>16.350000000000001</v>
      </c>
      <c r="F18" s="83">
        <v>163.5</v>
      </c>
      <c r="G18" s="357" t="s">
        <v>69</v>
      </c>
      <c r="H18" s="360">
        <f>'Base Preços MP'!G19</f>
        <v>3.5</v>
      </c>
      <c r="I18" s="170">
        <f>E19*60/100</f>
        <v>0.14399999999999999</v>
      </c>
      <c r="J18" s="359">
        <f>F18*H18</f>
        <v>572.25</v>
      </c>
      <c r="K18" s="111">
        <f t="shared" ref="K18:K27" si="2">I18*1.34*10</f>
        <v>1.9296</v>
      </c>
      <c r="L18" s="676" t="str">
        <f t="shared" si="0"/>
        <v>MAP CRISTALINO</v>
      </c>
      <c r="M18" s="677"/>
      <c r="N18" s="678"/>
      <c r="O18" s="117">
        <f>F18*M16/1000</f>
        <v>4990.0200000000013</v>
      </c>
      <c r="P18" s="109">
        <v>1.7885999999999997</v>
      </c>
      <c r="Q18" s="165" t="s">
        <v>69</v>
      </c>
      <c r="R18" s="166"/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0.24</v>
      </c>
      <c r="F19" s="83">
        <v>2.4</v>
      </c>
      <c r="G19" s="357" t="s">
        <v>110</v>
      </c>
      <c r="H19" s="360">
        <f>EQUILIBRIO!H19</f>
        <v>4.95</v>
      </c>
      <c r="I19" s="170">
        <f>E18*72.15/100+E25*15/100+E31*60/100</f>
        <v>11.796525000000001</v>
      </c>
      <c r="J19" s="359">
        <f t="shared" ref="J19:J31" si="3">F19*H19</f>
        <v>11.88</v>
      </c>
      <c r="K19" s="111">
        <f t="shared" si="2"/>
        <v>158.07343500000002</v>
      </c>
      <c r="L19" s="676" t="str">
        <f t="shared" si="0"/>
        <v>Acido Fosforico Tecnico 60% liquido</v>
      </c>
      <c r="M19" s="677"/>
      <c r="N19" s="678"/>
      <c r="O19" s="117">
        <f>F19*M16/1000</f>
        <v>73.248000000000005</v>
      </c>
      <c r="P19" s="109">
        <v>5.9720309999999994</v>
      </c>
      <c r="Q19" s="165" t="s">
        <v>110</v>
      </c>
      <c r="R19" s="166"/>
      <c r="U19" s="144"/>
      <c r="V19" s="146"/>
    </row>
    <row r="20" spans="1:22" x14ac:dyDescent="0.2">
      <c r="A20" s="1"/>
      <c r="B20" s="688" t="s">
        <v>214</v>
      </c>
      <c r="C20" s="689"/>
      <c r="D20" s="690"/>
      <c r="E20" s="315">
        <f t="shared" si="1"/>
        <v>1.01</v>
      </c>
      <c r="F20" s="83">
        <v>10.1</v>
      </c>
      <c r="G20" s="357" t="s">
        <v>106</v>
      </c>
      <c r="H20" s="361">
        <f>'Base Preços MP'!G38</f>
        <v>0.9</v>
      </c>
      <c r="I20" s="170">
        <f>E27*14/100</f>
        <v>0</v>
      </c>
      <c r="J20" s="359">
        <f>H20*F20</f>
        <v>9.09</v>
      </c>
      <c r="K20" s="111">
        <f t="shared" si="2"/>
        <v>0</v>
      </c>
      <c r="L20" s="676" t="str">
        <f t="shared" si="0"/>
        <v>NITREX</v>
      </c>
      <c r="M20" s="677"/>
      <c r="N20" s="678"/>
      <c r="O20" s="117">
        <f>F20*M16/1000</f>
        <v>308.25200000000001</v>
      </c>
      <c r="P20" s="109">
        <v>4.3502400000000003</v>
      </c>
      <c r="Q20" s="165" t="s">
        <v>106</v>
      </c>
      <c r="R20" s="166"/>
      <c r="U20" s="144"/>
      <c r="V20" s="146"/>
    </row>
    <row r="21" spans="1:22" x14ac:dyDescent="0.2">
      <c r="A21" s="1"/>
      <c r="B21" s="683"/>
      <c r="C21" s="726"/>
      <c r="D21" s="727"/>
      <c r="E21" s="315">
        <f t="shared" si="1"/>
        <v>0</v>
      </c>
      <c r="F21" s="368"/>
      <c r="G21" s="357" t="s">
        <v>107</v>
      </c>
      <c r="H21" s="361">
        <f>'[8]Base Preços MP'!G37</f>
        <v>2.65</v>
      </c>
      <c r="I21" s="171">
        <f>E26*7/100</f>
        <v>0</v>
      </c>
      <c r="J21" s="359">
        <f t="shared" si="3"/>
        <v>0</v>
      </c>
      <c r="K21" s="111">
        <f t="shared" si="2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0.41426000000000002</v>
      </c>
      <c r="Q21" s="165" t="s">
        <v>107</v>
      </c>
      <c r="R21" s="166"/>
      <c r="U21" s="144"/>
      <c r="V21" s="146"/>
    </row>
    <row r="22" spans="1:22" x14ac:dyDescent="0.2">
      <c r="A22" s="1"/>
      <c r="B22" s="682"/>
      <c r="C22" s="724"/>
      <c r="D22" s="725"/>
      <c r="E22" s="315">
        <f t="shared" si="1"/>
        <v>0</v>
      </c>
      <c r="F22" s="368"/>
      <c r="G22" s="357" t="s">
        <v>108</v>
      </c>
      <c r="H22" s="361">
        <f>'[8]Base Preços MP'!G36</f>
        <v>3.17</v>
      </c>
      <c r="I22" s="171">
        <f>E21*12/100</f>
        <v>0</v>
      </c>
      <c r="J22" s="359">
        <f>F22*H22</f>
        <v>0</v>
      </c>
      <c r="K22" s="111">
        <f t="shared" si="2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165" t="s">
        <v>108</v>
      </c>
      <c r="R22" s="166"/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83"/>
      <c r="G23" s="357" t="s">
        <v>109</v>
      </c>
      <c r="H23" s="361">
        <f>'[8]Base Preços MP'!G24</f>
        <v>1.32</v>
      </c>
      <c r="I23" s="171">
        <f>E22*15/100</f>
        <v>0</v>
      </c>
      <c r="J23" s="359">
        <f t="shared" si="3"/>
        <v>0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165" t="s">
        <v>109</v>
      </c>
      <c r="R23" s="166"/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83"/>
      <c r="G24" s="357" t="s">
        <v>111</v>
      </c>
      <c r="H24" s="361">
        <f>'[8]Base Preços MP'!G23</f>
        <v>7.3</v>
      </c>
      <c r="I24" s="172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165" t="s">
        <v>111</v>
      </c>
      <c r="R24" s="166"/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83"/>
      <c r="G25" s="357" t="s">
        <v>112</v>
      </c>
      <c r="H25" s="361">
        <f>'[8]Base Preços MP'!G20</f>
        <v>0.49</v>
      </c>
      <c r="I25" s="172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165" t="s">
        <v>112</v>
      </c>
      <c r="R25" s="166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62">
        <f>'[8]Base Preços MP'!G35</f>
        <v>1.58</v>
      </c>
      <c r="I26" s="171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165" t="s">
        <v>105</v>
      </c>
      <c r="R26" s="166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62">
        <f>'[8]Base Preços MP'!G25</f>
        <v>1.55</v>
      </c>
      <c r="I27" s="171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165" t="s">
        <v>122</v>
      </c>
      <c r="R27" s="166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62">
        <f>'[8]Base Preços MP'!G11</f>
        <v>2.99</v>
      </c>
      <c r="I28" s="1"/>
      <c r="J28" s="359">
        <f t="shared" si="3"/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66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173"/>
      <c r="G29" s="1"/>
      <c r="H29" s="362">
        <f>EQUILIBRIO!H33</f>
        <v>3.5</v>
      </c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66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62">
        <f>'[8]Base Preços MP'!G40</f>
        <v>1.56</v>
      </c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/>
      <c r="U30" s="144"/>
      <c r="V30" s="146"/>
    </row>
    <row r="31" spans="1:22" x14ac:dyDescent="0.2">
      <c r="A31" s="1"/>
      <c r="B31" s="659"/>
      <c r="C31" s="660"/>
      <c r="D31" s="661"/>
      <c r="E31" s="147">
        <f t="shared" si="1"/>
        <v>0</v>
      </c>
      <c r="F31" s="140"/>
      <c r="G31" s="103"/>
      <c r="H31" s="113">
        <f>'[8]Base Preços MP'!G19</f>
        <v>1.51</v>
      </c>
      <c r="I31" s="103"/>
      <c r="J31" s="112">
        <f t="shared" si="3"/>
        <v>0</v>
      </c>
      <c r="K31" s="103"/>
      <c r="L31" s="703">
        <f>B31</f>
        <v>0</v>
      </c>
      <c r="M31" s="692"/>
      <c r="N31" s="692"/>
      <c r="O31" s="121">
        <f>F31*M16/1000</f>
        <v>0</v>
      </c>
      <c r="P31" s="103"/>
      <c r="Q31" s="103"/>
      <c r="R31" s="164"/>
      <c r="U31" s="145"/>
    </row>
    <row r="32" spans="1:22" x14ac:dyDescent="0.2">
      <c r="A32" s="1"/>
      <c r="B32" s="4" t="s">
        <v>104</v>
      </c>
      <c r="C32" s="4"/>
      <c r="D32" s="4"/>
      <c r="E32" s="1">
        <f>SUM(E17:E31)</f>
        <v>17.600000000000001</v>
      </c>
      <c r="F32" s="4">
        <f>SUM(F17:F31)</f>
        <v>176</v>
      </c>
      <c r="G32" s="103"/>
      <c r="H32" s="108"/>
      <c r="I32" s="103"/>
      <c r="J32" s="108"/>
      <c r="K32" s="103"/>
      <c r="L32" s="103" t="s">
        <v>43</v>
      </c>
      <c r="M32" s="103"/>
      <c r="N32" s="103"/>
      <c r="O32" s="103">
        <f>SUM(O17:O31)</f>
        <v>5371.5200000000013</v>
      </c>
      <c r="P32" s="103"/>
      <c r="Q32" s="103"/>
      <c r="R32" s="103"/>
    </row>
    <row r="33" spans="1:18" x14ac:dyDescent="0.2">
      <c r="A33" s="22"/>
      <c r="B33" s="21"/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>
        <v>1</v>
      </c>
      <c r="B34" s="1" t="s">
        <v>8</v>
      </c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/>
      <c r="C35" s="1"/>
      <c r="D35" s="304"/>
      <c r="E35" s="1"/>
      <c r="F35" s="1"/>
      <c r="G35" s="1"/>
      <c r="H35" s="17"/>
      <c r="I35" s="1"/>
      <c r="J35" s="25"/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 t="s">
        <v>2</v>
      </c>
      <c r="C36" s="1"/>
      <c r="D36" s="303">
        <v>1.0900000000000001</v>
      </c>
      <c r="E36" s="1"/>
      <c r="F36" s="1"/>
      <c r="G36" s="1"/>
      <c r="H36" s="17" t="s">
        <v>1</v>
      </c>
      <c r="I36" s="1"/>
      <c r="J36" s="18">
        <f>SUM(J17:J35)</f>
        <v>593.22</v>
      </c>
      <c r="K36" s="103"/>
      <c r="L36" s="103"/>
      <c r="M36" s="103" t="s">
        <v>256</v>
      </c>
      <c r="N36" s="103">
        <v>0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 t="s">
        <v>26</v>
      </c>
      <c r="I37" s="1"/>
      <c r="J37" s="30">
        <v>1000</v>
      </c>
      <c r="K37" s="103"/>
      <c r="L37" s="103"/>
      <c r="M37" s="103" t="s">
        <v>105</v>
      </c>
      <c r="N37" s="103">
        <v>65</v>
      </c>
      <c r="O37" s="103"/>
      <c r="P37" s="103"/>
      <c r="Q37" s="103"/>
      <c r="R37" s="103"/>
    </row>
    <row r="38" spans="1:18" x14ac:dyDescent="0.2">
      <c r="A38" s="1"/>
      <c r="B38" s="23"/>
      <c r="C38" s="1"/>
      <c r="D38" s="27"/>
      <c r="E38" s="23"/>
      <c r="F38" s="315"/>
      <c r="G38" s="1"/>
      <c r="H38" s="23"/>
      <c r="I38" s="27"/>
      <c r="J38" s="29"/>
      <c r="K38" s="103"/>
      <c r="L38" s="103"/>
      <c r="M38" s="103" t="s">
        <v>257</v>
      </c>
      <c r="N38" s="103">
        <v>70</v>
      </c>
      <c r="O38" s="103"/>
      <c r="P38" s="103"/>
      <c r="Q38" s="103"/>
      <c r="R38" s="103"/>
    </row>
    <row r="39" spans="1:18" x14ac:dyDescent="0.2">
      <c r="A39" s="1"/>
      <c r="B39" s="3" t="s">
        <v>15</v>
      </c>
      <c r="C39" s="1"/>
      <c r="D39" s="520"/>
      <c r="E39" s="68" t="s">
        <v>77</v>
      </c>
      <c r="F39" s="364"/>
      <c r="G39" s="3"/>
      <c r="H39" s="1"/>
      <c r="I39" s="39"/>
      <c r="J39" s="68" t="s">
        <v>78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10</v>
      </c>
      <c r="C40" s="4"/>
      <c r="D40" s="521"/>
      <c r="E40" s="68">
        <f>J36/J37</f>
        <v>0.59322000000000008</v>
      </c>
      <c r="F40" s="16"/>
      <c r="G40" s="19" t="s">
        <v>16</v>
      </c>
      <c r="H40" s="4"/>
      <c r="I40" s="39"/>
      <c r="J40" s="68">
        <f>E40*D36</f>
        <v>0.64660980000000012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11</v>
      </c>
      <c r="C41" s="1"/>
      <c r="D41" s="521"/>
      <c r="E41" s="68">
        <v>0.1</v>
      </c>
      <c r="F41" s="6"/>
      <c r="G41" s="3" t="s">
        <v>17</v>
      </c>
      <c r="H41" s="1"/>
      <c r="I41" s="39"/>
      <c r="J41" s="68">
        <f>E41*D36</f>
        <v>0.10900000000000001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14</v>
      </c>
      <c r="C42" s="1"/>
      <c r="D42" s="521"/>
      <c r="E42" s="68"/>
      <c r="F42" s="3"/>
      <c r="G42" s="3" t="s">
        <v>18</v>
      </c>
      <c r="H42" s="1"/>
      <c r="I42" s="39"/>
      <c r="J42" s="68">
        <f>E42*D36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79</v>
      </c>
      <c r="C43" s="1"/>
      <c r="D43" s="521"/>
      <c r="E43" s="68"/>
      <c r="F43" s="3"/>
      <c r="G43" s="3" t="s">
        <v>80</v>
      </c>
      <c r="H43" s="1"/>
      <c r="I43" s="39"/>
      <c r="J43" s="68">
        <f>E43*D36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42</v>
      </c>
      <c r="C44" s="1"/>
      <c r="D44" s="520"/>
      <c r="E44" s="142"/>
      <c r="F44" s="3"/>
      <c r="G44" s="3" t="s">
        <v>81</v>
      </c>
      <c r="H44" s="1"/>
      <c r="I44" s="33"/>
      <c r="J44" s="142">
        <f>E44*D36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 t="s">
        <v>12</v>
      </c>
      <c r="C45" s="1"/>
      <c r="D45" s="4"/>
      <c r="E45" s="535">
        <f>E40+E41+E42+E43+E44</f>
        <v>0.69322000000000006</v>
      </c>
      <c r="F45" s="19"/>
      <c r="G45" s="4" t="s">
        <v>19</v>
      </c>
      <c r="H45" s="4"/>
      <c r="I45" s="6"/>
      <c r="J45" s="28">
        <f>J40+J41+J42+J43+J44</f>
        <v>0.75560980000000011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/>
      <c r="B46" s="22"/>
      <c r="C46" s="22"/>
      <c r="D46" s="1"/>
      <c r="E46" s="1"/>
      <c r="F46" s="19"/>
      <c r="G46" s="4"/>
      <c r="H46" s="27"/>
      <c r="I46" s="33"/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>
        <v>2</v>
      </c>
      <c r="B47" s="23" t="s">
        <v>9</v>
      </c>
      <c r="C47" s="23"/>
      <c r="D47" s="29"/>
      <c r="E47" s="3"/>
      <c r="F47" s="6"/>
      <c r="G47" s="4"/>
      <c r="H47" s="4" t="s">
        <v>20</v>
      </c>
      <c r="I47" s="39">
        <f>(100-J46)/100</f>
        <v>1</v>
      </c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/>
      <c r="C48" s="11"/>
      <c r="D48" s="31"/>
      <c r="E48" s="36" t="s">
        <v>84</v>
      </c>
      <c r="F48" s="36" t="s">
        <v>85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 t="s">
        <v>22</v>
      </c>
      <c r="C49" s="1"/>
      <c r="D49" s="24" t="s">
        <v>13</v>
      </c>
      <c r="E49" s="36">
        <v>0</v>
      </c>
      <c r="F49" s="36">
        <v>0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60</v>
      </c>
      <c r="E50" s="36">
        <v>0.19448062015503875</v>
      </c>
      <c r="F50" s="36">
        <v>0.25087999999999999</v>
      </c>
      <c r="G50" s="19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82</v>
      </c>
      <c r="E51" s="36"/>
      <c r="F51" s="36"/>
      <c r="G51" s="4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/>
      <c r="F52" s="36"/>
      <c r="G52" s="19"/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50</v>
      </c>
      <c r="E53" s="36">
        <v>0.3956589147286822</v>
      </c>
      <c r="F53" s="36">
        <v>0.51040000000000008</v>
      </c>
      <c r="G53" s="1" t="s">
        <v>86</v>
      </c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/>
      <c r="B54" s="22"/>
      <c r="C54" s="35"/>
      <c r="D54" s="24" t="s">
        <v>59</v>
      </c>
      <c r="E54" s="36">
        <v>0.92286821705426358</v>
      </c>
      <c r="F54" s="36">
        <v>1.1905000000000001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>
        <v>3</v>
      </c>
      <c r="B55" s="1" t="s">
        <v>25</v>
      </c>
      <c r="C55" s="1"/>
      <c r="D55" s="1" t="s">
        <v>61</v>
      </c>
      <c r="E55" s="283">
        <v>2.3352713178294571</v>
      </c>
      <c r="F55" s="241">
        <v>3.0124999999999997</v>
      </c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/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288</v>
      </c>
      <c r="D58" s="65"/>
      <c r="E58" s="65"/>
      <c r="F58" s="58"/>
      <c r="G58" s="27"/>
      <c r="H58" s="56" t="s">
        <v>324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64</v>
      </c>
      <c r="D59" s="67" t="s">
        <v>65</v>
      </c>
      <c r="E59" s="67" t="s">
        <v>66</v>
      </c>
      <c r="F59" s="72" t="s">
        <v>87</v>
      </c>
      <c r="G59" s="27" t="s">
        <v>401</v>
      </c>
      <c r="H59" s="56" t="s">
        <v>414</v>
      </c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/>
      <c r="B60" s="694"/>
      <c r="C60" s="74" t="s">
        <v>23</v>
      </c>
      <c r="D60" s="70">
        <f>E45/I47</f>
        <v>0.69322000000000006</v>
      </c>
      <c r="E60" s="70">
        <f>D60*D36</f>
        <v>0.75560980000000011</v>
      </c>
      <c r="F60" s="61" t="s">
        <v>88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 t="str">
        <f>'[8]FUEL BLACK 20%'!A60:B60</f>
        <v>Contentor Incluido</v>
      </c>
      <c r="B61" s="1"/>
      <c r="C61" s="69">
        <v>1000</v>
      </c>
      <c r="D61" s="70">
        <f>E45/I47+D42+E50</f>
        <v>0.88770062015503881</v>
      </c>
      <c r="E61" s="70">
        <f>D61*D36</f>
        <v>0.96759367596899237</v>
      </c>
      <c r="F61" s="51" t="s">
        <v>89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50</v>
      </c>
      <c r="D62" s="70"/>
      <c r="E62" s="70"/>
      <c r="F62" s="61" t="s">
        <v>90</v>
      </c>
      <c r="G62" s="33"/>
      <c r="H62" s="56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/>
      <c r="E63" s="70"/>
      <c r="F63" s="51" t="s">
        <v>89</v>
      </c>
      <c r="G63" s="33"/>
      <c r="H63" s="7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>
        <f>E45/I47+D42+E53</f>
        <v>1.0888789147286824</v>
      </c>
      <c r="E64" s="70">
        <f>D64*D36</f>
        <v>1.1868780170542639</v>
      </c>
      <c r="F64" s="61" t="s">
        <v>90</v>
      </c>
      <c r="G64" s="33">
        <f>E64/0.88</f>
        <v>1.3487250193798452</v>
      </c>
      <c r="H64" s="20">
        <f>G64+0.5</f>
        <v>1.8487250193798452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5</v>
      </c>
      <c r="D65" s="70">
        <f>E45/I47+D42+E54</f>
        <v>1.6160882170542636</v>
      </c>
      <c r="E65" s="70">
        <f>D65*D36</f>
        <v>1.7615361565891474</v>
      </c>
      <c r="F65" s="61" t="s">
        <v>94</v>
      </c>
      <c r="G65" s="39">
        <f>E65/0.88</f>
        <v>2.0017456324876677</v>
      </c>
      <c r="H65" s="7">
        <f>G65+0.5</f>
        <v>2.5017456324876677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300">
        <v>1</v>
      </c>
      <c r="D66" s="301"/>
      <c r="E66" s="301"/>
      <c r="F66" s="302" t="s">
        <v>95</v>
      </c>
      <c r="G66" s="87">
        <f>E66/0.88</f>
        <v>0</v>
      </c>
      <c r="H66" s="7">
        <f>G66+0.5</f>
        <v>0.5</v>
      </c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342"/>
      <c r="F68" s="92"/>
      <c r="G68" s="342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2"/>
      <c r="F69" s="92"/>
      <c r="G69" s="342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39" workbookViewId="0">
      <selection activeCell="D59" sqref="D59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219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508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218" t="s">
        <v>121</v>
      </c>
      <c r="L16" s="118">
        <v>1000</v>
      </c>
      <c r="M16" s="116">
        <f>L16*D35</f>
        <v>1150</v>
      </c>
      <c r="N16" s="671"/>
      <c r="O16" s="672"/>
      <c r="P16" s="134" t="s">
        <v>153</v>
      </c>
      <c r="Q16" s="134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74.17</v>
      </c>
      <c r="F17" s="110">
        <v>741.7</v>
      </c>
      <c r="G17" s="114" t="s">
        <v>125</v>
      </c>
      <c r="H17" s="156">
        <f>'Base Preços MP'!G10</f>
        <v>0.01</v>
      </c>
      <c r="I17" s="114">
        <f>E20*21/100+E26*7/100</f>
        <v>0</v>
      </c>
      <c r="J17" s="151">
        <f>F17*H17</f>
        <v>7.4170000000000007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852.95500000000004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82" t="s">
        <v>591</v>
      </c>
      <c r="C18" s="680"/>
      <c r="D18" s="681"/>
      <c r="E18" s="101">
        <f>F18/10</f>
        <v>25.830000000000002</v>
      </c>
      <c r="F18" s="83">
        <v>258.3</v>
      </c>
      <c r="G18" s="114" t="s">
        <v>69</v>
      </c>
      <c r="H18" s="157">
        <f>'Base Preços MP'!G25</f>
        <v>1.64</v>
      </c>
      <c r="I18" s="114">
        <f>E19*60/100</f>
        <v>0</v>
      </c>
      <c r="J18" s="151">
        <f>F18*H18</f>
        <v>423.61199999999997</v>
      </c>
      <c r="K18" s="111">
        <f t="shared" ref="K18:K27" si="1">I18*1.34*10</f>
        <v>0</v>
      </c>
      <c r="L18" s="676" t="str">
        <f t="shared" si="0"/>
        <v>KCL 60%</v>
      </c>
      <c r="M18" s="677"/>
      <c r="N18" s="678"/>
      <c r="O18" s="117">
        <f>F18*M16/1000</f>
        <v>297.04500000000002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79" t="s">
        <v>203</v>
      </c>
      <c r="C19" s="680"/>
      <c r="D19" s="681"/>
      <c r="E19" s="101">
        <f t="shared" ref="E19:E30" si="2">F19/10</f>
        <v>0</v>
      </c>
      <c r="F19" s="83"/>
      <c r="G19" s="114" t="s">
        <v>110</v>
      </c>
      <c r="H19" s="157">
        <f>'Base Preços MP'!G19</f>
        <v>3.5</v>
      </c>
      <c r="I19" s="114">
        <f>E18*75.5/100+E25*60/100</f>
        <v>19.501650000000001</v>
      </c>
      <c r="J19" s="151">
        <f>F19*H19</f>
        <v>0</v>
      </c>
      <c r="K19" s="111">
        <f t="shared" si="1"/>
        <v>261.32211000000007</v>
      </c>
      <c r="L19" s="676" t="str">
        <f t="shared" si="0"/>
        <v>MAP P2O5 60% N 11%</v>
      </c>
      <c r="M19" s="677"/>
      <c r="N19" s="678"/>
      <c r="O19" s="117">
        <f>F19*M16/1000</f>
        <v>0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79" t="s">
        <v>113</v>
      </c>
      <c r="C20" s="680"/>
      <c r="D20" s="681"/>
      <c r="E20" s="101">
        <f t="shared" si="2"/>
        <v>0</v>
      </c>
      <c r="F20" s="83"/>
      <c r="G20" s="114" t="s">
        <v>106</v>
      </c>
      <c r="H20" s="158">
        <f>'Base Preços MP'!G37</f>
        <v>52</v>
      </c>
      <c r="I20" s="114">
        <f>E27*27/100</f>
        <v>0</v>
      </c>
      <c r="J20" s="151">
        <f>H20*F20</f>
        <v>0</v>
      </c>
      <c r="K20" s="111">
        <f t="shared" si="1"/>
        <v>0</v>
      </c>
      <c r="L20" s="676" t="str">
        <f t="shared" si="0"/>
        <v>UREIA</v>
      </c>
      <c r="M20" s="677"/>
      <c r="N20" s="678"/>
      <c r="O20" s="117">
        <f>F20*M16/1000</f>
        <v>0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747" t="s">
        <v>132</v>
      </c>
      <c r="C21" s="684"/>
      <c r="D21" s="685"/>
      <c r="E21" s="101">
        <f t="shared" si="2"/>
        <v>0</v>
      </c>
      <c r="F21" s="139"/>
      <c r="G21" s="114" t="s">
        <v>107</v>
      </c>
      <c r="H21" s="158">
        <f>'Base Preços MP'!G26</f>
        <v>0.53</v>
      </c>
      <c r="I21" s="114">
        <f>E26*7/100</f>
        <v>0</v>
      </c>
      <c r="J21" s="151">
        <f t="shared" ref="J21:J30" si="3">F21*H21</f>
        <v>0</v>
      </c>
      <c r="K21" s="111">
        <f t="shared" si="1"/>
        <v>0</v>
      </c>
      <c r="L21" s="686" t="str">
        <f t="shared" si="0"/>
        <v>Cloreto de Managanes (14 %) Liquido</v>
      </c>
      <c r="M21" s="686"/>
      <c r="N21" s="686"/>
      <c r="O21" s="117">
        <f>F21*M16/1000</f>
        <v>0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79" t="s">
        <v>133</v>
      </c>
      <c r="C22" s="680"/>
      <c r="D22" s="681"/>
      <c r="E22" s="101">
        <f t="shared" si="2"/>
        <v>0</v>
      </c>
      <c r="F22" s="139"/>
      <c r="G22" s="114" t="s">
        <v>108</v>
      </c>
      <c r="H22" s="158">
        <f>'Base Preços MP'!G32</f>
        <v>1.84</v>
      </c>
      <c r="I22" s="114">
        <f>E21*14/100</f>
        <v>0</v>
      </c>
      <c r="J22" s="151">
        <f>F22*H22</f>
        <v>0</v>
      </c>
      <c r="K22" s="111">
        <f t="shared" si="1"/>
        <v>0</v>
      </c>
      <c r="L22" s="687" t="str">
        <f t="shared" si="0"/>
        <v xml:space="preserve">Cloreto de Zinco  Zn (21 %) Liquido </v>
      </c>
      <c r="M22" s="687"/>
      <c r="N22" s="687"/>
      <c r="O22" s="117">
        <f>F22*M16/1000</f>
        <v>0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 t="s">
        <v>70</v>
      </c>
      <c r="C23" s="680"/>
      <c r="D23" s="681"/>
      <c r="E23" s="101">
        <f t="shared" si="2"/>
        <v>0</v>
      </c>
      <c r="F23" s="83"/>
      <c r="G23" s="114" t="s">
        <v>109</v>
      </c>
      <c r="H23" s="158">
        <f>'Base Preços MP'!G29</f>
        <v>10.3</v>
      </c>
      <c r="I23" s="101">
        <f>E22*21/100</f>
        <v>0</v>
      </c>
      <c r="J23" s="151">
        <f t="shared" si="3"/>
        <v>0</v>
      </c>
      <c r="K23" s="111">
        <f t="shared" si="1"/>
        <v>0</v>
      </c>
      <c r="L23" s="687" t="str">
        <f t="shared" si="0"/>
        <v xml:space="preserve">Cloreto Ferrico Sol al 40% </v>
      </c>
      <c r="M23" s="687"/>
      <c r="N23" s="687"/>
      <c r="O23" s="117">
        <f>F23*M16/1000</f>
        <v>0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 t="s">
        <v>130</v>
      </c>
      <c r="C24" s="680"/>
      <c r="D24" s="681"/>
      <c r="E24" s="101">
        <f t="shared" si="2"/>
        <v>0</v>
      </c>
      <c r="F24" s="83"/>
      <c r="G24" s="114" t="s">
        <v>111</v>
      </c>
      <c r="H24" s="158">
        <f>'Base Preços MP'!G28</f>
        <v>1.7</v>
      </c>
      <c r="I24" s="101">
        <f>E24*14/100</f>
        <v>0</v>
      </c>
      <c r="J24" s="151">
        <f>F24*H24</f>
        <v>0</v>
      </c>
      <c r="K24" s="111">
        <f t="shared" si="1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82" t="s">
        <v>308</v>
      </c>
      <c r="C25" s="680"/>
      <c r="D25" s="681"/>
      <c r="E25" s="101">
        <f t="shared" si="2"/>
        <v>0</v>
      </c>
      <c r="F25" s="83"/>
      <c r="G25" s="114" t="s">
        <v>112</v>
      </c>
      <c r="H25" s="158">
        <f>'Base Preços MP'!G25</f>
        <v>1.64</v>
      </c>
      <c r="I25" s="101">
        <f>E23*13/100</f>
        <v>0</v>
      </c>
      <c r="J25" s="151">
        <f>F25*H25</f>
        <v>0</v>
      </c>
      <c r="K25" s="111">
        <f t="shared" si="1"/>
        <v>0</v>
      </c>
      <c r="L25" s="687" t="str">
        <f>B25</f>
        <v>Cloreto de Potasio 60%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79" t="s">
        <v>128</v>
      </c>
      <c r="C26" s="680"/>
      <c r="D26" s="681"/>
      <c r="E26" s="101">
        <f t="shared" si="2"/>
        <v>0</v>
      </c>
      <c r="F26" s="83"/>
      <c r="G26" s="114" t="s">
        <v>105</v>
      </c>
      <c r="H26" s="159">
        <f>'Base Preços MP'!G40</f>
        <v>1.4</v>
      </c>
      <c r="I26" s="141">
        <f>E28*17/100</f>
        <v>0</v>
      </c>
      <c r="J26" s="151">
        <f t="shared" si="3"/>
        <v>0</v>
      </c>
      <c r="K26" s="111">
        <f t="shared" si="1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0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79" t="s">
        <v>138</v>
      </c>
      <c r="C27" s="680"/>
      <c r="D27" s="681"/>
      <c r="E27" s="101">
        <f t="shared" si="2"/>
        <v>0</v>
      </c>
      <c r="F27" s="83"/>
      <c r="G27" s="114" t="s">
        <v>122</v>
      </c>
      <c r="H27" s="159">
        <f>'Base Preços MP'!G31</f>
        <v>1.06</v>
      </c>
      <c r="I27" s="141">
        <f>E29*39/100</f>
        <v>0</v>
      </c>
      <c r="J27" s="151">
        <f t="shared" si="3"/>
        <v>0</v>
      </c>
      <c r="K27" s="111">
        <f t="shared" si="1"/>
        <v>0</v>
      </c>
      <c r="L27" s="687" t="str">
        <f t="shared" si="0"/>
        <v>Cloreto de Calcio em Po 27 % Ca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 t="s">
        <v>30</v>
      </c>
      <c r="C28" s="680"/>
      <c r="D28" s="681"/>
      <c r="E28" s="101">
        <f t="shared" si="2"/>
        <v>0</v>
      </c>
      <c r="F28" s="83"/>
      <c r="G28" s="1"/>
      <c r="H28" s="159">
        <f>'Base Preços MP'!G11</f>
        <v>3.4</v>
      </c>
      <c r="I28" s="1"/>
      <c r="J28" s="151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 t="s">
        <v>28</v>
      </c>
      <c r="C29" s="680"/>
      <c r="D29" s="681"/>
      <c r="E29" s="101">
        <f t="shared" si="2"/>
        <v>0</v>
      </c>
      <c r="F29" s="83"/>
      <c r="G29" s="1"/>
      <c r="H29" s="159">
        <f>'Base Preços MP'!G36</f>
        <v>6.5</v>
      </c>
      <c r="I29" s="1"/>
      <c r="J29" s="151">
        <f t="shared" si="3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 t="s">
        <v>68</v>
      </c>
      <c r="C30" s="680"/>
      <c r="D30" s="681"/>
      <c r="E30" s="101">
        <f t="shared" si="2"/>
        <v>0</v>
      </c>
      <c r="F30" s="83"/>
      <c r="G30" s="1"/>
      <c r="H30" s="159">
        <f>'Base Preços MP'!G34</f>
        <v>7.75</v>
      </c>
      <c r="I30" s="1"/>
      <c r="J30" s="151">
        <f t="shared" si="3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747" t="s">
        <v>172</v>
      </c>
      <c r="C31" s="684"/>
      <c r="D31" s="685"/>
      <c r="E31" s="101">
        <f>SUM(E17:E30)</f>
        <v>100</v>
      </c>
      <c r="F31" s="83"/>
      <c r="G31" s="1"/>
      <c r="H31" s="159">
        <f>'Base Preços MP'!G45</f>
        <v>1.81</v>
      </c>
      <c r="I31" s="1"/>
      <c r="J31" s="151"/>
      <c r="K31" s="103"/>
      <c r="L31" s="687" t="str">
        <f>B31</f>
        <v>Ureia</v>
      </c>
      <c r="M31" s="687"/>
      <c r="N31" s="687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59"/>
      <c r="C32" s="660"/>
      <c r="D32" s="661"/>
      <c r="E32" s="147"/>
      <c r="F32" s="235">
        <f>SUM(F17:F31)</f>
        <v>1000</v>
      </c>
      <c r="G32" s="103"/>
      <c r="H32" s="113">
        <f>SUM(H17:H31)</f>
        <v>95.080000000000027</v>
      </c>
      <c r="I32" s="103"/>
      <c r="J32" s="112"/>
      <c r="K32" s="103"/>
      <c r="L32" s="691"/>
      <c r="M32" s="692"/>
      <c r="N32" s="692"/>
      <c r="O32" s="205">
        <f>SUM(O17:O31)</f>
        <v>1150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/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101"/>
      <c r="Q34" s="103"/>
      <c r="R34" s="103"/>
    </row>
    <row r="35" spans="1:18" ht="13.5" thickBot="1" x14ac:dyDescent="0.25">
      <c r="A35" s="1"/>
      <c r="B35" s="1" t="s">
        <v>2</v>
      </c>
      <c r="C35" s="1"/>
      <c r="D35" s="206">
        <v>1.1499999999999999</v>
      </c>
      <c r="E35" s="1"/>
      <c r="F35" s="1"/>
      <c r="G35" s="1"/>
      <c r="H35" s="1" t="s">
        <v>1</v>
      </c>
      <c r="I35" s="1"/>
      <c r="J35" s="1">
        <f>SUM(J17:J34)</f>
        <v>431.02899999999994</v>
      </c>
      <c r="K35" s="103"/>
      <c r="L35" s="103"/>
      <c r="M35" s="103"/>
      <c r="N35" s="103"/>
      <c r="O35" s="103"/>
      <c r="P35" s="114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259</v>
      </c>
      <c r="N36" s="103"/>
      <c r="O36" s="103"/>
      <c r="P36" s="114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89" t="s">
        <v>256</v>
      </c>
      <c r="M37" s="189">
        <v>0</v>
      </c>
      <c r="N37" s="103"/>
      <c r="O37" s="103"/>
      <c r="P37" s="114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/>
      <c r="N38" s="103"/>
      <c r="O38" s="103"/>
      <c r="P38" s="114"/>
      <c r="Q38" s="103"/>
      <c r="R38" s="103"/>
    </row>
    <row r="39" spans="1:18" x14ac:dyDescent="0.2">
      <c r="A39" s="1"/>
      <c r="B39" s="23" t="s">
        <v>10</v>
      </c>
      <c r="C39" s="1"/>
      <c r="D39" s="526"/>
      <c r="E39" s="400">
        <f>J35/J36</f>
        <v>0.43102899999999994</v>
      </c>
      <c r="F39" s="101"/>
      <c r="G39" s="1" t="s">
        <v>16</v>
      </c>
      <c r="H39" s="23"/>
      <c r="I39" s="27"/>
      <c r="J39" s="239">
        <f>E39*D35</f>
        <v>0.49568334999999991</v>
      </c>
      <c r="K39" s="103"/>
      <c r="L39" s="103" t="s">
        <v>257</v>
      </c>
      <c r="M39" s="103"/>
      <c r="N39" s="103"/>
      <c r="O39" s="103"/>
      <c r="P39" s="114"/>
      <c r="Q39" s="103"/>
      <c r="R39" s="103"/>
    </row>
    <row r="40" spans="1:18" x14ac:dyDescent="0.2">
      <c r="A40" s="1"/>
      <c r="B40" s="3" t="s">
        <v>11</v>
      </c>
      <c r="C40" s="1"/>
      <c r="D40" s="520"/>
      <c r="E40" s="68">
        <v>0.1</v>
      </c>
      <c r="F40" s="102"/>
      <c r="G40" s="3" t="s">
        <v>17</v>
      </c>
      <c r="H40" s="1"/>
      <c r="I40" s="39"/>
      <c r="J40" s="68">
        <f>E40*D35</f>
        <v>0.11499999999999999</v>
      </c>
      <c r="K40" s="103"/>
      <c r="L40" s="103"/>
      <c r="M40" s="103"/>
      <c r="N40" s="103"/>
      <c r="O40" s="103"/>
      <c r="P40" s="114"/>
      <c r="Q40" s="103"/>
      <c r="R40" s="103"/>
    </row>
    <row r="41" spans="1:18" x14ac:dyDescent="0.2">
      <c r="A41" s="1"/>
      <c r="B41" s="19" t="s">
        <v>14</v>
      </c>
      <c r="C41" s="4"/>
      <c r="D41" s="521"/>
      <c r="E41" s="68"/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1"/>
      <c r="E44" s="68">
        <f>E39+E40+E41+E42+E43</f>
        <v>0.53102899999999997</v>
      </c>
      <c r="F44" s="3"/>
      <c r="G44" s="3" t="s">
        <v>19</v>
      </c>
      <c r="H44" s="1"/>
      <c r="I44" s="39"/>
      <c r="J44" s="68">
        <f>J39+J40+J41+J42+J43</f>
        <v>0.61068334999999996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3"/>
      <c r="C45" s="1"/>
      <c r="D45" s="520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114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/>
      <c r="I47" s="33"/>
      <c r="J47" s="76"/>
      <c r="K47" s="103"/>
      <c r="L47" s="748"/>
      <c r="M47" s="697"/>
      <c r="N47" s="748"/>
      <c r="O47" s="697"/>
      <c r="P47" s="748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533">
        <v>0</v>
      </c>
      <c r="F48" s="534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31" t="s">
        <v>60</v>
      </c>
      <c r="E49" s="36">
        <v>0.19448062015503875</v>
      </c>
      <c r="F49" s="36">
        <v>0.25087999999999999</v>
      </c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0.3956589147286822</v>
      </c>
      <c r="F52" s="36">
        <v>0.51040000000000008</v>
      </c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v>2.3352713178294571</v>
      </c>
      <c r="F54" s="36">
        <v>3.0124999999999997</v>
      </c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213</v>
      </c>
      <c r="D57" s="27"/>
      <c r="E57" s="27"/>
      <c r="F57" s="27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27" t="s">
        <v>401</v>
      </c>
      <c r="H58" s="56" t="s">
        <v>414</v>
      </c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238" t="s">
        <v>23</v>
      </c>
      <c r="D59" s="245">
        <f>E44/I46+D41</f>
        <v>0.53102899999999997</v>
      </c>
      <c r="E59" s="400">
        <f>D59*D35</f>
        <v>0.61068334999999996</v>
      </c>
      <c r="F59" s="24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'FUEL BLACK 20% NÃO USAR'!A60:B60</f>
        <v>Contentor Incluido</v>
      </c>
      <c r="B60" s="1"/>
      <c r="C60" s="240">
        <v>1000</v>
      </c>
      <c r="D60" s="241">
        <f>E44/I46+D41+E49</f>
        <v>0.72550962015503873</v>
      </c>
      <c r="E60" s="241">
        <f>D60*D35</f>
        <v>0.83433606317829445</v>
      </c>
      <c r="F60" s="243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74">
        <v>50</v>
      </c>
      <c r="D61" s="70"/>
      <c r="E61" s="70"/>
      <c r="F61" s="244" t="s">
        <v>90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244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0.92668791472868217</v>
      </c>
      <c r="E63" s="70">
        <f>D63*D35</f>
        <v>1.0656911019379844</v>
      </c>
      <c r="F63" s="244" t="s">
        <v>90</v>
      </c>
      <c r="G63" s="33">
        <f>E63/0.88</f>
        <v>1.2110126158386187</v>
      </c>
      <c r="H63" s="20">
        <f>G63+0.5</f>
        <v>1.7110126158386187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1.4538972170542634</v>
      </c>
      <c r="E64" s="70">
        <f>D64*D35</f>
        <v>1.6719817996124029</v>
      </c>
      <c r="F64" s="244" t="s">
        <v>94</v>
      </c>
      <c r="G64" s="39">
        <f>E64/0.88</f>
        <v>1.8999793177413669</v>
      </c>
      <c r="H64" s="7">
        <f>G64+0.5</f>
        <v>2.3999793177413666</v>
      </c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1</v>
      </c>
      <c r="D65" s="70">
        <f>E44/I46+D41+E54</f>
        <v>2.8663003178294568</v>
      </c>
      <c r="E65" s="70">
        <f>D65*D35</f>
        <v>3.296245365503875</v>
      </c>
      <c r="F65" s="244" t="s">
        <v>95</v>
      </c>
      <c r="G65" s="87">
        <f>E65/0.88</f>
        <v>3.7457333698907669</v>
      </c>
      <c r="H65" s="7">
        <f>G65+0.5</f>
        <v>4.2457333698907664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69"/>
      <c r="D66" s="70"/>
      <c r="E66" s="70"/>
      <c r="F66" s="244"/>
      <c r="G66" s="87">
        <f>E66/0.88</f>
        <v>0</v>
      </c>
      <c r="H66" s="7">
        <f>G66+0.5</f>
        <v>0.5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88"/>
      <c r="E67" s="86"/>
      <c r="F67" s="86"/>
      <c r="G67" s="86"/>
      <c r="H67" s="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89"/>
      <c r="D68" s="89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91"/>
      <c r="F70" s="92"/>
      <c r="G70" s="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B28:D28"/>
    <mergeCell ref="L28:N28"/>
    <mergeCell ref="B29:D29"/>
    <mergeCell ref="L29:N29"/>
    <mergeCell ref="B30:D30"/>
    <mergeCell ref="L30:N30"/>
    <mergeCell ref="B31:D31"/>
    <mergeCell ref="L31:N31"/>
    <mergeCell ref="B32:D32"/>
    <mergeCell ref="L32:N32"/>
    <mergeCell ref="L46:Q46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L55:M55"/>
    <mergeCell ref="N55:O55"/>
    <mergeCell ref="P55:Q55"/>
    <mergeCell ref="A69:B69"/>
    <mergeCell ref="A70:B70"/>
    <mergeCell ref="L56:M56"/>
    <mergeCell ref="N56:O56"/>
    <mergeCell ref="P56:Q56"/>
    <mergeCell ref="A61:B61"/>
    <mergeCell ref="A67:B67"/>
    <mergeCell ref="A68:B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3" workbookViewId="0">
      <selection activeCell="B17" sqref="B17:D30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537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00" t="s">
        <v>67</v>
      </c>
      <c r="M15" s="500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536" t="s">
        <v>121</v>
      </c>
      <c r="L16" s="118">
        <v>1000</v>
      </c>
      <c r="M16" s="116">
        <f>L16*D35</f>
        <v>0</v>
      </c>
      <c r="N16" s="671"/>
      <c r="O16" s="672"/>
      <c r="P16" s="500" t="s">
        <v>153</v>
      </c>
      <c r="Q16" s="500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0</v>
      </c>
      <c r="F17" s="110"/>
      <c r="G17" s="114" t="s">
        <v>125</v>
      </c>
      <c r="H17" s="156">
        <f>'Base Preços MP'!G10</f>
        <v>0.01</v>
      </c>
      <c r="I17" s="114">
        <f>E20*21/100+E26*7/100</f>
        <v>0</v>
      </c>
      <c r="J17" s="151">
        <f>F17*H17</f>
        <v>0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0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79" t="s">
        <v>195</v>
      </c>
      <c r="C18" s="680"/>
      <c r="D18" s="681"/>
      <c r="E18" s="101">
        <f>F18/10</f>
        <v>0</v>
      </c>
      <c r="F18" s="83"/>
      <c r="G18" s="114" t="s">
        <v>69</v>
      </c>
      <c r="H18" s="157">
        <f>'Base Preços MP'!G23</f>
        <v>3.2</v>
      </c>
      <c r="I18" s="114">
        <f>E19*60/100</f>
        <v>0</v>
      </c>
      <c r="J18" s="151">
        <f>F18*H18</f>
        <v>0</v>
      </c>
      <c r="K18" s="111">
        <f t="shared" ref="K18:K27" si="1">I18*1.34*10</f>
        <v>0</v>
      </c>
      <c r="L18" s="676" t="str">
        <f t="shared" si="0"/>
        <v>Acido Nitrico N 11%</v>
      </c>
      <c r="M18" s="677"/>
      <c r="N18" s="678"/>
      <c r="O18" s="117">
        <f>F18*M16/1000</f>
        <v>0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79" t="s">
        <v>203</v>
      </c>
      <c r="C19" s="680"/>
      <c r="D19" s="681"/>
      <c r="E19" s="101">
        <f t="shared" ref="E19:E30" si="2">F19/10</f>
        <v>0</v>
      </c>
      <c r="F19" s="83"/>
      <c r="G19" s="114" t="s">
        <v>110</v>
      </c>
      <c r="H19" s="157">
        <f>'Base Preços MP'!G19</f>
        <v>3.5</v>
      </c>
      <c r="I19" s="114">
        <f>E18*75.5/100+E25*60/100</f>
        <v>0</v>
      </c>
      <c r="J19" s="151">
        <f>F19*H19</f>
        <v>0</v>
      </c>
      <c r="K19" s="111">
        <f t="shared" si="1"/>
        <v>0</v>
      </c>
      <c r="L19" s="676" t="str">
        <f t="shared" si="0"/>
        <v>MAP P2O5 60% N 11%</v>
      </c>
      <c r="M19" s="677"/>
      <c r="N19" s="678"/>
      <c r="O19" s="117">
        <f>F19*M16/1000</f>
        <v>0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82" t="s">
        <v>113</v>
      </c>
      <c r="C20" s="680"/>
      <c r="D20" s="681"/>
      <c r="E20" s="101">
        <f t="shared" si="2"/>
        <v>0</v>
      </c>
      <c r="F20" s="83"/>
      <c r="G20" s="114" t="s">
        <v>106</v>
      </c>
      <c r="H20" s="158">
        <f>'Base Preços MP'!G39</f>
        <v>1.28</v>
      </c>
      <c r="I20" s="114">
        <f>E27*27/100</f>
        <v>0</v>
      </c>
      <c r="J20" s="151">
        <f>H20*F20</f>
        <v>0</v>
      </c>
      <c r="K20" s="111">
        <f t="shared" si="1"/>
        <v>0</v>
      </c>
      <c r="L20" s="676" t="str">
        <f t="shared" si="0"/>
        <v>UREIA</v>
      </c>
      <c r="M20" s="677"/>
      <c r="N20" s="678"/>
      <c r="O20" s="117">
        <f>F20*M16/1000</f>
        <v>0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747" t="s">
        <v>132</v>
      </c>
      <c r="C21" s="684"/>
      <c r="D21" s="685"/>
      <c r="E21" s="101">
        <f t="shared" si="2"/>
        <v>0</v>
      </c>
      <c r="F21" s="139"/>
      <c r="G21" s="114" t="s">
        <v>107</v>
      </c>
      <c r="H21" s="158">
        <f>'Base Preços MP'!G26</f>
        <v>0.53</v>
      </c>
      <c r="I21" s="114">
        <f>E26*7/100</f>
        <v>0</v>
      </c>
      <c r="J21" s="151">
        <f t="shared" ref="J21:J30" si="3">F21*H21</f>
        <v>0</v>
      </c>
      <c r="K21" s="111">
        <f t="shared" si="1"/>
        <v>0</v>
      </c>
      <c r="L21" s="686" t="str">
        <f t="shared" si="0"/>
        <v>Cloreto de Managanes (14 %) Liquido</v>
      </c>
      <c r="M21" s="686"/>
      <c r="N21" s="686"/>
      <c r="O21" s="117">
        <f>F21*M16/1000</f>
        <v>0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79" t="s">
        <v>133</v>
      </c>
      <c r="C22" s="680"/>
      <c r="D22" s="681"/>
      <c r="E22" s="101">
        <f t="shared" si="2"/>
        <v>0</v>
      </c>
      <c r="F22" s="139"/>
      <c r="G22" s="114" t="s">
        <v>108</v>
      </c>
      <c r="H22" s="158">
        <f>'Base Preços MP'!G32</f>
        <v>1.84</v>
      </c>
      <c r="I22" s="114">
        <f>E21*14/100</f>
        <v>0</v>
      </c>
      <c r="J22" s="151">
        <f>F22*H22</f>
        <v>0</v>
      </c>
      <c r="K22" s="111">
        <f t="shared" si="1"/>
        <v>0</v>
      </c>
      <c r="L22" s="687" t="str">
        <f t="shared" si="0"/>
        <v xml:space="preserve">Cloreto de Zinco  Zn (21 %) Liquido </v>
      </c>
      <c r="M22" s="687"/>
      <c r="N22" s="687"/>
      <c r="O22" s="117">
        <f>F22*M16/1000</f>
        <v>0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 t="s">
        <v>70</v>
      </c>
      <c r="C23" s="680"/>
      <c r="D23" s="681"/>
      <c r="E23" s="101">
        <f t="shared" si="2"/>
        <v>0</v>
      </c>
      <c r="F23" s="83"/>
      <c r="G23" s="114" t="s">
        <v>109</v>
      </c>
      <c r="H23" s="158">
        <f>'Base Preços MP'!G29</f>
        <v>10.3</v>
      </c>
      <c r="I23" s="101">
        <f>E22*21/100</f>
        <v>0</v>
      </c>
      <c r="J23" s="151">
        <f t="shared" si="3"/>
        <v>0</v>
      </c>
      <c r="K23" s="111">
        <f t="shared" si="1"/>
        <v>0</v>
      </c>
      <c r="L23" s="687" t="str">
        <f t="shared" si="0"/>
        <v xml:space="preserve">Cloreto Ferrico Sol al 40% </v>
      </c>
      <c r="M23" s="687"/>
      <c r="N23" s="687"/>
      <c r="O23" s="117">
        <f>F23*M16/1000</f>
        <v>0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 t="s">
        <v>130</v>
      </c>
      <c r="C24" s="680"/>
      <c r="D24" s="681"/>
      <c r="E24" s="101">
        <f t="shared" si="2"/>
        <v>0</v>
      </c>
      <c r="F24" s="83"/>
      <c r="G24" s="114" t="s">
        <v>111</v>
      </c>
      <c r="H24" s="158">
        <f>'Base Preços MP'!G28</f>
        <v>1.7</v>
      </c>
      <c r="I24" s="101">
        <f>E24*14/100</f>
        <v>0</v>
      </c>
      <c r="J24" s="151">
        <f>F24*H24</f>
        <v>0</v>
      </c>
      <c r="K24" s="111">
        <f t="shared" si="1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79" t="s">
        <v>170</v>
      </c>
      <c r="C25" s="680"/>
      <c r="D25" s="681"/>
      <c r="E25" s="101">
        <f t="shared" si="2"/>
        <v>0</v>
      </c>
      <c r="F25" s="83"/>
      <c r="G25" s="114" t="s">
        <v>112</v>
      </c>
      <c r="H25" s="158">
        <f>'Base Preços MP'!G25</f>
        <v>1.64</v>
      </c>
      <c r="I25" s="101">
        <f>E23*13/100</f>
        <v>0</v>
      </c>
      <c r="J25" s="151">
        <f>F25*H25</f>
        <v>0</v>
      </c>
      <c r="K25" s="111">
        <f t="shared" si="1"/>
        <v>0</v>
      </c>
      <c r="L25" s="687" t="str">
        <f t="shared" si="0"/>
        <v>Cloreto de Potasio 15%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79" t="s">
        <v>128</v>
      </c>
      <c r="C26" s="680"/>
      <c r="D26" s="681"/>
      <c r="E26" s="101">
        <f t="shared" si="2"/>
        <v>0</v>
      </c>
      <c r="F26" s="83"/>
      <c r="G26" s="114" t="s">
        <v>105</v>
      </c>
      <c r="H26" s="159">
        <f>'Base Preços MP'!G40</f>
        <v>1.4</v>
      </c>
      <c r="I26" s="141">
        <f>E28*17/100</f>
        <v>0</v>
      </c>
      <c r="J26" s="151">
        <f t="shared" si="3"/>
        <v>0</v>
      </c>
      <c r="K26" s="111">
        <f t="shared" si="1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0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79" t="s">
        <v>138</v>
      </c>
      <c r="C27" s="680"/>
      <c r="D27" s="681"/>
      <c r="E27" s="101">
        <f t="shared" si="2"/>
        <v>0</v>
      </c>
      <c r="F27" s="83"/>
      <c r="G27" s="114" t="s">
        <v>122</v>
      </c>
      <c r="H27" s="159">
        <f>'Base Preços MP'!G31</f>
        <v>1.06</v>
      </c>
      <c r="I27" s="141">
        <f>E29*39/100</f>
        <v>0</v>
      </c>
      <c r="J27" s="151">
        <f t="shared" si="3"/>
        <v>0</v>
      </c>
      <c r="K27" s="111">
        <f t="shared" si="1"/>
        <v>0</v>
      </c>
      <c r="L27" s="687" t="str">
        <f t="shared" si="0"/>
        <v>Cloreto de Calcio em Po 27 % Ca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 t="s">
        <v>30</v>
      </c>
      <c r="C28" s="680"/>
      <c r="D28" s="681"/>
      <c r="E28" s="101">
        <f t="shared" si="2"/>
        <v>0</v>
      </c>
      <c r="F28" s="83"/>
      <c r="G28" s="1"/>
      <c r="H28" s="159">
        <f>'Base Preços MP'!G11</f>
        <v>3.4</v>
      </c>
      <c r="I28" s="1"/>
      <c r="J28" s="151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 t="s">
        <v>28</v>
      </c>
      <c r="C29" s="680"/>
      <c r="D29" s="681"/>
      <c r="E29" s="101">
        <f t="shared" si="2"/>
        <v>0</v>
      </c>
      <c r="F29" s="83"/>
      <c r="G29" s="1"/>
      <c r="H29" s="159">
        <f>'Base Preços MP'!G36</f>
        <v>6.5</v>
      </c>
      <c r="I29" s="1"/>
      <c r="J29" s="151">
        <f t="shared" si="3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 t="s">
        <v>68</v>
      </c>
      <c r="C30" s="680"/>
      <c r="D30" s="681"/>
      <c r="E30" s="101">
        <f t="shared" si="2"/>
        <v>0</v>
      </c>
      <c r="F30" s="83"/>
      <c r="G30" s="1"/>
      <c r="H30" s="159">
        <f>'Base Preços MP'!G34</f>
        <v>7.75</v>
      </c>
      <c r="I30" s="1"/>
      <c r="J30" s="151">
        <f t="shared" si="3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747" t="s">
        <v>172</v>
      </c>
      <c r="C31" s="684"/>
      <c r="D31" s="685"/>
      <c r="E31" s="101">
        <f>SUM(E17:E30)</f>
        <v>0</v>
      </c>
      <c r="F31" s="83"/>
      <c r="G31" s="1"/>
      <c r="H31" s="159">
        <f>EQUILIBRIO!H29</f>
        <v>1.7</v>
      </c>
      <c r="I31" s="1"/>
      <c r="J31" s="151">
        <f>H31*F31</f>
        <v>0</v>
      </c>
      <c r="K31" s="103"/>
      <c r="L31" s="687" t="str">
        <f>B31</f>
        <v>Ureia</v>
      </c>
      <c r="M31" s="687"/>
      <c r="N31" s="687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59"/>
      <c r="C32" s="660"/>
      <c r="D32" s="661"/>
      <c r="E32" s="147"/>
      <c r="F32" s="140">
        <f>SUM(F17:F31)</f>
        <v>0</v>
      </c>
      <c r="G32" s="103"/>
      <c r="H32" s="113">
        <f>SUM(H17:H31)</f>
        <v>45.81</v>
      </c>
      <c r="I32" s="103"/>
      <c r="J32" s="112"/>
      <c r="K32" s="103"/>
      <c r="L32" s="691"/>
      <c r="M32" s="692"/>
      <c r="N32" s="692"/>
      <c r="O32" s="205">
        <f>SUM(O17:O31)</f>
        <v>0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/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101"/>
      <c r="Q34" s="103"/>
      <c r="R34" s="103"/>
    </row>
    <row r="35" spans="1:18" ht="13.5" thickBot="1" x14ac:dyDescent="0.25">
      <c r="A35" s="1"/>
      <c r="B35" s="1" t="s">
        <v>2</v>
      </c>
      <c r="C35" s="1"/>
      <c r="D35" s="206"/>
      <c r="E35" s="1"/>
      <c r="F35" s="1"/>
      <c r="G35" s="1"/>
      <c r="H35" s="1" t="s">
        <v>1</v>
      </c>
      <c r="I35" s="1"/>
      <c r="J35" s="1">
        <f>SUM(J17:J34)</f>
        <v>0</v>
      </c>
      <c r="K35" s="103"/>
      <c r="L35" s="103"/>
      <c r="M35" s="103"/>
      <c r="N35" s="103"/>
      <c r="O35" s="103"/>
      <c r="P35" s="114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260</v>
      </c>
      <c r="N36" s="103"/>
      <c r="O36" s="103"/>
      <c r="P36" s="114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89" t="s">
        <v>256</v>
      </c>
      <c r="M37" s="189">
        <v>40</v>
      </c>
      <c r="N37" s="103"/>
      <c r="O37" s="103"/>
      <c r="P37" s="114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/>
      <c r="N38" s="103"/>
      <c r="O38" s="103"/>
      <c r="P38" s="114"/>
      <c r="Q38" s="103"/>
      <c r="R38" s="103"/>
    </row>
    <row r="39" spans="1:18" x14ac:dyDescent="0.2">
      <c r="A39" s="1"/>
      <c r="B39" s="23" t="s">
        <v>10</v>
      </c>
      <c r="C39" s="1"/>
      <c r="D39" s="526"/>
      <c r="E39" s="400">
        <f>J35/J36</f>
        <v>0</v>
      </c>
      <c r="F39" s="101"/>
      <c r="G39" s="1" t="s">
        <v>16</v>
      </c>
      <c r="H39" s="23"/>
      <c r="I39" s="27"/>
      <c r="J39" s="29">
        <f>E39*D35</f>
        <v>0</v>
      </c>
      <c r="K39" s="103"/>
      <c r="L39" s="103" t="s">
        <v>257</v>
      </c>
      <c r="M39" s="103"/>
      <c r="N39" s="103"/>
      <c r="O39" s="103"/>
      <c r="P39" s="114"/>
      <c r="Q39" s="103"/>
      <c r="R39" s="103"/>
    </row>
    <row r="40" spans="1:18" x14ac:dyDescent="0.2">
      <c r="A40" s="1"/>
      <c r="B40" s="3" t="s">
        <v>11</v>
      </c>
      <c r="C40" s="1"/>
      <c r="D40" s="520"/>
      <c r="E40" s="68">
        <v>0.09</v>
      </c>
      <c r="F40" s="102"/>
      <c r="G40" s="3" t="s">
        <v>17</v>
      </c>
      <c r="H40" s="1"/>
      <c r="I40" s="39"/>
      <c r="J40" s="68">
        <f>E40*D35</f>
        <v>0</v>
      </c>
      <c r="K40" s="103"/>
      <c r="L40" s="103"/>
      <c r="M40" s="103"/>
      <c r="N40" s="103"/>
      <c r="O40" s="103"/>
      <c r="P40" s="114"/>
      <c r="Q40" s="103"/>
      <c r="R40" s="103"/>
    </row>
    <row r="41" spans="1:18" x14ac:dyDescent="0.2">
      <c r="A41" s="1"/>
      <c r="B41" s="19" t="s">
        <v>14</v>
      </c>
      <c r="C41" s="4"/>
      <c r="D41" s="521"/>
      <c r="E41" s="68">
        <v>0</v>
      </c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282" t="s">
        <v>264</v>
      </c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1"/>
      <c r="E44" s="68">
        <f>E39+E40+E41+E42+E43</f>
        <v>0.09</v>
      </c>
      <c r="F44" s="3"/>
      <c r="G44" s="3" t="s">
        <v>19</v>
      </c>
      <c r="H44" s="1"/>
      <c r="I44" s="39"/>
      <c r="J44" s="68">
        <f>J39+J40+J41+J42+J43</f>
        <v>0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3"/>
      <c r="C45" s="1"/>
      <c r="D45" s="520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114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/>
      <c r="I47" s="33"/>
      <c r="J47" s="76"/>
      <c r="K47" s="103"/>
      <c r="L47" s="748"/>
      <c r="M47" s="697"/>
      <c r="N47" s="748"/>
      <c r="O47" s="697"/>
      <c r="P47" s="748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534">
        <v>0</v>
      </c>
      <c r="F48" s="534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507" t="s">
        <v>60</v>
      </c>
      <c r="E49" s="36">
        <v>0.19448062015503875</v>
      </c>
      <c r="F49" s="36">
        <v>0.25087999999999999</v>
      </c>
      <c r="G49" s="19"/>
      <c r="H49" s="26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19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0.3956589147286822</v>
      </c>
      <c r="F52" s="36">
        <v>0.51040000000000008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G53" s="19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v>2.3352713178294571</v>
      </c>
      <c r="F54" s="36">
        <v>3.0124999999999997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214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27" t="s">
        <v>401</v>
      </c>
      <c r="H58" s="56" t="s">
        <v>414</v>
      </c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5" t="s">
        <v>23</v>
      </c>
      <c r="D59" s="436">
        <f>E44/I46+D41</f>
        <v>0.09</v>
      </c>
      <c r="E59" s="436">
        <f>D59*D35</f>
        <v>0</v>
      </c>
      <c r="F59" s="58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'FUEL BLACK 20% NÃO USAR'!A60:B60</f>
        <v>Contentor Incluido</v>
      </c>
      <c r="B60" s="1"/>
      <c r="C60" s="66">
        <v>1000</v>
      </c>
      <c r="D60" s="67">
        <f>E44/I46+D41+E49</f>
        <v>0.28448062015503872</v>
      </c>
      <c r="E60" s="67">
        <f>D60*D35</f>
        <v>0</v>
      </c>
      <c r="F60" s="72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74">
        <v>50</v>
      </c>
      <c r="D61" s="70"/>
      <c r="E61" s="70"/>
      <c r="F61" s="61" t="s">
        <v>90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5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0.48565891472868217</v>
      </c>
      <c r="E63" s="70">
        <f>D63*D35</f>
        <v>0</v>
      </c>
      <c r="F63" s="61" t="s">
        <v>90</v>
      </c>
      <c r="G63" s="33">
        <f>E63/0.88</f>
        <v>0</v>
      </c>
      <c r="H63" s="20">
        <f>G63+0.5</f>
        <v>0.5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1.0128682170542636</v>
      </c>
      <c r="E64" s="70">
        <f>D64*D35</f>
        <v>0</v>
      </c>
      <c r="F64" s="51" t="s">
        <v>94</v>
      </c>
      <c r="G64" s="39">
        <f>E64/0.88</f>
        <v>0</v>
      </c>
      <c r="H64" s="7">
        <f>G64+0.5</f>
        <v>0.5</v>
      </c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1</v>
      </c>
      <c r="D65" s="70">
        <f>E44/I46+D41+E54</f>
        <v>2.4252713178294569</v>
      </c>
      <c r="E65" s="70">
        <f>D65*D35</f>
        <v>0</v>
      </c>
      <c r="F65" s="61" t="s">
        <v>95</v>
      </c>
      <c r="G65" s="87">
        <f>E65/0.88</f>
        <v>0</v>
      </c>
      <c r="H65" s="7">
        <f>G65+0.5</f>
        <v>0.5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69"/>
      <c r="D66" s="70"/>
      <c r="E66" s="70"/>
      <c r="F66" s="61"/>
      <c r="G66" s="87">
        <f>E66/0.88</f>
        <v>0</v>
      </c>
      <c r="H66" s="7">
        <f>G66+0.5</f>
        <v>0.5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88"/>
      <c r="E67" s="86"/>
      <c r="F67" s="86"/>
      <c r="G67" s="87">
        <f>E67/0.88</f>
        <v>0</v>
      </c>
      <c r="H67" s="7">
        <f>G67+0.5</f>
        <v>0.5</v>
      </c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89"/>
      <c r="D68" s="89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538"/>
      <c r="F69" s="92"/>
      <c r="G69" s="538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538"/>
      <c r="F70" s="92"/>
      <c r="G70" s="538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B28:D28"/>
    <mergeCell ref="L28:N28"/>
    <mergeCell ref="B29:D29"/>
    <mergeCell ref="L29:N29"/>
    <mergeCell ref="B30:D30"/>
    <mergeCell ref="L30:N30"/>
    <mergeCell ref="B31:D31"/>
    <mergeCell ref="L31:N31"/>
    <mergeCell ref="B32:D32"/>
    <mergeCell ref="L32:N32"/>
    <mergeCell ref="L46:Q46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L55:M55"/>
    <mergeCell ref="N55:O55"/>
    <mergeCell ref="P55:Q55"/>
    <mergeCell ref="A69:B69"/>
    <mergeCell ref="A70:B70"/>
    <mergeCell ref="L56:M56"/>
    <mergeCell ref="N56:O56"/>
    <mergeCell ref="P56:Q56"/>
    <mergeCell ref="A61:B61"/>
    <mergeCell ref="A67:B67"/>
    <mergeCell ref="A68:B68"/>
  </mergeCells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opLeftCell="A12" workbookViewId="0">
      <selection activeCell="L58" sqref="L58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219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120" t="s">
        <v>134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214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43262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134" t="s">
        <v>67</v>
      </c>
      <c r="M15" s="13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218" t="s">
        <v>121</v>
      </c>
      <c r="L16" s="118">
        <v>1000</v>
      </c>
      <c r="M16" s="116">
        <f>L16*D35</f>
        <v>1280</v>
      </c>
      <c r="N16" s="671"/>
      <c r="O16" s="672"/>
      <c r="P16" s="134" t="s">
        <v>153</v>
      </c>
      <c r="Q16" s="134" t="s">
        <v>124</v>
      </c>
      <c r="R16" s="103"/>
    </row>
    <row r="17" spans="1:22" x14ac:dyDescent="0.2">
      <c r="A17" s="1"/>
      <c r="B17" s="673" t="s">
        <v>584</v>
      </c>
      <c r="C17" s="674"/>
      <c r="D17" s="675"/>
      <c r="E17" s="101">
        <f>F17/10</f>
        <v>38.96</v>
      </c>
      <c r="F17" s="110">
        <v>389.6</v>
      </c>
      <c r="G17" s="114" t="s">
        <v>125</v>
      </c>
      <c r="H17" s="156">
        <f>'Base Preços MP'!G10</f>
        <v>0.01</v>
      </c>
      <c r="I17" s="114">
        <f>E20*21/100+E26*7/100</f>
        <v>0</v>
      </c>
      <c r="J17" s="151">
        <f>F17*H17</f>
        <v>3.8960000000000004</v>
      </c>
      <c r="K17" s="111">
        <f>I17*1.34*10</f>
        <v>0</v>
      </c>
      <c r="L17" s="676" t="str">
        <f t="shared" ref="L17:L30" si="0">B17</f>
        <v>AGUA</v>
      </c>
      <c r="M17" s="677"/>
      <c r="N17" s="678"/>
      <c r="O17" s="117">
        <f>F17*M16/1000</f>
        <v>498.68799999999999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82" t="s">
        <v>583</v>
      </c>
      <c r="C18" s="680"/>
      <c r="D18" s="681"/>
      <c r="E18" s="101">
        <f>F18/10</f>
        <v>54.45</v>
      </c>
      <c r="F18" s="83">
        <v>544.5</v>
      </c>
      <c r="G18" s="114" t="s">
        <v>69</v>
      </c>
      <c r="H18" s="157">
        <f>'Base Preços MP'!G39</f>
        <v>1.28</v>
      </c>
      <c r="I18" s="114">
        <f>E19*60/100</f>
        <v>3.9540000000000002</v>
      </c>
      <c r="J18" s="151">
        <f>F18*H18</f>
        <v>696.96</v>
      </c>
      <c r="K18" s="111">
        <f t="shared" ref="K18:K27" si="1">I18*1.34*10</f>
        <v>52.98360000000001</v>
      </c>
      <c r="L18" s="676" t="str">
        <f t="shared" si="0"/>
        <v>NITRATO DE AMONIO</v>
      </c>
      <c r="M18" s="677"/>
      <c r="N18" s="678"/>
      <c r="O18" s="117">
        <f>F18*M16/1000</f>
        <v>696.96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82" t="s">
        <v>113</v>
      </c>
      <c r="C19" s="680"/>
      <c r="D19" s="681"/>
      <c r="E19" s="101">
        <f t="shared" ref="E19:E30" si="2">F19/10</f>
        <v>6.5900000000000007</v>
      </c>
      <c r="F19" s="83">
        <v>65.900000000000006</v>
      </c>
      <c r="G19" s="114" t="s">
        <v>110</v>
      </c>
      <c r="H19" s="157">
        <f>'Base Preços MP'!G46</f>
        <v>1.7</v>
      </c>
      <c r="I19" s="114">
        <f>E18*75.5/100+E25*60/100</f>
        <v>41.109750000000005</v>
      </c>
      <c r="J19" s="151">
        <f>F19*H19</f>
        <v>112.03</v>
      </c>
      <c r="K19" s="111">
        <f t="shared" si="1"/>
        <v>550.87065000000007</v>
      </c>
      <c r="L19" s="676" t="str">
        <f t="shared" si="0"/>
        <v>UREIA</v>
      </c>
      <c r="M19" s="677"/>
      <c r="N19" s="678"/>
      <c r="O19" s="117">
        <f>F19*M16/1000</f>
        <v>84.352000000000004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82"/>
      <c r="C20" s="680"/>
      <c r="D20" s="681"/>
      <c r="E20" s="101">
        <f t="shared" si="2"/>
        <v>0</v>
      </c>
      <c r="F20" s="83"/>
      <c r="G20" s="114" t="s">
        <v>106</v>
      </c>
      <c r="H20" s="158">
        <f>'Base Preços MP'!G39</f>
        <v>1.28</v>
      </c>
      <c r="I20" s="114">
        <f>E27*27/100</f>
        <v>0</v>
      </c>
      <c r="J20" s="151">
        <f>H20*F20</f>
        <v>0</v>
      </c>
      <c r="K20" s="111">
        <f t="shared" si="1"/>
        <v>0</v>
      </c>
      <c r="L20" s="676">
        <f t="shared" si="0"/>
        <v>0</v>
      </c>
      <c r="M20" s="677"/>
      <c r="N20" s="678"/>
      <c r="O20" s="117">
        <f>F20*M16/1000</f>
        <v>0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747"/>
      <c r="C21" s="684"/>
      <c r="D21" s="685"/>
      <c r="E21" s="101">
        <f t="shared" si="2"/>
        <v>0</v>
      </c>
      <c r="F21" s="139"/>
      <c r="G21" s="114" t="s">
        <v>107</v>
      </c>
      <c r="H21" s="158">
        <f>'Base Preços MP'!G26</f>
        <v>0.53</v>
      </c>
      <c r="I21" s="114">
        <f>E26*7/100</f>
        <v>0</v>
      </c>
      <c r="J21" s="151">
        <f t="shared" ref="J21:J30" si="3">F21*H21</f>
        <v>0</v>
      </c>
      <c r="K21" s="111">
        <f t="shared" si="1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79"/>
      <c r="C22" s="680"/>
      <c r="D22" s="681"/>
      <c r="E22" s="101">
        <f t="shared" si="2"/>
        <v>0</v>
      </c>
      <c r="F22" s="139"/>
      <c r="G22" s="114" t="s">
        <v>108</v>
      </c>
      <c r="H22" s="158">
        <f>'Base Preços MP'!G32</f>
        <v>1.84</v>
      </c>
      <c r="I22" s="114">
        <f>E21*14/100</f>
        <v>0</v>
      </c>
      <c r="J22" s="151">
        <f>F22*H22</f>
        <v>0</v>
      </c>
      <c r="K22" s="111">
        <f t="shared" si="1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79"/>
      <c r="C23" s="680"/>
      <c r="D23" s="681"/>
      <c r="E23" s="101">
        <f t="shared" si="2"/>
        <v>0</v>
      </c>
      <c r="F23" s="83"/>
      <c r="G23" s="114" t="s">
        <v>109</v>
      </c>
      <c r="H23" s="158">
        <f>'Base Preços MP'!G29</f>
        <v>10.3</v>
      </c>
      <c r="I23" s="101">
        <f>E22*21/100</f>
        <v>0</v>
      </c>
      <c r="J23" s="151">
        <f t="shared" si="3"/>
        <v>0</v>
      </c>
      <c r="K23" s="111">
        <f t="shared" si="1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79"/>
      <c r="C24" s="680"/>
      <c r="D24" s="681"/>
      <c r="E24" s="101">
        <f t="shared" si="2"/>
        <v>0</v>
      </c>
      <c r="F24" s="83"/>
      <c r="G24" s="114" t="s">
        <v>111</v>
      </c>
      <c r="H24" s="158">
        <f>'Base Preços MP'!G28</f>
        <v>1.7</v>
      </c>
      <c r="I24" s="101">
        <f>E24*14/100</f>
        <v>0</v>
      </c>
      <c r="J24" s="151">
        <f>F24*H24</f>
        <v>0</v>
      </c>
      <c r="K24" s="111">
        <f t="shared" si="1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79"/>
      <c r="C25" s="680"/>
      <c r="D25" s="681"/>
      <c r="E25" s="101">
        <f t="shared" si="2"/>
        <v>0</v>
      </c>
      <c r="F25" s="83"/>
      <c r="G25" s="114" t="s">
        <v>112</v>
      </c>
      <c r="H25" s="158">
        <f>'Base Preços MP'!G25</f>
        <v>1.64</v>
      </c>
      <c r="I25" s="101">
        <f>E23*13/100</f>
        <v>0</v>
      </c>
      <c r="J25" s="151">
        <f>F25*H25</f>
        <v>0</v>
      </c>
      <c r="K25" s="111">
        <f t="shared" si="1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79"/>
      <c r="C26" s="680"/>
      <c r="D26" s="681"/>
      <c r="E26" s="101">
        <f t="shared" si="2"/>
        <v>0</v>
      </c>
      <c r="F26" s="83"/>
      <c r="G26" s="114" t="s">
        <v>105</v>
      </c>
      <c r="H26" s="159">
        <f>'Base Preços MP'!G40</f>
        <v>1.4</v>
      </c>
      <c r="I26" s="141">
        <f>E28*17/100</f>
        <v>0</v>
      </c>
      <c r="J26" s="151">
        <f t="shared" si="3"/>
        <v>0</v>
      </c>
      <c r="K26" s="111">
        <f t="shared" si="1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79"/>
      <c r="C27" s="680"/>
      <c r="D27" s="681"/>
      <c r="E27" s="101">
        <f t="shared" si="2"/>
        <v>0</v>
      </c>
      <c r="F27" s="83"/>
      <c r="G27" s="114" t="s">
        <v>122</v>
      </c>
      <c r="H27" s="159">
        <f>'Base Preços MP'!G31</f>
        <v>1.06</v>
      </c>
      <c r="I27" s="141">
        <f>E29*39/100</f>
        <v>0</v>
      </c>
      <c r="J27" s="151">
        <f t="shared" si="3"/>
        <v>0</v>
      </c>
      <c r="K27" s="111">
        <f t="shared" si="1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/>
      <c r="C28" s="680"/>
      <c r="D28" s="681"/>
      <c r="E28" s="101">
        <f t="shared" si="2"/>
        <v>0</v>
      </c>
      <c r="F28" s="83"/>
      <c r="G28" s="1"/>
      <c r="H28" s="159">
        <f>'Base Preços MP'!G11</f>
        <v>3.4</v>
      </c>
      <c r="I28" s="1"/>
      <c r="J28" s="151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/>
      <c r="C29" s="680"/>
      <c r="D29" s="681"/>
      <c r="E29" s="101">
        <f t="shared" si="2"/>
        <v>0</v>
      </c>
      <c r="F29" s="83"/>
      <c r="G29" s="1"/>
      <c r="H29" s="159">
        <f>'Base Preços MP'!G36</f>
        <v>6.5</v>
      </c>
      <c r="I29" s="1"/>
      <c r="J29" s="151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/>
      <c r="C30" s="680"/>
      <c r="D30" s="681"/>
      <c r="E30" s="101">
        <f t="shared" si="2"/>
        <v>0</v>
      </c>
      <c r="F30" s="83"/>
      <c r="G30" s="1"/>
      <c r="H30" s="159">
        <f>'Base Preços MP'!G34</f>
        <v>7.75</v>
      </c>
      <c r="I30" s="1"/>
      <c r="J30" s="151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747"/>
      <c r="C31" s="684"/>
      <c r="D31" s="685"/>
      <c r="E31" s="101">
        <f>SUM(E17:E30)</f>
        <v>100</v>
      </c>
      <c r="F31" s="83"/>
      <c r="G31" s="1"/>
      <c r="H31" s="159">
        <f>'Base Preços MP'!G45</f>
        <v>1.81</v>
      </c>
      <c r="I31" s="1"/>
      <c r="J31" s="151"/>
      <c r="K31" s="103"/>
      <c r="L31" s="687">
        <f>B31</f>
        <v>0</v>
      </c>
      <c r="M31" s="687"/>
      <c r="N31" s="687"/>
      <c r="O31" s="117">
        <f>F31*M16/1000</f>
        <v>0</v>
      </c>
      <c r="P31" s="103"/>
      <c r="Q31" s="103"/>
      <c r="R31" s="103"/>
      <c r="U31" s="144"/>
      <c r="V31" s="146"/>
    </row>
    <row r="32" spans="1:22" x14ac:dyDescent="0.2">
      <c r="A32" s="1"/>
      <c r="B32" s="659"/>
      <c r="C32" s="660"/>
      <c r="D32" s="661"/>
      <c r="E32" s="147"/>
      <c r="F32" s="140">
        <f>SUM(F17:F31)</f>
        <v>1000</v>
      </c>
      <c r="G32" s="103"/>
      <c r="H32" s="113">
        <f>SUM(H17:H31)</f>
        <v>42.2</v>
      </c>
      <c r="I32" s="103"/>
      <c r="J32" s="112"/>
      <c r="K32" s="103"/>
      <c r="L32" s="691"/>
      <c r="M32" s="692"/>
      <c r="N32" s="692"/>
      <c r="O32" s="205">
        <f>SUM(O17:O31)</f>
        <v>1280.0000000000002</v>
      </c>
      <c r="P32" s="103"/>
      <c r="Q32" s="103"/>
      <c r="R32" s="103"/>
      <c r="U32" s="145"/>
    </row>
    <row r="33" spans="1:18" x14ac:dyDescent="0.2">
      <c r="A33" s="1">
        <v>1</v>
      </c>
      <c r="B33" s="4" t="s">
        <v>8</v>
      </c>
      <c r="C33" s="4"/>
      <c r="D33" s="4"/>
      <c r="E33" s="1"/>
      <c r="F33" s="4"/>
      <c r="G33" s="103"/>
      <c r="H33" s="108"/>
      <c r="I33" s="103"/>
      <c r="J33" s="108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22"/>
      <c r="B34" s="21"/>
      <c r="C34" s="21"/>
      <c r="D34" s="4"/>
      <c r="E34" s="103"/>
      <c r="F34" s="104"/>
      <c r="G34" s="105"/>
      <c r="H34" s="106"/>
      <c r="I34" s="1"/>
      <c r="J34" s="7"/>
      <c r="K34" s="103"/>
      <c r="L34" s="103"/>
      <c r="M34" s="103"/>
      <c r="N34" s="103"/>
      <c r="O34" s="103"/>
      <c r="P34" s="101"/>
      <c r="Q34" s="103"/>
      <c r="R34" s="103"/>
    </row>
    <row r="35" spans="1:18" ht="13.5" thickBot="1" x14ac:dyDescent="0.25">
      <c r="A35" s="1"/>
      <c r="B35" s="1" t="s">
        <v>2</v>
      </c>
      <c r="C35" s="1"/>
      <c r="D35" s="206">
        <v>1.28</v>
      </c>
      <c r="E35" s="1"/>
      <c r="F35" s="1"/>
      <c r="G35" s="1"/>
      <c r="H35" s="1" t="s">
        <v>1</v>
      </c>
      <c r="I35" s="1"/>
      <c r="J35" s="1">
        <f>SUM(J17:J34)</f>
        <v>812.88599999999997</v>
      </c>
      <c r="K35" s="103"/>
      <c r="L35" s="103"/>
      <c r="M35" s="103"/>
      <c r="N35" s="103"/>
      <c r="O35" s="103"/>
      <c r="P35" s="114"/>
      <c r="Q35" s="103"/>
      <c r="R35" s="103"/>
    </row>
    <row r="36" spans="1:18" ht="13.5" thickBot="1" x14ac:dyDescent="0.25">
      <c r="A36" s="1"/>
      <c r="B36" s="3"/>
      <c r="C36" s="1"/>
      <c r="D36" s="82"/>
      <c r="E36" s="1"/>
      <c r="F36" s="1"/>
      <c r="G36" s="1"/>
      <c r="H36" s="17" t="s">
        <v>26</v>
      </c>
      <c r="I36" s="1"/>
      <c r="J36" s="194">
        <v>1000</v>
      </c>
      <c r="K36" s="103"/>
      <c r="L36" s="103" t="s">
        <v>254</v>
      </c>
      <c r="M36" s="103" t="s">
        <v>260</v>
      </c>
      <c r="N36" s="103"/>
      <c r="O36" s="103"/>
      <c r="P36" s="114"/>
      <c r="Q36" s="103"/>
      <c r="R36" s="103"/>
    </row>
    <row r="37" spans="1:18" ht="13.5" thickBot="1" x14ac:dyDescent="0.25">
      <c r="A37" s="1"/>
      <c r="B37" s="1"/>
      <c r="C37" s="1"/>
      <c r="D37" s="1"/>
      <c r="E37" s="1"/>
      <c r="F37" s="1"/>
      <c r="G37" s="1"/>
      <c r="H37" s="17"/>
      <c r="I37" s="1"/>
      <c r="J37" s="18"/>
      <c r="K37" s="103"/>
      <c r="L37" s="189" t="s">
        <v>256</v>
      </c>
      <c r="M37" s="189">
        <v>40</v>
      </c>
      <c r="N37" s="103"/>
      <c r="O37" s="103"/>
      <c r="P37" s="114"/>
      <c r="Q37" s="103"/>
      <c r="R37" s="103"/>
    </row>
    <row r="38" spans="1:18" x14ac:dyDescent="0.2">
      <c r="A38" s="1"/>
      <c r="B38" s="1" t="s">
        <v>15</v>
      </c>
      <c r="C38" s="1"/>
      <c r="D38" s="1"/>
      <c r="E38" s="1" t="s">
        <v>77</v>
      </c>
      <c r="F38" s="1"/>
      <c r="G38" s="1"/>
      <c r="H38" s="19"/>
      <c r="I38" s="1"/>
      <c r="J38" s="30" t="s">
        <v>78</v>
      </c>
      <c r="K38" s="103"/>
      <c r="L38" s="103" t="s">
        <v>105</v>
      </c>
      <c r="M38" s="103"/>
      <c r="N38" s="103"/>
      <c r="O38" s="103"/>
      <c r="P38" s="114"/>
      <c r="Q38" s="103"/>
      <c r="R38" s="103"/>
    </row>
    <row r="39" spans="1:18" x14ac:dyDescent="0.2">
      <c r="A39" s="1"/>
      <c r="B39" s="23" t="s">
        <v>10</v>
      </c>
      <c r="C39" s="1"/>
      <c r="D39" s="526"/>
      <c r="E39" s="400">
        <f>J35/J36</f>
        <v>0.812886</v>
      </c>
      <c r="F39" s="101"/>
      <c r="G39" s="1" t="s">
        <v>16</v>
      </c>
      <c r="H39" s="23"/>
      <c r="I39" s="27"/>
      <c r="J39" s="29">
        <f>E39*D35</f>
        <v>1.04049408</v>
      </c>
      <c r="K39" s="103"/>
      <c r="L39" s="103" t="s">
        <v>257</v>
      </c>
      <c r="M39" s="103"/>
      <c r="N39" s="103"/>
      <c r="O39" s="103"/>
      <c r="P39" s="114"/>
      <c r="Q39" s="103"/>
      <c r="R39" s="103"/>
    </row>
    <row r="40" spans="1:18" x14ac:dyDescent="0.2">
      <c r="A40" s="1"/>
      <c r="B40" s="3" t="s">
        <v>11</v>
      </c>
      <c r="C40" s="1"/>
      <c r="D40" s="520"/>
      <c r="E40" s="68">
        <v>0.09</v>
      </c>
      <c r="F40" s="102"/>
      <c r="G40" s="3" t="s">
        <v>17</v>
      </c>
      <c r="H40" s="1"/>
      <c r="I40" s="39"/>
      <c r="J40" s="68">
        <f>E40*D35</f>
        <v>0.1152</v>
      </c>
      <c r="K40" s="103"/>
      <c r="L40" s="103"/>
      <c r="M40" s="103"/>
      <c r="N40" s="103"/>
      <c r="O40" s="103"/>
      <c r="P40" s="114"/>
      <c r="Q40" s="103"/>
      <c r="R40" s="103"/>
    </row>
    <row r="41" spans="1:18" x14ac:dyDescent="0.2">
      <c r="A41" s="1"/>
      <c r="B41" s="19" t="s">
        <v>14</v>
      </c>
      <c r="C41" s="4"/>
      <c r="D41" s="521"/>
      <c r="E41" s="68">
        <v>0</v>
      </c>
      <c r="F41" s="16"/>
      <c r="G41" s="19" t="s">
        <v>18</v>
      </c>
      <c r="H41" s="4"/>
      <c r="I41" s="39"/>
      <c r="J41" s="68">
        <f>E41*D35</f>
        <v>0</v>
      </c>
      <c r="K41" s="103"/>
      <c r="L41" s="103"/>
      <c r="M41" s="103"/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6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282" t="s">
        <v>264</v>
      </c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1"/>
      <c r="E44" s="68">
        <f>E39+E40+E41+E42+E43</f>
        <v>0.90288599999999997</v>
      </c>
      <c r="F44" s="3"/>
      <c r="G44" s="3" t="s">
        <v>19</v>
      </c>
      <c r="H44" s="1"/>
      <c r="I44" s="39"/>
      <c r="J44" s="68">
        <f>J39+J40+J41+J42+J43</f>
        <v>1.15569408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3"/>
      <c r="C45" s="1"/>
      <c r="D45" s="520"/>
      <c r="E45" s="142"/>
      <c r="F45" s="3"/>
      <c r="G45" s="3"/>
      <c r="H45" s="1"/>
      <c r="I45" s="33"/>
      <c r="J45" s="142" t="s">
        <v>21</v>
      </c>
      <c r="K45" s="103"/>
      <c r="L45" s="103"/>
      <c r="M45" s="103"/>
      <c r="N45" s="103"/>
      <c r="O45" s="103"/>
      <c r="P45" s="114"/>
      <c r="Q45" s="103"/>
      <c r="R45" s="103"/>
    </row>
    <row r="46" spans="1:18" x14ac:dyDescent="0.2">
      <c r="A46" s="1">
        <v>2</v>
      </c>
      <c r="B46" s="1" t="s">
        <v>9</v>
      </c>
      <c r="C46" s="1"/>
      <c r="D46" s="4"/>
      <c r="E46" s="1"/>
      <c r="F46" s="19"/>
      <c r="G46" s="4"/>
      <c r="H46" s="4" t="s">
        <v>20</v>
      </c>
      <c r="I46" s="6">
        <f>(100-J47)/100</f>
        <v>1</v>
      </c>
      <c r="J46" s="28"/>
      <c r="K46" s="103"/>
      <c r="L46" s="701"/>
      <c r="M46" s="701"/>
      <c r="N46" s="701"/>
      <c r="O46" s="701"/>
      <c r="P46" s="701"/>
      <c r="Q46" s="701"/>
      <c r="R46" s="103"/>
    </row>
    <row r="47" spans="1:18" x14ac:dyDescent="0.2">
      <c r="A47" s="34"/>
      <c r="B47" s="22"/>
      <c r="C47" s="22"/>
      <c r="D47" s="1"/>
      <c r="E47" s="1" t="s">
        <v>84</v>
      </c>
      <c r="F47" s="19" t="s">
        <v>85</v>
      </c>
      <c r="G47" s="4"/>
      <c r="H47" s="27"/>
      <c r="I47" s="33"/>
      <c r="J47" s="76"/>
      <c r="K47" s="103"/>
      <c r="L47" s="748"/>
      <c r="M47" s="697"/>
      <c r="N47" s="748"/>
      <c r="O47" s="697"/>
      <c r="P47" s="748"/>
      <c r="Q47" s="697"/>
      <c r="R47" s="103"/>
    </row>
    <row r="48" spans="1:18" x14ac:dyDescent="0.2">
      <c r="A48" s="1"/>
      <c r="B48" s="23" t="s">
        <v>22</v>
      </c>
      <c r="C48" s="23"/>
      <c r="D48" s="29" t="s">
        <v>13</v>
      </c>
      <c r="E48" s="534">
        <v>0</v>
      </c>
      <c r="F48" s="534">
        <v>0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22"/>
      <c r="C49" s="11"/>
      <c r="D49" s="31" t="s">
        <v>60</v>
      </c>
      <c r="E49" s="36">
        <v>0.19448062015503875</v>
      </c>
      <c r="F49" s="36">
        <v>0.25087999999999999</v>
      </c>
      <c r="G49" s="19"/>
      <c r="H49" s="26"/>
      <c r="I49" s="75"/>
      <c r="J49" s="32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4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19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1"/>
      <c r="D52" s="24" t="s">
        <v>50</v>
      </c>
      <c r="E52" s="36">
        <v>0.3956589147286822</v>
      </c>
      <c r="F52" s="36">
        <v>0.51040000000000008</v>
      </c>
      <c r="G52" s="4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G53" s="19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>
        <v>3</v>
      </c>
      <c r="B54" s="1" t="s">
        <v>25</v>
      </c>
      <c r="C54" s="5"/>
      <c r="D54" s="24" t="s">
        <v>61</v>
      </c>
      <c r="E54" s="36">
        <v>2.3352713178294571</v>
      </c>
      <c r="F54" s="36">
        <v>3.0124999999999997</v>
      </c>
      <c r="G54" s="1"/>
      <c r="H54" s="1"/>
      <c r="I54" s="6"/>
      <c r="J54" s="7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22"/>
      <c r="B55" s="22"/>
      <c r="C55" s="35"/>
      <c r="D55" s="24"/>
      <c r="E55" s="36"/>
      <c r="F55" s="36"/>
      <c r="G55" s="4"/>
      <c r="H55" s="4"/>
      <c r="I55" s="6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1"/>
      <c r="D56" s="1"/>
      <c r="E56" s="1"/>
      <c r="F56" s="19"/>
      <c r="G56" s="4"/>
      <c r="H56" s="4"/>
      <c r="I56" s="19"/>
      <c r="J56" s="20"/>
      <c r="K56" s="103"/>
      <c r="L56" s="697"/>
      <c r="M56" s="697"/>
      <c r="N56" s="697"/>
      <c r="O56" s="697"/>
      <c r="P56" s="697"/>
      <c r="Q56" s="697"/>
      <c r="R56" s="103"/>
    </row>
    <row r="57" spans="1:18" x14ac:dyDescent="0.2">
      <c r="A57" s="1"/>
      <c r="B57" s="1"/>
      <c r="C57" s="27" t="s">
        <v>214</v>
      </c>
      <c r="D57" s="27"/>
      <c r="E57" s="27"/>
      <c r="F57" s="27"/>
      <c r="G57" s="27"/>
      <c r="H57" s="4"/>
      <c r="I57" s="6"/>
      <c r="J57" s="40"/>
      <c r="K57" s="103"/>
      <c r="L57" s="143"/>
      <c r="M57" s="143"/>
      <c r="N57" s="143"/>
      <c r="O57" s="143"/>
      <c r="P57" s="143"/>
      <c r="Q57" s="143"/>
      <c r="R57" s="103"/>
    </row>
    <row r="58" spans="1:18" x14ac:dyDescent="0.2">
      <c r="A58" s="1"/>
      <c r="B58" s="1"/>
      <c r="C58" s="55" t="s">
        <v>64</v>
      </c>
      <c r="D58" s="1" t="s">
        <v>65</v>
      </c>
      <c r="E58" s="1" t="s">
        <v>66</v>
      </c>
      <c r="F58" s="19" t="s">
        <v>87</v>
      </c>
      <c r="G58" s="27" t="s">
        <v>401</v>
      </c>
      <c r="H58" s="56" t="s">
        <v>414</v>
      </c>
      <c r="I58" s="19"/>
      <c r="J58" s="20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5" t="s">
        <v>23</v>
      </c>
      <c r="D59" s="436">
        <f>E44/I46+D41</f>
        <v>0.90288599999999997</v>
      </c>
      <c r="E59" s="436">
        <f>D59*D35</f>
        <v>1.15569408</v>
      </c>
      <c r="F59" s="58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 t="str">
        <f>'FUEL BLACK 20% NÃO USAR'!A60:B60</f>
        <v>Contentor Incluido</v>
      </c>
      <c r="B60" s="1"/>
      <c r="C60" s="66">
        <v>1000</v>
      </c>
      <c r="D60" s="67">
        <f>E44/I46+D41+E49</f>
        <v>1.0973666201550387</v>
      </c>
      <c r="E60" s="67">
        <f>D60*D35</f>
        <v>1.4046292737984496</v>
      </c>
      <c r="F60" s="72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670"/>
      <c r="B61" s="694"/>
      <c r="C61" s="74">
        <v>50</v>
      </c>
      <c r="D61" s="70"/>
      <c r="E61" s="70"/>
      <c r="F61" s="61" t="s">
        <v>90</v>
      </c>
      <c r="G61" s="33"/>
      <c r="H61" s="56"/>
      <c r="I61" s="19"/>
      <c r="J61" s="4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5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1.2985449147286823</v>
      </c>
      <c r="E63" s="70">
        <f>D63*D35</f>
        <v>1.6621374908527133</v>
      </c>
      <c r="F63" s="61" t="s">
        <v>90</v>
      </c>
      <c r="G63" s="33">
        <f>E63/0.88</f>
        <v>1.8887926032417197</v>
      </c>
      <c r="H63" s="20">
        <f>G63+0.5</f>
        <v>2.3887926032417197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1.8257542170542636</v>
      </c>
      <c r="E64" s="70">
        <f>D64*D35</f>
        <v>2.3369653978294576</v>
      </c>
      <c r="F64" s="51" t="s">
        <v>94</v>
      </c>
      <c r="G64" s="39">
        <f>E64/0.88</f>
        <v>2.6556424975334747</v>
      </c>
      <c r="H64" s="7">
        <f>G64+0.5</f>
        <v>3.1556424975334747</v>
      </c>
      <c r="I64" s="1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1"/>
      <c r="B65" s="1"/>
      <c r="C65" s="69">
        <v>1</v>
      </c>
      <c r="D65" s="70">
        <f>E44/I46+D41+E54</f>
        <v>3.2381573178294571</v>
      </c>
      <c r="E65" s="70">
        <f>D65*D35</f>
        <v>4.144841366821705</v>
      </c>
      <c r="F65" s="61" t="s">
        <v>95</v>
      </c>
      <c r="G65" s="87">
        <f>E65/0.88</f>
        <v>4.7100470077519372</v>
      </c>
      <c r="H65" s="7">
        <f>G65+0.5</f>
        <v>5.2100470077519372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86"/>
      <c r="B66" s="86"/>
      <c r="C66" s="69"/>
      <c r="D66" s="70"/>
      <c r="E66" s="70"/>
      <c r="F66" s="61"/>
      <c r="G66" s="87">
        <f>E66/0.88</f>
        <v>0</v>
      </c>
      <c r="H66" s="7">
        <f>G66+0.5</f>
        <v>0.5</v>
      </c>
      <c r="I66" s="4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5"/>
      <c r="B67" s="695"/>
      <c r="C67" s="85"/>
      <c r="D67" s="88"/>
      <c r="E67" s="86"/>
      <c r="F67" s="86"/>
      <c r="G67" s="87">
        <f>E67/0.88</f>
        <v>0</v>
      </c>
      <c r="H67" s="7">
        <f>G67+0.5</f>
        <v>0.5</v>
      </c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6"/>
      <c r="B68" s="696"/>
      <c r="C68" s="89"/>
      <c r="D68" s="89"/>
      <c r="E68" s="90"/>
      <c r="F68" s="90"/>
      <c r="G68" s="90"/>
      <c r="H68" s="57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91"/>
      <c r="F69" s="92"/>
      <c r="G69" s="91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  <row r="70" spans="1:18" x14ac:dyDescent="0.2">
      <c r="A70" s="693"/>
      <c r="B70" s="693"/>
      <c r="C70" s="93"/>
      <c r="D70" s="92"/>
      <c r="E70" s="91"/>
      <c r="F70" s="92"/>
      <c r="G70" s="91"/>
      <c r="H70" s="73"/>
      <c r="I70" s="1"/>
      <c r="J70" s="1"/>
      <c r="K70" s="103"/>
      <c r="L70" s="103"/>
      <c r="M70" s="103"/>
      <c r="N70" s="103"/>
      <c r="O70" s="103"/>
      <c r="P70" s="103"/>
      <c r="Q70" s="103"/>
      <c r="R70" s="103"/>
    </row>
  </sheetData>
  <mergeCells count="7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L47:M47"/>
    <mergeCell ref="N47:O47"/>
    <mergeCell ref="P47:Q47"/>
    <mergeCell ref="B28:D28"/>
    <mergeCell ref="L28:N28"/>
    <mergeCell ref="B29:D29"/>
    <mergeCell ref="L29:N29"/>
    <mergeCell ref="B30:D30"/>
    <mergeCell ref="L30:N30"/>
    <mergeCell ref="B31:D31"/>
    <mergeCell ref="L31:N31"/>
    <mergeCell ref="B32:D32"/>
    <mergeCell ref="L32:N32"/>
    <mergeCell ref="L46:Q46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L55:M55"/>
    <mergeCell ref="N55:O55"/>
    <mergeCell ref="P55:Q55"/>
    <mergeCell ref="A69:B69"/>
    <mergeCell ref="A70:B70"/>
    <mergeCell ref="L56:M56"/>
    <mergeCell ref="N56:O56"/>
    <mergeCell ref="P56:Q56"/>
    <mergeCell ref="A61:B61"/>
    <mergeCell ref="A67:B67"/>
    <mergeCell ref="A68:B6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3" workbookViewId="0">
      <selection activeCell="K59" sqref="K59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hidden="1" x14ac:dyDescent="0.2"/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120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515</v>
      </c>
      <c r="D7" s="63"/>
      <c r="E7" s="63"/>
      <c r="F7" s="63"/>
      <c r="G7" s="24"/>
      <c r="H7" s="585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11"/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516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/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87" t="s">
        <v>67</v>
      </c>
      <c r="M15" s="587" t="s">
        <v>117</v>
      </c>
      <c r="N15" s="1"/>
      <c r="O15" s="1"/>
      <c r="P15" s="103"/>
      <c r="Q15" s="103"/>
      <c r="R15" s="586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86" t="s">
        <v>121</v>
      </c>
      <c r="L16" s="118">
        <v>28000</v>
      </c>
      <c r="M16" s="116">
        <f>L16*D36</f>
        <v>31919.999999999996</v>
      </c>
      <c r="N16" s="714"/>
      <c r="O16" s="715"/>
      <c r="P16" s="588" t="s">
        <v>152</v>
      </c>
      <c r="Q16" s="366" t="s">
        <v>154</v>
      </c>
      <c r="R16" s="586"/>
    </row>
    <row r="17" spans="1:22" x14ac:dyDescent="0.2">
      <c r="A17" s="1"/>
      <c r="B17" s="673" t="s">
        <v>49</v>
      </c>
      <c r="C17" s="674"/>
      <c r="D17" s="675"/>
      <c r="E17" s="315">
        <f>F17/10</f>
        <v>68.13</v>
      </c>
      <c r="F17" s="367">
        <v>681.3</v>
      </c>
      <c r="G17" s="357" t="s">
        <v>125</v>
      </c>
      <c r="H17" s="358" t="e">
        <f>#REF!</f>
        <v>#REF!</v>
      </c>
      <c r="I17" s="170">
        <f>E20*21/100+E26*7/100+E22*6/100+E21*5/100</f>
        <v>1.7699000000000005</v>
      </c>
      <c r="J17" s="359" t="e">
        <f>F17*H17</f>
        <v>#REF!</v>
      </c>
      <c r="K17" s="111">
        <f>I17*1.34*10</f>
        <v>23.716660000000008</v>
      </c>
      <c r="L17" s="676" t="str">
        <f t="shared" ref="L17:L30" si="0">B17</f>
        <v>Agua</v>
      </c>
      <c r="M17" s="677"/>
      <c r="N17" s="678"/>
      <c r="O17" s="117">
        <f>F17*M16/1000</f>
        <v>21747.095999999998</v>
      </c>
      <c r="P17" s="109">
        <v>7.0724400000000003</v>
      </c>
      <c r="Q17" s="165" t="s">
        <v>125</v>
      </c>
      <c r="R17" s="166"/>
      <c r="U17" s="144"/>
      <c r="V17" s="146"/>
    </row>
    <row r="18" spans="1:22" x14ac:dyDescent="0.2">
      <c r="A18" s="1"/>
      <c r="B18" s="682" t="s">
        <v>517</v>
      </c>
      <c r="C18" s="724"/>
      <c r="D18" s="725"/>
      <c r="E18" s="315">
        <f t="shared" ref="E18:E31" si="1">F18/10</f>
        <v>13.469999999999999</v>
      </c>
      <c r="F18" s="83">
        <v>134.69999999999999</v>
      </c>
      <c r="G18" s="357" t="s">
        <v>69</v>
      </c>
      <c r="H18" s="360">
        <f>'Base Preços MP'!G49</f>
        <v>0.81399999999999995</v>
      </c>
      <c r="I18" s="170">
        <f>E19*60/100</f>
        <v>5.5259999999999989</v>
      </c>
      <c r="J18" s="359">
        <f>F18*H18</f>
        <v>109.64579999999998</v>
      </c>
      <c r="K18" s="111">
        <f t="shared" ref="K18:K27" si="2">I18*1.34*10</f>
        <v>74.048399999999987</v>
      </c>
      <c r="L18" s="676" t="str">
        <f t="shared" si="0"/>
        <v>melaço liquido</v>
      </c>
      <c r="M18" s="677"/>
      <c r="N18" s="678"/>
      <c r="O18" s="117">
        <f>F18*M16/1000</f>
        <v>4299.6239999999989</v>
      </c>
      <c r="P18" s="109">
        <v>1.7885999999999997</v>
      </c>
      <c r="Q18" s="165" t="s">
        <v>69</v>
      </c>
      <c r="R18" s="166"/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9.2099999999999991</v>
      </c>
      <c r="F19" s="83">
        <v>92.1</v>
      </c>
      <c r="G19" s="357" t="s">
        <v>110</v>
      </c>
      <c r="H19" s="360">
        <f>'Base Preços MP'!G15</f>
        <v>4.95</v>
      </c>
      <c r="I19" s="170">
        <f>E18*72.15/100+E25*15/100+E31*60/100</f>
        <v>9.7186050000000002</v>
      </c>
      <c r="J19" s="359">
        <f t="shared" ref="J19:J31" si="3">F19*H19</f>
        <v>455.89499999999998</v>
      </c>
      <c r="K19" s="111">
        <f t="shared" si="2"/>
        <v>130.22930700000001</v>
      </c>
      <c r="L19" s="676" t="str">
        <f t="shared" si="0"/>
        <v>Acido Fosforico Tecnico 60% liquido</v>
      </c>
      <c r="M19" s="677"/>
      <c r="N19" s="678"/>
      <c r="O19" s="117">
        <f>F19*M16/1000</f>
        <v>2939.8319999999994</v>
      </c>
      <c r="P19" s="109">
        <v>5.9720309999999994</v>
      </c>
      <c r="Q19" s="165" t="s">
        <v>110</v>
      </c>
      <c r="R19" s="166"/>
      <c r="U19" s="144"/>
      <c r="V19" s="146"/>
    </row>
    <row r="20" spans="1:22" x14ac:dyDescent="0.2">
      <c r="A20" s="1"/>
      <c r="B20" s="688" t="s">
        <v>518</v>
      </c>
      <c r="C20" s="689"/>
      <c r="D20" s="690"/>
      <c r="E20" s="315">
        <f t="shared" si="1"/>
        <v>8.1900000000000013</v>
      </c>
      <c r="F20" s="83">
        <v>81.900000000000006</v>
      </c>
      <c r="G20" s="357" t="s">
        <v>106</v>
      </c>
      <c r="H20" s="361">
        <f>'Base Preços MP'!G21</f>
        <v>4.34</v>
      </c>
      <c r="I20" s="170">
        <f>E27*14/100</f>
        <v>0</v>
      </c>
      <c r="J20" s="359">
        <f>H20*F20</f>
        <v>355.44600000000003</v>
      </c>
      <c r="K20" s="111">
        <f t="shared" si="2"/>
        <v>0</v>
      </c>
      <c r="L20" s="676" t="str">
        <f t="shared" si="0"/>
        <v>DAP PURIFICADO</v>
      </c>
      <c r="M20" s="677"/>
      <c r="N20" s="678"/>
      <c r="O20" s="117">
        <f>F20*M16/1000</f>
        <v>2614.248</v>
      </c>
      <c r="P20" s="109">
        <v>4.3502400000000003</v>
      </c>
      <c r="Q20" s="165" t="s">
        <v>106</v>
      </c>
      <c r="R20" s="166"/>
      <c r="U20" s="144"/>
      <c r="V20" s="146"/>
    </row>
    <row r="21" spans="1:22" x14ac:dyDescent="0.2">
      <c r="A21" s="1"/>
      <c r="B21" s="683" t="s">
        <v>479</v>
      </c>
      <c r="C21" s="726"/>
      <c r="D21" s="727"/>
      <c r="E21" s="315">
        <f t="shared" si="1"/>
        <v>1</v>
      </c>
      <c r="F21" s="368">
        <v>10</v>
      </c>
      <c r="G21" s="357" t="s">
        <v>107</v>
      </c>
      <c r="H21" s="361">
        <f>'Base Preços MP'!G79</f>
        <v>4.7</v>
      </c>
      <c r="I21" s="171">
        <f>E26*7/100</f>
        <v>0</v>
      </c>
      <c r="J21" s="359">
        <f t="shared" si="3"/>
        <v>47</v>
      </c>
      <c r="K21" s="111">
        <f t="shared" si="2"/>
        <v>0</v>
      </c>
      <c r="L21" s="686" t="str">
        <f t="shared" si="0"/>
        <v>aminoacidos</v>
      </c>
      <c r="M21" s="686"/>
      <c r="N21" s="686"/>
      <c r="O21" s="117">
        <f>F21*M16/1000</f>
        <v>319.19999999999993</v>
      </c>
      <c r="P21" s="161">
        <v>0.41426000000000002</v>
      </c>
      <c r="Q21" s="165" t="s">
        <v>107</v>
      </c>
      <c r="R21" s="166"/>
      <c r="U21" s="144"/>
      <c r="V21" s="146"/>
    </row>
    <row r="22" spans="1:22" x14ac:dyDescent="0.2">
      <c r="A22" s="1"/>
      <c r="B22" s="682"/>
      <c r="C22" s="724"/>
      <c r="D22" s="725"/>
      <c r="E22" s="315">
        <f t="shared" si="1"/>
        <v>0</v>
      </c>
      <c r="F22" s="368"/>
      <c r="G22" s="357" t="s">
        <v>108</v>
      </c>
      <c r="H22" s="361" t="e">
        <f>#REF!</f>
        <v>#REF!</v>
      </c>
      <c r="I22" s="171">
        <f>E21*12/100</f>
        <v>0.12</v>
      </c>
      <c r="J22" s="359" t="e">
        <f>F22*H22</f>
        <v>#REF!</v>
      </c>
      <c r="K22" s="111">
        <f t="shared" si="2"/>
        <v>1.6080000000000001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165" t="s">
        <v>108</v>
      </c>
      <c r="R22" s="166"/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83"/>
      <c r="G23" s="357" t="s">
        <v>109</v>
      </c>
      <c r="H23" s="361" t="e">
        <f>#REF!</f>
        <v>#REF!</v>
      </c>
      <c r="I23" s="171">
        <f>E22*15/100</f>
        <v>0</v>
      </c>
      <c r="J23" s="359" t="e">
        <f t="shared" si="3"/>
        <v>#REF!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165" t="s">
        <v>109</v>
      </c>
      <c r="R23" s="166"/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83"/>
      <c r="G24" s="357" t="s">
        <v>111</v>
      </c>
      <c r="H24" s="361" t="e">
        <f>#REF!</f>
        <v>#REF!</v>
      </c>
      <c r="I24" s="510">
        <f>E24*14/100</f>
        <v>0</v>
      </c>
      <c r="J24" s="359" t="e">
        <f>F24*H24</f>
        <v>#REF!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165" t="s">
        <v>111</v>
      </c>
      <c r="R24" s="166"/>
      <c r="U24" s="144"/>
      <c r="V24" s="146"/>
    </row>
    <row r="25" spans="1:22" x14ac:dyDescent="0.2">
      <c r="A25" s="1"/>
      <c r="B25" s="682"/>
      <c r="C25" s="724"/>
      <c r="D25" s="725"/>
      <c r="E25" s="315">
        <f t="shared" si="1"/>
        <v>0</v>
      </c>
      <c r="F25" s="83"/>
      <c r="G25" s="357" t="s">
        <v>112</v>
      </c>
      <c r="H25" s="361" t="e">
        <f>#REF!</f>
        <v>#REF!</v>
      </c>
      <c r="I25" s="510">
        <f>E23*13/100</f>
        <v>0</v>
      </c>
      <c r="J25" s="359" t="e">
        <f>F25*H25</f>
        <v>#REF!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165" t="s">
        <v>112</v>
      </c>
      <c r="R25" s="166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62" t="e">
        <f>#REF!</f>
        <v>#REF!</v>
      </c>
      <c r="I26" s="171">
        <f>E28*17/100</f>
        <v>0</v>
      </c>
      <c r="J26" s="359" t="e">
        <f t="shared" si="3"/>
        <v>#REF!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165" t="s">
        <v>105</v>
      </c>
      <c r="R26" s="166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62" t="e">
        <f>#REF!</f>
        <v>#REF!</v>
      </c>
      <c r="I27" s="171">
        <f>E29*39/100</f>
        <v>0</v>
      </c>
      <c r="J27" s="359" t="e">
        <f t="shared" si="3"/>
        <v>#REF!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165" t="s">
        <v>122</v>
      </c>
      <c r="R27" s="166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62" t="e">
        <f>#REF!</f>
        <v>#REF!</v>
      </c>
      <c r="I28" s="1"/>
      <c r="J28" s="359" t="e">
        <f t="shared" si="3"/>
        <v>#REF!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66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173"/>
      <c r="G29" s="1"/>
      <c r="H29" s="362" t="e">
        <f>#REF!</f>
        <v>#REF!</v>
      </c>
      <c r="I29" s="1"/>
      <c r="J29" s="359" t="e">
        <f t="shared" si="3"/>
        <v>#REF!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66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62" t="e">
        <f>#REF!</f>
        <v>#REF!</v>
      </c>
      <c r="I30" s="1"/>
      <c r="J30" s="359" t="e">
        <f t="shared" si="3"/>
        <v>#REF!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66"/>
      <c r="U30" s="144"/>
      <c r="V30" s="146"/>
    </row>
    <row r="31" spans="1:22" x14ac:dyDescent="0.2">
      <c r="A31" s="1"/>
      <c r="B31" s="659" t="s">
        <v>147</v>
      </c>
      <c r="C31" s="660"/>
      <c r="D31" s="661"/>
      <c r="E31" s="147">
        <f t="shared" si="1"/>
        <v>0</v>
      </c>
      <c r="F31" s="140"/>
      <c r="G31" s="103"/>
      <c r="H31" s="113" t="e">
        <f>#REF!</f>
        <v>#REF!</v>
      </c>
      <c r="I31" s="103"/>
      <c r="J31" s="112" t="e">
        <f t="shared" si="3"/>
        <v>#REF!</v>
      </c>
      <c r="K31" s="103"/>
      <c r="L31" s="703" t="str">
        <f>B31</f>
        <v>Cloreto de Potasio 60 % Solido</v>
      </c>
      <c r="M31" s="692"/>
      <c r="N31" s="692"/>
      <c r="O31" s="121">
        <f>F31*M16/1000</f>
        <v>0</v>
      </c>
      <c r="P31" s="103"/>
      <c r="Q31" s="103"/>
      <c r="R31" s="164"/>
      <c r="U31" s="145"/>
    </row>
    <row r="32" spans="1:22" x14ac:dyDescent="0.2">
      <c r="A32" s="1"/>
      <c r="B32" s="4" t="s">
        <v>104</v>
      </c>
      <c r="C32" s="4"/>
      <c r="D32" s="4"/>
      <c r="E32" s="1">
        <f>SUM(E17:E31)</f>
        <v>99.999999999999986</v>
      </c>
      <c r="F32" s="4">
        <f>SUM(F17:F31)</f>
        <v>1000</v>
      </c>
      <c r="G32" s="103"/>
      <c r="H32" s="108"/>
      <c r="I32" s="103"/>
      <c r="J32" s="108"/>
      <c r="K32" s="103"/>
      <c r="L32" s="103" t="s">
        <v>43</v>
      </c>
      <c r="M32" s="103"/>
      <c r="N32" s="103"/>
      <c r="O32" s="103">
        <f>SUM(O17:O31)</f>
        <v>31919.999999999996</v>
      </c>
      <c r="P32" s="103"/>
      <c r="Q32" s="103"/>
      <c r="R32" s="103"/>
    </row>
    <row r="33" spans="1:18" x14ac:dyDescent="0.2">
      <c r="A33" s="22"/>
      <c r="B33" s="21"/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>
        <v>1</v>
      </c>
      <c r="B34" s="1" t="s">
        <v>8</v>
      </c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/>
      <c r="C35" s="1"/>
      <c r="D35" s="304"/>
      <c r="E35" s="1"/>
      <c r="F35" s="1"/>
      <c r="G35" s="1"/>
      <c r="H35" s="17"/>
      <c r="I35" s="1"/>
      <c r="J35" s="25"/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 t="s">
        <v>2</v>
      </c>
      <c r="C36" s="1"/>
      <c r="D36" s="303">
        <v>1.1399999999999999</v>
      </c>
      <c r="E36" s="1"/>
      <c r="F36" s="1"/>
      <c r="G36" s="1"/>
      <c r="H36" s="17" t="s">
        <v>1</v>
      </c>
      <c r="I36" s="1"/>
      <c r="J36" s="18" t="e">
        <f>SUM(J17:J35)</f>
        <v>#REF!</v>
      </c>
      <c r="K36" s="103"/>
      <c r="L36" s="103"/>
      <c r="M36" s="103" t="s">
        <v>256</v>
      </c>
      <c r="N36" s="103">
        <v>0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 t="s">
        <v>26</v>
      </c>
      <c r="I37" s="1"/>
      <c r="J37" s="30">
        <v>1000</v>
      </c>
      <c r="K37" s="103"/>
      <c r="L37" s="103"/>
      <c r="M37" s="103" t="s">
        <v>105</v>
      </c>
      <c r="N37" s="103">
        <v>65</v>
      </c>
      <c r="O37" s="103"/>
      <c r="P37" s="103"/>
      <c r="Q37" s="103"/>
      <c r="R37" s="103"/>
    </row>
    <row r="38" spans="1:18" x14ac:dyDescent="0.2">
      <c r="A38" s="1"/>
      <c r="B38" s="23"/>
      <c r="C38" s="1"/>
      <c r="D38" s="27"/>
      <c r="E38" s="23"/>
      <c r="F38" s="315"/>
      <c r="G38" s="1"/>
      <c r="H38" s="23"/>
      <c r="I38" s="27"/>
      <c r="J38" s="29"/>
      <c r="K38" s="103"/>
      <c r="L38" s="103"/>
      <c r="M38" s="103" t="s">
        <v>257</v>
      </c>
      <c r="N38" s="103">
        <v>70</v>
      </c>
      <c r="O38" s="103"/>
      <c r="P38" s="103"/>
      <c r="Q38" s="103"/>
      <c r="R38" s="103"/>
    </row>
    <row r="39" spans="1:18" x14ac:dyDescent="0.2">
      <c r="A39" s="1"/>
      <c r="B39" s="3" t="s">
        <v>15</v>
      </c>
      <c r="C39" s="1"/>
      <c r="D39" s="28"/>
      <c r="E39" s="68" t="s">
        <v>77</v>
      </c>
      <c r="F39" s="364"/>
      <c r="G39" s="3"/>
      <c r="H39" s="1"/>
      <c r="I39" s="39"/>
      <c r="J39" s="68" t="s">
        <v>78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10</v>
      </c>
      <c r="C40" s="4"/>
      <c r="D40" s="71"/>
      <c r="E40" s="68" t="e">
        <f>J36/J37</f>
        <v>#REF!</v>
      </c>
      <c r="F40" s="16"/>
      <c r="G40" s="19" t="s">
        <v>16</v>
      </c>
      <c r="H40" s="4"/>
      <c r="I40" s="39"/>
      <c r="J40" s="68" t="e">
        <f>E40*D36</f>
        <v>#REF!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11</v>
      </c>
      <c r="C41" s="1"/>
      <c r="D41" s="71"/>
      <c r="E41" s="68">
        <v>0.09</v>
      </c>
      <c r="F41" s="6"/>
      <c r="G41" s="3" t="s">
        <v>17</v>
      </c>
      <c r="H41" s="1"/>
      <c r="I41" s="39"/>
      <c r="J41" s="68">
        <f>E41*D36</f>
        <v>0.10259999999999998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14</v>
      </c>
      <c r="C42" s="1"/>
      <c r="D42" s="71"/>
      <c r="E42" s="68">
        <v>0</v>
      </c>
      <c r="F42" s="3"/>
      <c r="G42" s="3" t="s">
        <v>18</v>
      </c>
      <c r="H42" s="1"/>
      <c r="I42" s="39"/>
      <c r="J42" s="68">
        <f>E42*D36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79</v>
      </c>
      <c r="C43" s="1"/>
      <c r="D43" s="71"/>
      <c r="E43" s="68"/>
      <c r="F43" s="3"/>
      <c r="G43" s="3" t="s">
        <v>80</v>
      </c>
      <c r="H43" s="1"/>
      <c r="I43" s="39"/>
      <c r="J43" s="68">
        <f>E43*D36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42</v>
      </c>
      <c r="C44" s="1"/>
      <c r="D44" s="28"/>
      <c r="E44" s="142"/>
      <c r="F44" s="3"/>
      <c r="G44" s="3" t="s">
        <v>81</v>
      </c>
      <c r="H44" s="1"/>
      <c r="I44" s="33"/>
      <c r="J44" s="142">
        <f>E44*D36</f>
        <v>0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 t="s">
        <v>12</v>
      </c>
      <c r="C45" s="1"/>
      <c r="D45" s="4"/>
      <c r="E45" s="1" t="e">
        <f>E40+E41+E42+E43+E44</f>
        <v>#REF!</v>
      </c>
      <c r="F45" s="19"/>
      <c r="G45" s="4" t="s">
        <v>19</v>
      </c>
      <c r="H45" s="4"/>
      <c r="I45" s="6"/>
      <c r="J45" s="28" t="e">
        <f>J40+J41+J42+J43+J44</f>
        <v>#REF!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/>
      <c r="B46" s="22"/>
      <c r="C46" s="22"/>
      <c r="D46" s="1"/>
      <c r="E46" s="1"/>
      <c r="F46" s="19"/>
      <c r="G46" s="4"/>
      <c r="H46" s="27"/>
      <c r="I46" s="33"/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>
        <v>2</v>
      </c>
      <c r="B47" s="23" t="s">
        <v>9</v>
      </c>
      <c r="C47" s="23"/>
      <c r="D47" s="29"/>
      <c r="E47" s="3"/>
      <c r="F47" s="6"/>
      <c r="G47" s="4"/>
      <c r="H47" s="4" t="s">
        <v>20</v>
      </c>
      <c r="I47" s="6">
        <f>(100-J46)/100</f>
        <v>1</v>
      </c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/>
      <c r="C48" s="11"/>
      <c r="D48" s="507"/>
      <c r="E48" s="36" t="s">
        <v>84</v>
      </c>
      <c r="F48" s="36" t="s">
        <v>85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 t="s">
        <v>22</v>
      </c>
      <c r="C49" s="1"/>
      <c r="D49" s="24" t="s">
        <v>13</v>
      </c>
      <c r="E49" s="36">
        <v>0</v>
      </c>
      <c r="F49" s="36">
        <v>0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60</v>
      </c>
      <c r="E50" s="36">
        <f>F50/D36</f>
        <v>0.2200701754385965</v>
      </c>
      <c r="F50" s="36">
        <f>'Base Preços MP'!C85</f>
        <v>0.25087999999999999</v>
      </c>
      <c r="G50" s="19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82</v>
      </c>
      <c r="E51" s="36" t="e">
        <f>F51/D36</f>
        <v>#REF!</v>
      </c>
      <c r="F51" s="36" t="e">
        <f>#REF!</f>
        <v>#REF!</v>
      </c>
      <c r="G51" s="4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F52/D36</f>
        <v>0.75649122807017544</v>
      </c>
      <c r="F52" s="36">
        <f>'Base Preços MP'!C88</f>
        <v>0.86239999999999994</v>
      </c>
      <c r="G52" s="19"/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50</v>
      </c>
      <c r="E53" s="36">
        <f>F53/D36</f>
        <v>0.4828070175438598</v>
      </c>
      <c r="F53" s="36">
        <f>'Base Preços MP'!C89</f>
        <v>0.55040000000000011</v>
      </c>
      <c r="G53" s="1" t="s">
        <v>86</v>
      </c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/>
      <c r="B54" s="22"/>
      <c r="C54" s="35"/>
      <c r="D54" s="24" t="s">
        <v>59</v>
      </c>
      <c r="E54" s="36">
        <f>F54/D36</f>
        <v>1.1600877192982457</v>
      </c>
      <c r="F54" s="36">
        <f>'Base Preços MP'!C91</f>
        <v>1.3225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>
        <v>3</v>
      </c>
      <c r="B55" s="1" t="s">
        <v>25</v>
      </c>
      <c r="C55" s="1"/>
      <c r="D55" s="1" t="s">
        <v>61</v>
      </c>
      <c r="E55" s="241" t="e">
        <f>F55/D36</f>
        <v>#REF!</v>
      </c>
      <c r="F55" s="241" t="e">
        <f>#REF!</f>
        <v>#REF!</v>
      </c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/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288</v>
      </c>
      <c r="D58" s="65"/>
      <c r="E58" s="65"/>
      <c r="F58" s="58"/>
      <c r="G58" s="242" t="s">
        <v>519</v>
      </c>
      <c r="H58" s="590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64</v>
      </c>
      <c r="D59" s="67" t="s">
        <v>65</v>
      </c>
      <c r="E59" s="67" t="s">
        <v>66</v>
      </c>
      <c r="F59" s="72" t="s">
        <v>87</v>
      </c>
      <c r="G59" s="320"/>
      <c r="H59" s="320" t="s">
        <v>520</v>
      </c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/>
      <c r="B60" s="694"/>
      <c r="C60" s="74" t="s">
        <v>23</v>
      </c>
      <c r="D60" s="70" t="e">
        <f>E45/I47</f>
        <v>#REF!</v>
      </c>
      <c r="E60" s="70" t="e">
        <f>J45/I47</f>
        <v>#REF!</v>
      </c>
      <c r="F60" s="61" t="s">
        <v>88</v>
      </c>
      <c r="G60" s="589"/>
      <c r="H60" s="589"/>
      <c r="I60" s="19" t="e">
        <f>E60*10/100</f>
        <v>#REF!</v>
      </c>
      <c r="J60" s="41" t="e">
        <f>E60+I60</f>
        <v>#REF!</v>
      </c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 t="e">
        <f>#REF!</f>
        <v>#REF!</v>
      </c>
      <c r="B61" s="1"/>
      <c r="C61" s="69">
        <v>1000</v>
      </c>
      <c r="D61" s="70" t="e">
        <f>(E45+E50)/I47</f>
        <v>#REF!</v>
      </c>
      <c r="E61" s="70" t="e">
        <f>(J45+F50)/I47</f>
        <v>#REF!</v>
      </c>
      <c r="F61" s="51" t="s">
        <v>89</v>
      </c>
      <c r="G61" s="589"/>
      <c r="H61" s="589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50</v>
      </c>
      <c r="D62" s="70" t="e">
        <f>(E45+E51)/I47</f>
        <v>#REF!</v>
      </c>
      <c r="E62" s="70" t="e">
        <f>(J45+F51)/I47</f>
        <v>#REF!</v>
      </c>
      <c r="F62" s="61" t="s">
        <v>90</v>
      </c>
      <c r="G62" s="589"/>
      <c r="H62" s="589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 t="e">
        <f>(E45+E52)/I47</f>
        <v>#REF!</v>
      </c>
      <c r="E63" s="70" t="e">
        <f>(J45+F52)/I47</f>
        <v>#REF!</v>
      </c>
      <c r="F63" s="51" t="s">
        <v>89</v>
      </c>
      <c r="G63" s="589" t="e">
        <f>E63/0.88</f>
        <v>#REF!</v>
      </c>
      <c r="H63" s="589" t="e">
        <f>G63+0.5</f>
        <v>#REF!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25</v>
      </c>
      <c r="D64" s="70" t="e">
        <f>(E45+E53)/I47</f>
        <v>#REF!</v>
      </c>
      <c r="E64" s="70" t="e">
        <f>(J45+F53)/I47</f>
        <v>#REF!</v>
      </c>
      <c r="F64" s="61" t="s">
        <v>90</v>
      </c>
      <c r="G64" s="589" t="e">
        <f>E64/0.88</f>
        <v>#REF!</v>
      </c>
      <c r="H64" s="589" t="e">
        <f>G64+(0.8*D36)</f>
        <v>#REF!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5</v>
      </c>
      <c r="D65" s="70" t="e">
        <f>(E45+E54)/I47</f>
        <v>#REF!</v>
      </c>
      <c r="E65" s="70" t="e">
        <f>(J45+F54)/I47</f>
        <v>#REF!</v>
      </c>
      <c r="F65" s="61" t="s">
        <v>94</v>
      </c>
      <c r="G65" s="589" t="e">
        <f>E65/0.88</f>
        <v>#REF!</v>
      </c>
      <c r="H65" s="589" t="e">
        <f>G65+0.5</f>
        <v>#REF!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300">
        <v>1</v>
      </c>
      <c r="D66" s="301" t="e">
        <f>(E55+E45)/I47</f>
        <v>#REF!</v>
      </c>
      <c r="E66" s="301" t="e">
        <f>(J45+F55)/I47</f>
        <v>#REF!</v>
      </c>
      <c r="F66" s="302" t="s">
        <v>95</v>
      </c>
      <c r="G66" s="589"/>
      <c r="H66" s="589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584"/>
      <c r="F68" s="92"/>
      <c r="G68" s="584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584"/>
      <c r="F69" s="92"/>
      <c r="G69" s="584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A68:B68"/>
    <mergeCell ref="A69:B69"/>
    <mergeCell ref="L55:M55"/>
    <mergeCell ref="N55:O55"/>
    <mergeCell ref="P55:Q55"/>
    <mergeCell ref="A60:B60"/>
    <mergeCell ref="A66:B66"/>
    <mergeCell ref="A67:B67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L47:M47"/>
    <mergeCell ref="N47:O47"/>
    <mergeCell ref="P47:Q47"/>
    <mergeCell ref="L48:M48"/>
    <mergeCell ref="N48:O48"/>
    <mergeCell ref="P48:Q48"/>
    <mergeCell ref="B31:D31"/>
    <mergeCell ref="L31:N31"/>
    <mergeCell ref="L45:Q45"/>
    <mergeCell ref="L46:M46"/>
    <mergeCell ref="N46:O46"/>
    <mergeCell ref="P46:Q46"/>
    <mergeCell ref="B28:D28"/>
    <mergeCell ref="L28:N28"/>
    <mergeCell ref="B29:D29"/>
    <mergeCell ref="L29:N29"/>
    <mergeCell ref="B30:D30"/>
    <mergeCell ref="L30:N30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48" workbookViewId="0">
      <selection activeCell="K54" sqref="K54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304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346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120" t="s">
        <v>212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459</v>
      </c>
      <c r="D9" s="9"/>
      <c r="E9" s="294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365" t="s">
        <v>159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9" t="s">
        <v>67</v>
      </c>
      <c r="M15" s="349" t="s">
        <v>117</v>
      </c>
      <c r="N15" s="1"/>
      <c r="O15" s="1"/>
      <c r="P15" s="103"/>
      <c r="Q15" s="103"/>
      <c r="R15" s="354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18">
        <v>1000</v>
      </c>
      <c r="M16" s="116">
        <f>L16*D34</f>
        <v>1280</v>
      </c>
      <c r="N16" s="714"/>
      <c r="O16" s="715"/>
      <c r="P16" s="350" t="s">
        <v>152</v>
      </c>
      <c r="Q16" s="366" t="s">
        <v>154</v>
      </c>
      <c r="R16" s="354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44.4</v>
      </c>
      <c r="F17" s="367">
        <v>444</v>
      </c>
      <c r="G17" s="357" t="s">
        <v>125</v>
      </c>
      <c r="H17" s="358">
        <f>'[10]Base Preços MP'!G10</f>
        <v>0.01</v>
      </c>
      <c r="I17" s="357">
        <f>E19*7/100+E20*6/100+E21*5/100</f>
        <v>3.8919999999999999</v>
      </c>
      <c r="J17" s="359">
        <f>F17*H17</f>
        <v>4.4400000000000004</v>
      </c>
      <c r="K17" s="111">
        <f t="shared" ref="K17:K22" si="0">I17*1.41*10</f>
        <v>54.877199999999995</v>
      </c>
      <c r="L17" s="676" t="str">
        <f t="shared" ref="L17:L28" si="1">B17</f>
        <v>Agua</v>
      </c>
      <c r="M17" s="677"/>
      <c r="N17" s="678"/>
      <c r="O17" s="117">
        <f>F17*M16/1000</f>
        <v>568.32000000000005</v>
      </c>
      <c r="P17" s="109"/>
      <c r="Q17" s="165" t="s">
        <v>325</v>
      </c>
      <c r="R17" s="166">
        <v>8.2799999999999999E-2</v>
      </c>
      <c r="U17" s="144"/>
      <c r="V17" s="146"/>
    </row>
    <row r="18" spans="1:22" x14ac:dyDescent="0.2">
      <c r="A18" s="1"/>
      <c r="B18" s="682"/>
      <c r="C18" s="724"/>
      <c r="D18" s="725"/>
      <c r="E18" s="315">
        <f t="shared" ref="E18:E29" si="2">F18/10</f>
        <v>0</v>
      </c>
      <c r="F18" s="83"/>
      <c r="G18" s="357" t="s">
        <v>107</v>
      </c>
      <c r="H18" s="360">
        <f>'Base Preços MP'!G55</f>
        <v>2.74</v>
      </c>
      <c r="I18" s="170">
        <f>E19*7/100</f>
        <v>3.8919999999999999</v>
      </c>
      <c r="J18" s="359"/>
      <c r="K18" s="111">
        <f t="shared" si="0"/>
        <v>54.877199999999995</v>
      </c>
      <c r="L18" s="676">
        <f t="shared" si="1"/>
        <v>0</v>
      </c>
      <c r="M18" s="677"/>
      <c r="N18" s="678"/>
      <c r="O18" s="117">
        <f>F18*M16/1000</f>
        <v>0</v>
      </c>
      <c r="P18" s="109"/>
      <c r="Q18" s="352" t="s">
        <v>310</v>
      </c>
      <c r="R18" s="166">
        <v>6.1100000000000002E-2</v>
      </c>
      <c r="U18" s="144"/>
      <c r="V18" s="146"/>
    </row>
    <row r="19" spans="1:22" x14ac:dyDescent="0.2">
      <c r="A19" s="1"/>
      <c r="B19" s="683" t="s">
        <v>309</v>
      </c>
      <c r="C19" s="726"/>
      <c r="D19" s="727"/>
      <c r="E19" s="315">
        <f t="shared" si="2"/>
        <v>55.6</v>
      </c>
      <c r="F19" s="83">
        <v>556</v>
      </c>
      <c r="G19" s="357" t="s">
        <v>108</v>
      </c>
      <c r="H19" s="360">
        <f>'Base Preços MP'!G56</f>
        <v>1.5</v>
      </c>
      <c r="I19" s="171">
        <f>E21*12/100</f>
        <v>0</v>
      </c>
      <c r="J19" s="359">
        <f>F19*H19</f>
        <v>834</v>
      </c>
      <c r="K19" s="111">
        <f t="shared" si="0"/>
        <v>0</v>
      </c>
      <c r="L19" s="676" t="str">
        <f t="shared" si="1"/>
        <v xml:space="preserve">Sulfato de Magnesio </v>
      </c>
      <c r="M19" s="677"/>
      <c r="N19" s="678"/>
      <c r="O19" s="117">
        <f>F19*M16/1000</f>
        <v>711.68</v>
      </c>
      <c r="P19" s="109"/>
      <c r="Q19" s="352"/>
      <c r="R19" s="166"/>
      <c r="U19" s="144"/>
      <c r="V19" s="146"/>
    </row>
    <row r="20" spans="1:22" x14ac:dyDescent="0.2">
      <c r="A20" s="1"/>
      <c r="B20" s="683"/>
      <c r="C20" s="726"/>
      <c r="D20" s="727"/>
      <c r="E20" s="315">
        <f t="shared" si="2"/>
        <v>0</v>
      </c>
      <c r="F20" s="83"/>
      <c r="G20" s="357" t="s">
        <v>109</v>
      </c>
      <c r="H20" s="361">
        <f>'Base Preços MP'!G51</f>
        <v>2.0299999999999998</v>
      </c>
      <c r="I20" s="170">
        <f>E20*15/100</f>
        <v>0</v>
      </c>
      <c r="J20" s="359">
        <f>H20*F20</f>
        <v>0</v>
      </c>
      <c r="K20" s="111">
        <f t="shared" si="0"/>
        <v>0</v>
      </c>
      <c r="L20" s="676">
        <f t="shared" si="1"/>
        <v>0</v>
      </c>
      <c r="M20" s="677"/>
      <c r="N20" s="678"/>
      <c r="O20" s="117">
        <f>F20*M16/1000</f>
        <v>0</v>
      </c>
      <c r="P20" s="109"/>
      <c r="Q20" s="352"/>
      <c r="R20" s="167"/>
      <c r="U20" s="144"/>
      <c r="V20" s="146"/>
    </row>
    <row r="21" spans="1:22" x14ac:dyDescent="0.2">
      <c r="A21" s="1"/>
      <c r="B21" s="683"/>
      <c r="C21" s="726"/>
      <c r="D21" s="727"/>
      <c r="E21" s="315">
        <f t="shared" si="2"/>
        <v>0</v>
      </c>
      <c r="F21" s="368"/>
      <c r="G21" s="357" t="s">
        <v>105</v>
      </c>
      <c r="H21" s="361">
        <f>'[10]Base Preços MP'!G37</f>
        <v>2.65</v>
      </c>
      <c r="I21" s="171">
        <f>E22*17/100</f>
        <v>0</v>
      </c>
      <c r="J21" s="359">
        <f t="shared" ref="J21:J29" si="3">F21*H21</f>
        <v>0</v>
      </c>
      <c r="K21" s="111">
        <f t="shared" si="0"/>
        <v>0</v>
      </c>
      <c r="L21" s="686">
        <f t="shared" si="1"/>
        <v>0</v>
      </c>
      <c r="M21" s="686"/>
      <c r="N21" s="686"/>
      <c r="O21" s="117">
        <f>F21*M16/1000</f>
        <v>0</v>
      </c>
      <c r="P21" s="161"/>
      <c r="Q21" s="352"/>
      <c r="R21" s="166"/>
      <c r="U21" s="144"/>
      <c r="V21" s="146"/>
    </row>
    <row r="22" spans="1:22" x14ac:dyDescent="0.2">
      <c r="A22" s="1"/>
      <c r="B22" s="683"/>
      <c r="C22" s="726"/>
      <c r="D22" s="727"/>
      <c r="E22" s="315">
        <f t="shared" si="2"/>
        <v>0</v>
      </c>
      <c r="F22" s="368"/>
      <c r="G22" s="357" t="s">
        <v>122</v>
      </c>
      <c r="H22" s="361">
        <f>'[10]Base Preços MP'!G11</f>
        <v>2.99</v>
      </c>
      <c r="I22" s="171">
        <f>E23*39/100</f>
        <v>0</v>
      </c>
      <c r="J22" s="359">
        <f>F22*H22</f>
        <v>0</v>
      </c>
      <c r="K22" s="111">
        <f t="shared" si="0"/>
        <v>0</v>
      </c>
      <c r="L22" s="687">
        <f t="shared" si="1"/>
        <v>0</v>
      </c>
      <c r="M22" s="687"/>
      <c r="N22" s="687"/>
      <c r="O22" s="117">
        <f>F22*M16/1000</f>
        <v>0</v>
      </c>
      <c r="P22" s="161"/>
      <c r="Q22" s="352"/>
      <c r="R22" s="166"/>
      <c r="U22" s="144"/>
      <c r="V22" s="146"/>
    </row>
    <row r="23" spans="1:22" x14ac:dyDescent="0.2">
      <c r="A23" s="1"/>
      <c r="B23" s="683"/>
      <c r="C23" s="726"/>
      <c r="D23" s="727"/>
      <c r="E23" s="315">
        <f t="shared" si="2"/>
        <v>0</v>
      </c>
      <c r="F23" s="83"/>
      <c r="G23" s="357"/>
      <c r="H23" s="361">
        <f>'[10]Base Preços MP'!G31</f>
        <v>39.200000000000003</v>
      </c>
      <c r="I23" s="369"/>
      <c r="J23" s="359">
        <f t="shared" si="3"/>
        <v>0</v>
      </c>
      <c r="K23" s="111"/>
      <c r="L23" s="687">
        <f t="shared" si="1"/>
        <v>0</v>
      </c>
      <c r="M23" s="687"/>
      <c r="N23" s="687"/>
      <c r="O23" s="117">
        <f>F23*M16/1000</f>
        <v>0</v>
      </c>
      <c r="P23" s="161"/>
      <c r="Q23" s="165"/>
      <c r="R23" s="166"/>
      <c r="U23" s="144"/>
      <c r="V23" s="146"/>
    </row>
    <row r="24" spans="1:22" x14ac:dyDescent="0.2">
      <c r="A24" s="1"/>
      <c r="B24" s="682"/>
      <c r="C24" s="724"/>
      <c r="D24" s="725"/>
      <c r="E24" s="315">
        <f t="shared" si="2"/>
        <v>0</v>
      </c>
      <c r="F24" s="83"/>
      <c r="G24" s="357"/>
      <c r="H24" s="163">
        <f>'[10]Base Preços MP'!G32</f>
        <v>0.94</v>
      </c>
      <c r="I24" s="315"/>
      <c r="J24" s="359">
        <f>F24*H24</f>
        <v>0</v>
      </c>
      <c r="K24" s="111"/>
      <c r="L24" s="687">
        <f t="shared" si="1"/>
        <v>0</v>
      </c>
      <c r="M24" s="687"/>
      <c r="N24" s="687"/>
      <c r="O24" s="117">
        <f>F24*M16/1000</f>
        <v>0</v>
      </c>
      <c r="P24" s="161"/>
      <c r="Q24" s="165"/>
      <c r="R24" s="166"/>
      <c r="U24" s="144"/>
      <c r="V24" s="146"/>
    </row>
    <row r="25" spans="1:22" x14ac:dyDescent="0.2">
      <c r="A25" s="1"/>
      <c r="B25" s="682"/>
      <c r="C25" s="724"/>
      <c r="D25" s="725"/>
      <c r="E25" s="315">
        <f t="shared" si="2"/>
        <v>0</v>
      </c>
      <c r="F25" s="83"/>
      <c r="G25" s="357"/>
      <c r="H25" s="163">
        <f>'[10]Base Preços MP'!G20</f>
        <v>0.49</v>
      </c>
      <c r="I25" s="315"/>
      <c r="J25" s="359">
        <f>F25*H25</f>
        <v>0</v>
      </c>
      <c r="K25" s="111"/>
      <c r="L25" s="687">
        <f t="shared" si="1"/>
        <v>0</v>
      </c>
      <c r="M25" s="687"/>
      <c r="N25" s="687"/>
      <c r="O25" s="117">
        <f>F25*M16/1000</f>
        <v>0</v>
      </c>
      <c r="P25" s="161"/>
      <c r="Q25" s="165"/>
      <c r="R25" s="166"/>
      <c r="U25" s="144"/>
      <c r="V25" s="146"/>
    </row>
    <row r="26" spans="1:22" x14ac:dyDescent="0.2">
      <c r="A26" s="1"/>
      <c r="B26" s="351"/>
      <c r="C26" s="380"/>
      <c r="D26" s="381"/>
      <c r="E26" s="315">
        <f t="shared" si="2"/>
        <v>0</v>
      </c>
      <c r="F26" s="83"/>
      <c r="G26" s="357"/>
      <c r="H26" s="163">
        <f>'[10]Base Preços MP'!G52</f>
        <v>6.31</v>
      </c>
      <c r="I26" s="315"/>
      <c r="J26" s="359">
        <f>F26*H26</f>
        <v>0</v>
      </c>
      <c r="K26" s="111"/>
      <c r="L26" s="347"/>
      <c r="M26" s="347"/>
      <c r="N26" s="347"/>
      <c r="O26" s="117"/>
      <c r="P26" s="161"/>
      <c r="Q26" s="165"/>
      <c r="R26" s="166"/>
      <c r="U26" s="144"/>
      <c r="V26" s="146"/>
    </row>
    <row r="27" spans="1:22" x14ac:dyDescent="0.2">
      <c r="A27" s="1"/>
      <c r="B27" s="351"/>
      <c r="C27" s="380"/>
      <c r="D27" s="381"/>
      <c r="E27" s="315">
        <f t="shared" si="2"/>
        <v>0</v>
      </c>
      <c r="F27" s="83"/>
      <c r="G27" s="357"/>
      <c r="H27" s="163">
        <f>'[10]Base Preços MP'!G28</f>
        <v>5.28</v>
      </c>
      <c r="I27" s="315"/>
      <c r="J27" s="359">
        <f>F27*H27</f>
        <v>0</v>
      </c>
      <c r="K27" s="111"/>
      <c r="L27" s="347"/>
      <c r="M27" s="347"/>
      <c r="N27" s="347"/>
      <c r="O27" s="117"/>
      <c r="P27" s="161"/>
      <c r="Q27" s="165"/>
      <c r="R27" s="166"/>
      <c r="U27" s="144"/>
      <c r="V27" s="146"/>
    </row>
    <row r="28" spans="1:22" x14ac:dyDescent="0.2">
      <c r="A28" s="1"/>
      <c r="B28" s="682"/>
      <c r="C28" s="724"/>
      <c r="D28" s="725"/>
      <c r="E28" s="315">
        <f t="shared" si="2"/>
        <v>0</v>
      </c>
      <c r="F28" s="83"/>
      <c r="G28" s="357"/>
      <c r="H28" s="362">
        <f>'[10]Base Preços MP'!G53</f>
        <v>0.96</v>
      </c>
      <c r="I28" s="369"/>
      <c r="J28" s="359">
        <f t="shared" si="3"/>
        <v>0</v>
      </c>
      <c r="K28" s="111"/>
      <c r="L28" s="687">
        <f t="shared" si="1"/>
        <v>0</v>
      </c>
      <c r="M28" s="687"/>
      <c r="N28" s="687"/>
      <c r="O28" s="117">
        <f>F28*M16/1000</f>
        <v>0</v>
      </c>
      <c r="P28" s="161"/>
      <c r="Q28" s="165"/>
      <c r="R28" s="166"/>
      <c r="U28" s="144"/>
      <c r="V28" s="146"/>
    </row>
    <row r="29" spans="1:22" x14ac:dyDescent="0.2">
      <c r="A29" s="1"/>
      <c r="B29" s="351"/>
      <c r="C29" s="380"/>
      <c r="D29" s="381"/>
      <c r="E29" s="315">
        <f t="shared" si="2"/>
        <v>0</v>
      </c>
      <c r="F29" s="83"/>
      <c r="G29" s="357"/>
      <c r="H29" s="362">
        <f>'[10]Base Preços MP'!G12</f>
        <v>4.9756</v>
      </c>
      <c r="I29" s="369"/>
      <c r="J29" s="382">
        <f t="shared" si="3"/>
        <v>0</v>
      </c>
      <c r="K29" s="111"/>
      <c r="L29" s="213"/>
      <c r="M29" s="213"/>
      <c r="N29" s="213"/>
      <c r="O29" s="214"/>
      <c r="P29" s="215"/>
      <c r="Q29" s="216"/>
      <c r="R29" s="217"/>
      <c r="U29" s="144"/>
      <c r="V29" s="146"/>
    </row>
    <row r="30" spans="1:22" x14ac:dyDescent="0.2">
      <c r="A30" s="1"/>
      <c r="B30" s="659">
        <f>'Base Preços MP'!G56</f>
        <v>1.5</v>
      </c>
      <c r="C30" s="660"/>
      <c r="D30" s="661"/>
      <c r="E30" s="147">
        <f>SUM(E17:E29)</f>
        <v>100</v>
      </c>
      <c r="F30" s="235">
        <f>SUM(F17:F29)</f>
        <v>1000</v>
      </c>
      <c r="G30" s="103"/>
      <c r="H30" s="362"/>
      <c r="I30" s="103"/>
      <c r="J30" s="112"/>
      <c r="K30" s="103"/>
      <c r="L30" s="703" t="s">
        <v>43</v>
      </c>
      <c r="M30" s="692"/>
      <c r="N30" s="692"/>
      <c r="O30" s="121">
        <f>SUM(O17:O28)</f>
        <v>1280</v>
      </c>
      <c r="P30" s="103"/>
      <c r="Q30" s="103"/>
      <c r="R30" s="164"/>
      <c r="U30" s="145"/>
    </row>
    <row r="31" spans="1:22" x14ac:dyDescent="0.2">
      <c r="A31" s="1"/>
      <c r="B31" s="4"/>
      <c r="C31" s="4"/>
      <c r="D31" s="4"/>
      <c r="E31" s="1"/>
      <c r="F31" s="4"/>
      <c r="G31" s="103"/>
      <c r="H31" s="108"/>
      <c r="I31" s="103"/>
      <c r="J31" s="108"/>
      <c r="K31" s="103"/>
      <c r="L31" s="103"/>
      <c r="M31" s="103"/>
      <c r="N31" s="103"/>
      <c r="O31" s="103"/>
      <c r="P31" s="103"/>
      <c r="Q31" s="103"/>
      <c r="R31" s="103"/>
    </row>
    <row r="32" spans="1:22" x14ac:dyDescent="0.2">
      <c r="A32" s="22">
        <v>1</v>
      </c>
      <c r="B32" s="21" t="s">
        <v>8</v>
      </c>
      <c r="C32" s="21"/>
      <c r="D32" s="4"/>
      <c r="E32" s="103"/>
      <c r="F32" s="104"/>
      <c r="G32" s="105"/>
      <c r="H32" s="106"/>
      <c r="I32" s="1"/>
      <c r="J32" s="7"/>
      <c r="K32" s="103"/>
      <c r="L32" s="103"/>
      <c r="M32" s="103"/>
      <c r="N32" s="103"/>
      <c r="O32" s="103"/>
      <c r="P32" s="103"/>
      <c r="Q32" s="103"/>
      <c r="R32" s="103"/>
    </row>
    <row r="33" spans="1:18" ht="13.5" thickBo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3" t="s">
        <v>2</v>
      </c>
      <c r="C34" s="1"/>
      <c r="D34" s="82">
        <v>1.28</v>
      </c>
      <c r="E34" s="1"/>
      <c r="F34" s="1"/>
      <c r="G34" s="1"/>
      <c r="H34" s="17" t="s">
        <v>1</v>
      </c>
      <c r="I34" s="1"/>
      <c r="J34" s="25">
        <f>SUM(J17:J33)</f>
        <v>838.44</v>
      </c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1"/>
      <c r="C35" s="1"/>
      <c r="D35" s="1"/>
      <c r="E35" s="1"/>
      <c r="F35" s="1"/>
      <c r="G35" s="1"/>
      <c r="H35" s="17" t="s">
        <v>26</v>
      </c>
      <c r="I35" s="1"/>
      <c r="J35" s="18">
        <v>1000</v>
      </c>
      <c r="K35" s="103"/>
      <c r="L35" s="103" t="s">
        <v>254</v>
      </c>
      <c r="M35" s="103" t="s">
        <v>259</v>
      </c>
      <c r="N35" s="103"/>
      <c r="O35" s="103"/>
      <c r="P35" s="103"/>
      <c r="Q35" s="103"/>
      <c r="R35" s="103"/>
    </row>
    <row r="36" spans="1:18" x14ac:dyDescent="0.2">
      <c r="A36" s="1"/>
      <c r="B36" s="1"/>
      <c r="C36" s="1"/>
      <c r="D36" s="1"/>
      <c r="E36" s="1"/>
      <c r="F36" s="1"/>
      <c r="G36" s="1"/>
      <c r="H36" s="19"/>
      <c r="I36" s="1"/>
      <c r="J36" s="30"/>
      <c r="K36" s="103"/>
      <c r="L36" s="189" t="s">
        <v>256</v>
      </c>
      <c r="M36" s="189">
        <v>45</v>
      </c>
      <c r="N36" s="103"/>
      <c r="O36" s="103"/>
      <c r="P36" s="103"/>
      <c r="Q36" s="103"/>
      <c r="R36" s="103"/>
    </row>
    <row r="37" spans="1:18" x14ac:dyDescent="0.2">
      <c r="A37" s="1"/>
      <c r="B37" s="23" t="s">
        <v>15</v>
      </c>
      <c r="C37" s="1"/>
      <c r="D37" s="27"/>
      <c r="E37" s="23" t="s">
        <v>77</v>
      </c>
      <c r="F37" s="315"/>
      <c r="G37" s="1"/>
      <c r="H37" s="23"/>
      <c r="I37" s="27"/>
      <c r="J37" s="29" t="s">
        <v>78</v>
      </c>
      <c r="K37" s="103"/>
      <c r="L37" s="103" t="s">
        <v>105</v>
      </c>
      <c r="M37" s="103"/>
      <c r="N37" s="103"/>
      <c r="O37" s="103"/>
      <c r="P37" s="103"/>
      <c r="Q37" s="103"/>
      <c r="R37" s="103"/>
    </row>
    <row r="38" spans="1:18" x14ac:dyDescent="0.2">
      <c r="A38" s="1"/>
      <c r="B38" s="3" t="s">
        <v>10</v>
      </c>
      <c r="C38" s="1"/>
      <c r="D38" s="520"/>
      <c r="E38" s="68">
        <f>J34/J35</f>
        <v>0.83844000000000007</v>
      </c>
      <c r="F38" s="364"/>
      <c r="G38" s="3" t="s">
        <v>16</v>
      </c>
      <c r="H38" s="1"/>
      <c r="I38" s="39"/>
      <c r="J38" s="68">
        <f>E38*D34</f>
        <v>1.0732032</v>
      </c>
      <c r="K38" s="103"/>
      <c r="L38" s="103" t="s">
        <v>257</v>
      </c>
      <c r="M38" s="103"/>
      <c r="N38" s="103"/>
      <c r="O38" s="103"/>
      <c r="P38" s="103"/>
      <c r="Q38" s="103"/>
      <c r="R38" s="103"/>
    </row>
    <row r="39" spans="1:18" x14ac:dyDescent="0.2">
      <c r="A39" s="1"/>
      <c r="B39" s="19" t="s">
        <v>11</v>
      </c>
      <c r="C39" s="4"/>
      <c r="D39" s="521"/>
      <c r="E39" s="68">
        <v>0.15</v>
      </c>
      <c r="F39" s="16"/>
      <c r="G39" s="19" t="s">
        <v>17</v>
      </c>
      <c r="H39" s="4"/>
      <c r="I39" s="39"/>
      <c r="J39" s="68">
        <f>E39*D34</f>
        <v>0.192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3" t="s">
        <v>14</v>
      </c>
      <c r="C40" s="1"/>
      <c r="D40" s="521"/>
      <c r="E40" s="68"/>
      <c r="F40" s="6"/>
      <c r="G40" s="3" t="s">
        <v>18</v>
      </c>
      <c r="H40" s="1"/>
      <c r="I40" s="39"/>
      <c r="J40" s="68">
        <f>E40*D34</f>
        <v>0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79</v>
      </c>
      <c r="C41" s="1"/>
      <c r="D41" s="521"/>
      <c r="E41" s="68"/>
      <c r="F41" s="3"/>
      <c r="G41" s="3" t="s">
        <v>80</v>
      </c>
      <c r="H41" s="1"/>
      <c r="I41" s="39"/>
      <c r="J41" s="68">
        <f>E41*D34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42</v>
      </c>
      <c r="C42" s="1"/>
      <c r="D42" s="521"/>
      <c r="E42" s="68"/>
      <c r="F42" s="3"/>
      <c r="G42" s="3" t="s">
        <v>81</v>
      </c>
      <c r="H42" s="1"/>
      <c r="I42" s="39"/>
      <c r="J42" s="68">
        <f>E42*D34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12</v>
      </c>
      <c r="C43" s="1"/>
      <c r="D43" s="520"/>
      <c r="E43" s="142">
        <f>E38+E39+E40+E41+E42</f>
        <v>0.9884400000000001</v>
      </c>
      <c r="F43" s="3"/>
      <c r="G43" s="3" t="s">
        <v>19</v>
      </c>
      <c r="H43" s="1"/>
      <c r="I43" s="33"/>
      <c r="J43" s="142">
        <f>J38+J39+J40+J41+J42</f>
        <v>1.2652032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1"/>
      <c r="C44" s="1"/>
      <c r="D44" s="4"/>
      <c r="E44" s="1"/>
      <c r="F44" s="19"/>
      <c r="G44" s="4"/>
      <c r="H44" s="4"/>
      <c r="I44" s="6"/>
      <c r="J44" s="28" t="s">
        <v>21</v>
      </c>
      <c r="K44" s="103"/>
      <c r="L44" s="701"/>
      <c r="M44" s="701"/>
      <c r="N44" s="701"/>
      <c r="O44" s="701"/>
      <c r="P44" s="701"/>
      <c r="Q44" s="701"/>
      <c r="R44" s="103"/>
    </row>
    <row r="45" spans="1:18" x14ac:dyDescent="0.2">
      <c r="A45" s="34">
        <v>2</v>
      </c>
      <c r="B45" s="22" t="s">
        <v>9</v>
      </c>
      <c r="C45" s="22"/>
      <c r="D45" s="1"/>
      <c r="E45" s="1"/>
      <c r="F45" s="19"/>
      <c r="G45" s="4"/>
      <c r="H45" s="27" t="s">
        <v>20</v>
      </c>
      <c r="I45" s="33">
        <f>(100-J45)/100</f>
        <v>1</v>
      </c>
      <c r="J45" s="76"/>
      <c r="K45" s="103"/>
      <c r="L45" s="702"/>
      <c r="M45" s="697"/>
      <c r="N45" s="702"/>
      <c r="O45" s="697"/>
      <c r="P45" s="702"/>
      <c r="Q45" s="697"/>
      <c r="R45" s="103"/>
    </row>
    <row r="46" spans="1:18" x14ac:dyDescent="0.2">
      <c r="A46" s="1"/>
      <c r="B46" s="23"/>
      <c r="C46" s="23"/>
      <c r="D46" s="29"/>
      <c r="E46" s="3" t="s">
        <v>84</v>
      </c>
      <c r="F46" s="6" t="s">
        <v>85</v>
      </c>
      <c r="G46" s="4"/>
      <c r="H46" s="4"/>
      <c r="I46" s="6"/>
      <c r="J46" s="20"/>
      <c r="K46" s="103"/>
      <c r="L46" s="697"/>
      <c r="M46" s="697"/>
      <c r="N46" s="697"/>
      <c r="O46" s="697"/>
      <c r="P46" s="697"/>
      <c r="Q46" s="697"/>
      <c r="R46" s="103"/>
    </row>
    <row r="47" spans="1:18" x14ac:dyDescent="0.2">
      <c r="A47" s="1"/>
      <c r="B47" s="22" t="s">
        <v>22</v>
      </c>
      <c r="C47" s="11"/>
      <c r="D47" s="31" t="s">
        <v>13</v>
      </c>
      <c r="E47" s="36">
        <v>0</v>
      </c>
      <c r="F47" s="36">
        <v>0</v>
      </c>
      <c r="G47" s="19"/>
      <c r="H47" s="318"/>
      <c r="I47" s="75"/>
      <c r="J47" s="32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1"/>
      <c r="C48" s="1"/>
      <c r="D48" s="24" t="s">
        <v>60</v>
      </c>
      <c r="E48" s="36">
        <v>0.19448062015503875</v>
      </c>
      <c r="F48" s="36">
        <v>0.25087999999999999</v>
      </c>
      <c r="G48" s="4"/>
      <c r="H48" s="4"/>
      <c r="I48" s="6"/>
      <c r="J48" s="20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82</v>
      </c>
      <c r="E49" s="36"/>
      <c r="F49" s="36"/>
      <c r="G49" s="19" t="s">
        <v>86</v>
      </c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50</v>
      </c>
      <c r="E50" s="36">
        <f>F50/D34</f>
        <v>0.67374999999999996</v>
      </c>
      <c r="F50" s="36">
        <f>'Base Preços MP'!C88</f>
        <v>0.86239999999999994</v>
      </c>
      <c r="G50" s="4"/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5"/>
      <c r="D51" s="24" t="s">
        <v>50</v>
      </c>
      <c r="E51" s="36">
        <v>0.3956589147286822</v>
      </c>
      <c r="F51" s="36">
        <f>'Base Preços MP'!C89</f>
        <v>0.55040000000000011</v>
      </c>
      <c r="G51" s="19" t="s">
        <v>86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59</v>
      </c>
      <c r="E52" s="36">
        <v>0.92286821705426358</v>
      </c>
      <c r="F52" s="36">
        <v>1.1905000000000001</v>
      </c>
      <c r="G52" s="1"/>
      <c r="H52" s="1"/>
      <c r="I52" s="6"/>
      <c r="J52" s="7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22">
        <v>3</v>
      </c>
      <c r="B53" s="22" t="s">
        <v>25</v>
      </c>
      <c r="C53" s="35"/>
      <c r="D53" s="24" t="s">
        <v>61</v>
      </c>
      <c r="E53" s="36">
        <v>2.3352713178294571</v>
      </c>
      <c r="F53" s="36">
        <v>3.0124999999999997</v>
      </c>
      <c r="G53" s="4"/>
      <c r="H53" s="4"/>
      <c r="I53" s="6"/>
      <c r="J53" s="20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1"/>
      <c r="B54" s="1"/>
      <c r="C54" s="1"/>
      <c r="D54" s="1"/>
      <c r="E54" s="1"/>
      <c r="F54" s="19"/>
      <c r="G54" s="4"/>
      <c r="H54" s="4"/>
      <c r="I54" s="19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27"/>
      <c r="D55" s="27"/>
      <c r="E55" s="27"/>
      <c r="F55" s="27"/>
      <c r="G55" s="27"/>
      <c r="H55" s="4"/>
      <c r="I55" s="6"/>
      <c r="J55" s="40"/>
      <c r="K55" s="103"/>
      <c r="L55" s="143"/>
      <c r="M55" s="143"/>
      <c r="N55" s="143"/>
      <c r="O55" s="143"/>
      <c r="P55" s="143"/>
      <c r="Q55" s="143"/>
      <c r="R55" s="103"/>
    </row>
    <row r="56" spans="1:18" x14ac:dyDescent="0.2">
      <c r="A56" s="1"/>
      <c r="B56" s="1"/>
      <c r="C56" s="55" t="s">
        <v>341</v>
      </c>
      <c r="D56" s="1"/>
      <c r="E56" s="1"/>
      <c r="F56" s="19"/>
      <c r="G56" s="4"/>
      <c r="H56" s="56"/>
      <c r="I56" s="19"/>
      <c r="J56" s="20"/>
      <c r="K56" s="103"/>
      <c r="L56" s="103"/>
      <c r="M56" s="103"/>
      <c r="N56" s="103"/>
      <c r="O56" s="103"/>
      <c r="P56" s="103"/>
      <c r="Q56" s="103"/>
      <c r="R56" s="103"/>
    </row>
    <row r="57" spans="1:18" x14ac:dyDescent="0.2">
      <c r="A57" s="1"/>
      <c r="B57" s="1"/>
      <c r="C57" s="65" t="s">
        <v>64</v>
      </c>
      <c r="D57" s="65" t="s">
        <v>65</v>
      </c>
      <c r="E57" s="65" t="s">
        <v>66</v>
      </c>
      <c r="F57" s="58" t="s">
        <v>87</v>
      </c>
      <c r="G57" s="27" t="s">
        <v>401</v>
      </c>
      <c r="H57" s="56" t="s">
        <v>414</v>
      </c>
      <c r="I57" s="19"/>
      <c r="J57" s="41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6" t="s">
        <v>23</v>
      </c>
      <c r="D58" s="67">
        <f>E43/I45+D40</f>
        <v>0.9884400000000001</v>
      </c>
      <c r="E58" s="67">
        <f>D58*D34</f>
        <v>1.2652032000000002</v>
      </c>
      <c r="F58" s="72" t="s">
        <v>88</v>
      </c>
      <c r="G58" s="33"/>
      <c r="H58" s="56"/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670" t="str">
        <f>'[10]FUEL BLACK 20%'!A60:B60</f>
        <v>Contentor Incluido</v>
      </c>
      <c r="B59" s="694"/>
      <c r="C59" s="74">
        <v>1000</v>
      </c>
      <c r="D59" s="70">
        <f>E43/I45+D40+E48</f>
        <v>1.1829206201550388</v>
      </c>
      <c r="E59" s="70">
        <f>D59*D34</f>
        <v>1.5141383937984498</v>
      </c>
      <c r="F59" s="61" t="s">
        <v>89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1"/>
      <c r="B60" s="1"/>
      <c r="C60" s="69">
        <v>50</v>
      </c>
      <c r="D60" s="70"/>
      <c r="E60" s="70"/>
      <c r="F60" s="51" t="s">
        <v>90</v>
      </c>
      <c r="G60" s="33"/>
      <c r="H60" s="56"/>
      <c r="I60" s="1"/>
      <c r="J60" s="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25</v>
      </c>
      <c r="D61" s="70"/>
      <c r="E61" s="70"/>
      <c r="F61" s="61" t="s">
        <v>89</v>
      </c>
      <c r="G61" s="33"/>
      <c r="H61" s="7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E43/I45+D40+E51</f>
        <v>1.3840989147286824</v>
      </c>
      <c r="E62" s="70">
        <f>D62*D34</f>
        <v>1.7716466108527136</v>
      </c>
      <c r="F62" s="51" t="s">
        <v>90</v>
      </c>
      <c r="G62" s="33">
        <f>E62/0.88</f>
        <v>2.0132347850599017</v>
      </c>
      <c r="H62" s="20">
        <f>G62+0.6</f>
        <v>2.6132347850599018</v>
      </c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5</v>
      </c>
      <c r="D63" s="70">
        <f>E43/I45+D40+E52</f>
        <v>1.9113082170542637</v>
      </c>
      <c r="E63" s="70">
        <f>D63*D34</f>
        <v>2.4464745178294574</v>
      </c>
      <c r="F63" s="61" t="s">
        <v>94</v>
      </c>
      <c r="G63" s="39">
        <f>E63/0.88</f>
        <v>2.7800846793516563</v>
      </c>
      <c r="H63" s="7">
        <f>G63+0.5</f>
        <v>3.2800846793516563</v>
      </c>
      <c r="I63" s="4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86"/>
      <c r="B64" s="86"/>
      <c r="C64" s="69">
        <v>1</v>
      </c>
      <c r="D64" s="70">
        <f>E43/I45+D40+E53</f>
        <v>3.3237113178294573</v>
      </c>
      <c r="E64" s="70">
        <f>D64*D34</f>
        <v>4.2543504868217052</v>
      </c>
      <c r="F64" s="61" t="s">
        <v>95</v>
      </c>
      <c r="G64" s="87">
        <f>E64/0.88</f>
        <v>4.8344891895701192</v>
      </c>
      <c r="H64" s="7">
        <f>G64+0.5</f>
        <v>5.3344891895701192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695"/>
      <c r="B65" s="695"/>
      <c r="C65" s="85"/>
      <c r="D65" s="237"/>
      <c r="E65" s="86"/>
      <c r="F65" s="86"/>
      <c r="G65" s="87">
        <f>E55/0.88</f>
        <v>0</v>
      </c>
      <c r="H65" s="7">
        <f>G65+0.5</f>
        <v>0.5</v>
      </c>
      <c r="I65" s="1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6"/>
      <c r="B66" s="696"/>
      <c r="C66" s="90"/>
      <c r="D66" s="90"/>
      <c r="E66" s="90"/>
      <c r="F66" s="90"/>
      <c r="G66" s="90"/>
      <c r="H66" s="5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3"/>
      <c r="B67" s="693"/>
      <c r="C67" s="93"/>
      <c r="D67" s="92"/>
      <c r="E67" s="348"/>
      <c r="F67" s="92"/>
      <c r="G67" s="348"/>
      <c r="H67" s="73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348"/>
      <c r="F68" s="92"/>
      <c r="G68" s="348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</sheetData>
  <mergeCells count="66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8:D28"/>
    <mergeCell ref="L28:N28"/>
    <mergeCell ref="B30:D30"/>
    <mergeCell ref="L30:N30"/>
    <mergeCell ref="L44:Q44"/>
    <mergeCell ref="L45:M45"/>
    <mergeCell ref="N45:O45"/>
    <mergeCell ref="P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59:B59"/>
    <mergeCell ref="A65:B65"/>
    <mergeCell ref="A66:B66"/>
    <mergeCell ref="A67:B67"/>
    <mergeCell ref="A68:B68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35" workbookViewId="0">
      <selection activeCell="G28" sqref="G28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346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120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 t="s">
        <v>34</v>
      </c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31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349" t="s">
        <v>67</v>
      </c>
      <c r="M15" s="349" t="s">
        <v>117</v>
      </c>
      <c r="N15" s="1"/>
      <c r="O15" s="1"/>
      <c r="P15" s="103"/>
      <c r="Q15" s="103"/>
      <c r="R15" s="354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354" t="s">
        <v>121</v>
      </c>
      <c r="L16" s="195">
        <v>1000</v>
      </c>
      <c r="M16" s="196">
        <f>L16*D35</f>
        <v>1520</v>
      </c>
      <c r="N16" s="714"/>
      <c r="O16" s="715"/>
      <c r="P16" s="350" t="s">
        <v>152</v>
      </c>
      <c r="Q16" s="366" t="s">
        <v>154</v>
      </c>
      <c r="R16" s="354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15.440000000000001</v>
      </c>
      <c r="F17" s="367">
        <v>154.4</v>
      </c>
      <c r="G17" s="357" t="s">
        <v>125</v>
      </c>
      <c r="H17" s="358">
        <f>'[10]Base Preços MP'!G10</f>
        <v>0.01</v>
      </c>
      <c r="I17" s="170">
        <f>E20*20/100+E26*7/100</f>
        <v>0</v>
      </c>
      <c r="J17" s="359">
        <f>F17*H17</f>
        <v>1.544</v>
      </c>
      <c r="K17" s="111">
        <f>I17*1.325*10</f>
        <v>0</v>
      </c>
      <c r="L17" s="676" t="str">
        <f t="shared" ref="L17:L30" si="0">B17</f>
        <v>Agua</v>
      </c>
      <c r="M17" s="677"/>
      <c r="N17" s="678"/>
      <c r="O17" s="117">
        <f>F17*M16/1000</f>
        <v>234.68799999999999</v>
      </c>
      <c r="P17" s="109">
        <v>6.02</v>
      </c>
      <c r="Q17" s="165" t="s">
        <v>125</v>
      </c>
      <c r="R17" s="166">
        <f>J17/994.31</f>
        <v>1.5528356347617948E-3</v>
      </c>
      <c r="U17" s="144"/>
      <c r="V17" s="146"/>
    </row>
    <row r="18" spans="1:22" x14ac:dyDescent="0.2">
      <c r="A18" s="1"/>
      <c r="B18" s="688" t="s">
        <v>167</v>
      </c>
      <c r="C18" s="689"/>
      <c r="D18" s="690"/>
      <c r="E18" s="315">
        <f t="shared" ref="E18:E30" si="1">F18/10</f>
        <v>0</v>
      </c>
      <c r="F18" s="83"/>
      <c r="G18" s="357" t="s">
        <v>69</v>
      </c>
      <c r="H18" s="360">
        <f>'[10]Base Preços MP'!G12</f>
        <v>4.9756</v>
      </c>
      <c r="I18" s="170">
        <f>E19*60/100</f>
        <v>50.736000000000004</v>
      </c>
      <c r="J18" s="359">
        <f>F18*H18</f>
        <v>0</v>
      </c>
      <c r="K18" s="111">
        <f t="shared" ref="K18:K27" si="2">I18*1.325*10</f>
        <v>672.25199999999995</v>
      </c>
      <c r="L18" s="676" t="str">
        <f t="shared" si="0"/>
        <v>Potasa Caustica en Escamas 90 %</v>
      </c>
      <c r="M18" s="677"/>
      <c r="N18" s="678"/>
      <c r="O18" s="117">
        <f>F18*M16/1000</f>
        <v>0</v>
      </c>
      <c r="P18" s="109">
        <v>2.11</v>
      </c>
      <c r="Q18" s="165" t="s">
        <v>69</v>
      </c>
      <c r="R18" s="166">
        <f t="shared" ref="R18:R30" si="3">J18/994.31</f>
        <v>0</v>
      </c>
      <c r="U18" s="144"/>
      <c r="V18" s="146"/>
    </row>
    <row r="19" spans="1:22" x14ac:dyDescent="0.2">
      <c r="A19" s="1"/>
      <c r="B19" s="682" t="s">
        <v>327</v>
      </c>
      <c r="C19" s="724"/>
      <c r="D19" s="725"/>
      <c r="E19" s="315">
        <f t="shared" si="1"/>
        <v>84.56</v>
      </c>
      <c r="F19" s="83">
        <v>845.6</v>
      </c>
      <c r="G19" s="357" t="s">
        <v>110</v>
      </c>
      <c r="H19" s="360">
        <f>'Base Preços MP'!G15</f>
        <v>4.95</v>
      </c>
      <c r="I19" s="170">
        <f>E18*75.5/100+E25*60/100</f>
        <v>0</v>
      </c>
      <c r="J19" s="359">
        <f t="shared" ref="J19:J30" si="4">F19*H19</f>
        <v>4185.72</v>
      </c>
      <c r="K19" s="111">
        <f t="shared" si="2"/>
        <v>0</v>
      </c>
      <c r="L19" s="676" t="str">
        <f t="shared" si="0"/>
        <v>Acido Fosforico Tecnico 61,50% liquido</v>
      </c>
      <c r="M19" s="677"/>
      <c r="N19" s="678"/>
      <c r="O19" s="117">
        <f>F19*M16/1000</f>
        <v>1285.3119999999999</v>
      </c>
      <c r="P19" s="109">
        <v>6.02</v>
      </c>
      <c r="Q19" s="165" t="s">
        <v>110</v>
      </c>
      <c r="R19" s="166">
        <f t="shared" si="3"/>
        <v>4.2096730395952981</v>
      </c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315">
        <f t="shared" si="1"/>
        <v>0</v>
      </c>
      <c r="F20" s="83"/>
      <c r="G20" s="357" t="s">
        <v>106</v>
      </c>
      <c r="H20" s="361">
        <f>'[10]Base Preços MP'!G32</f>
        <v>0.94</v>
      </c>
      <c r="I20" s="170">
        <f>E27*27/100</f>
        <v>0</v>
      </c>
      <c r="J20" s="359">
        <f>H20*F20</f>
        <v>0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0</v>
      </c>
      <c r="P20" s="109">
        <v>3.64</v>
      </c>
      <c r="Q20" s="165" t="s">
        <v>106</v>
      </c>
      <c r="R20" s="166">
        <f t="shared" si="3"/>
        <v>0</v>
      </c>
      <c r="U20" s="144"/>
      <c r="V20" s="146"/>
    </row>
    <row r="21" spans="1:22" x14ac:dyDescent="0.2">
      <c r="A21" s="1"/>
      <c r="B21" s="683" t="s">
        <v>328</v>
      </c>
      <c r="C21" s="726"/>
      <c r="D21" s="727"/>
      <c r="E21" s="315">
        <f t="shared" si="1"/>
        <v>0</v>
      </c>
      <c r="F21" s="368"/>
      <c r="G21" s="357" t="s">
        <v>107</v>
      </c>
      <c r="H21" s="361">
        <f>'[10]Base Preços MP'!G21</f>
        <v>2.1110000000000002</v>
      </c>
      <c r="I21" s="171">
        <f>E26*7/100</f>
        <v>0</v>
      </c>
      <c r="J21" s="359">
        <f t="shared" si="4"/>
        <v>0</v>
      </c>
      <c r="K21" s="111">
        <f t="shared" si="2"/>
        <v>0</v>
      </c>
      <c r="L21" s="686" t="str">
        <f t="shared" si="0"/>
        <v>Cloreto de Mn  14 % Liquido</v>
      </c>
      <c r="M21" s="686"/>
      <c r="N21" s="686"/>
      <c r="O21" s="117">
        <f>F21*M16/1000</f>
        <v>0</v>
      </c>
      <c r="P21" s="161">
        <v>0.81</v>
      </c>
      <c r="Q21" s="165" t="s">
        <v>107</v>
      </c>
      <c r="R21" s="166">
        <f t="shared" si="3"/>
        <v>0</v>
      </c>
      <c r="U21" s="144"/>
      <c r="V21" s="146"/>
    </row>
    <row r="22" spans="1:22" x14ac:dyDescent="0.2">
      <c r="A22" s="1"/>
      <c r="B22" s="682" t="s">
        <v>329</v>
      </c>
      <c r="C22" s="724"/>
      <c r="D22" s="725"/>
      <c r="E22" s="315">
        <f t="shared" si="1"/>
        <v>0</v>
      </c>
      <c r="F22" s="368"/>
      <c r="G22" s="357" t="s">
        <v>108</v>
      </c>
      <c r="H22" s="361">
        <f>'[10]Base Preços MP'!G27</f>
        <v>2.7530000000000001</v>
      </c>
      <c r="I22" s="171">
        <f>E21*14/100</f>
        <v>0</v>
      </c>
      <c r="J22" s="359">
        <f>F22*H22</f>
        <v>0</v>
      </c>
      <c r="K22" s="111">
        <f t="shared" si="2"/>
        <v>0</v>
      </c>
      <c r="L22" s="687" t="str">
        <f t="shared" si="0"/>
        <v>Cloreto de Zn 21 % Liquido</v>
      </c>
      <c r="M22" s="687"/>
      <c r="N22" s="687"/>
      <c r="O22" s="117">
        <f>F22*M16/1000</f>
        <v>0</v>
      </c>
      <c r="P22" s="161">
        <v>2.9000000000000001E-2</v>
      </c>
      <c r="Q22" s="165" t="s">
        <v>108</v>
      </c>
      <c r="R22" s="166">
        <f t="shared" si="3"/>
        <v>0</v>
      </c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1"/>
        <v>0</v>
      </c>
      <c r="F23" s="83"/>
      <c r="G23" s="357" t="s">
        <v>109</v>
      </c>
      <c r="H23" s="361">
        <f>'[10]Base Preços MP'!G24</f>
        <v>1.32</v>
      </c>
      <c r="I23" s="171">
        <f>E22*21/100</f>
        <v>0</v>
      </c>
      <c r="J23" s="359">
        <f t="shared" si="4"/>
        <v>0</v>
      </c>
      <c r="K23" s="111">
        <f t="shared" si="2"/>
        <v>0</v>
      </c>
      <c r="L23" s="687" t="str">
        <f t="shared" si="0"/>
        <v xml:space="preserve">Cloreto Ferrico Sol al 40% </v>
      </c>
      <c r="M23" s="687"/>
      <c r="N23" s="687"/>
      <c r="O23" s="117">
        <f>F23*M16/1000</f>
        <v>0</v>
      </c>
      <c r="P23" s="161">
        <v>1.7999999999999999E-2</v>
      </c>
      <c r="Q23" s="165" t="s">
        <v>109</v>
      </c>
      <c r="R23" s="166">
        <f t="shared" si="3"/>
        <v>0</v>
      </c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1"/>
        <v>0</v>
      </c>
      <c r="F24" s="83"/>
      <c r="G24" s="357" t="s">
        <v>111</v>
      </c>
      <c r="H24" s="361">
        <f>'[10]Base Preços MP'!G23</f>
        <v>7.3</v>
      </c>
      <c r="I24" s="172">
        <f>E24*14/100</f>
        <v>0</v>
      </c>
      <c r="J24" s="359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1.7999999999999999E-2</v>
      </c>
      <c r="Q24" s="165" t="s">
        <v>111</v>
      </c>
      <c r="R24" s="166">
        <f t="shared" si="3"/>
        <v>0</v>
      </c>
      <c r="U24" s="144"/>
      <c r="V24" s="146"/>
    </row>
    <row r="25" spans="1:22" x14ac:dyDescent="0.2">
      <c r="A25" s="1"/>
      <c r="B25" s="682" t="s">
        <v>139</v>
      </c>
      <c r="C25" s="724"/>
      <c r="D25" s="725"/>
      <c r="E25" s="315">
        <f t="shared" si="1"/>
        <v>0</v>
      </c>
      <c r="F25" s="83"/>
      <c r="G25" s="357" t="s">
        <v>112</v>
      </c>
      <c r="H25" s="361">
        <f>'[10]Base Preços MP'!G19</f>
        <v>1.51</v>
      </c>
      <c r="I25" s="172">
        <f>E23*13/100</f>
        <v>0</v>
      </c>
      <c r="J25" s="359">
        <f>F25*H25</f>
        <v>0</v>
      </c>
      <c r="K25" s="111">
        <f t="shared" si="2"/>
        <v>0</v>
      </c>
      <c r="L25" s="687" t="str">
        <f t="shared" si="0"/>
        <v>Cloreto de Potasio 60 &amp;</v>
      </c>
      <c r="M25" s="687"/>
      <c r="N25" s="687"/>
      <c r="O25" s="117">
        <f>F25*M16/1000</f>
        <v>0</v>
      </c>
      <c r="P25" s="161">
        <v>0.105</v>
      </c>
      <c r="Q25" s="165" t="s">
        <v>112</v>
      </c>
      <c r="R25" s="166">
        <f t="shared" si="3"/>
        <v>0</v>
      </c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1"/>
        <v>0</v>
      </c>
      <c r="F26" s="83"/>
      <c r="G26" s="357" t="s">
        <v>105</v>
      </c>
      <c r="H26" s="362">
        <f>'[10]Base Preços MP'!G35</f>
        <v>1.58</v>
      </c>
      <c r="I26" s="171">
        <f>E28*17/100</f>
        <v>0</v>
      </c>
      <c r="J26" s="359">
        <f t="shared" si="4"/>
        <v>0</v>
      </c>
      <c r="K26" s="111">
        <f t="shared" si="2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0</v>
      </c>
      <c r="P26" s="161">
        <v>8.0000000000000002E-3</v>
      </c>
      <c r="Q26" s="165" t="s">
        <v>105</v>
      </c>
      <c r="R26" s="166">
        <f t="shared" si="3"/>
        <v>0</v>
      </c>
      <c r="U26" s="144"/>
      <c r="V26" s="146"/>
    </row>
    <row r="27" spans="1:22" x14ac:dyDescent="0.2">
      <c r="A27" s="1"/>
      <c r="B27" s="688" t="s">
        <v>330</v>
      </c>
      <c r="C27" s="689"/>
      <c r="D27" s="690"/>
      <c r="E27" s="315">
        <f t="shared" si="1"/>
        <v>0</v>
      </c>
      <c r="F27" s="83"/>
      <c r="G27" s="357" t="s">
        <v>122</v>
      </c>
      <c r="H27" s="362">
        <f>'[10]Base Preços MP'!G26</f>
        <v>1.31</v>
      </c>
      <c r="I27" s="171">
        <f>E29*39/100</f>
        <v>0</v>
      </c>
      <c r="J27" s="359">
        <f t="shared" si="4"/>
        <v>0</v>
      </c>
      <c r="K27" s="111">
        <f t="shared" si="2"/>
        <v>0</v>
      </c>
      <c r="L27" s="687" t="str">
        <f t="shared" si="0"/>
        <v>Cloreto de Calcio em Po 27 %</v>
      </c>
      <c r="M27" s="687"/>
      <c r="N27" s="687"/>
      <c r="O27" s="117">
        <f>F27*M16/1000</f>
        <v>0</v>
      </c>
      <c r="P27" s="161">
        <v>6.0000000000000001E-3</v>
      </c>
      <c r="Q27" s="165" t="s">
        <v>122</v>
      </c>
      <c r="R27" s="166">
        <f t="shared" si="3"/>
        <v>0</v>
      </c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1"/>
        <v>0</v>
      </c>
      <c r="F28" s="83"/>
      <c r="G28" s="1"/>
      <c r="H28" s="362">
        <f>'[10]Base Preços MP'!G11</f>
        <v>2.99</v>
      </c>
      <c r="I28" s="1"/>
      <c r="J28" s="359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66">
        <f t="shared" si="3"/>
        <v>0</v>
      </c>
      <c r="U28" s="144"/>
      <c r="V28" s="146"/>
    </row>
    <row r="29" spans="1:22" x14ac:dyDescent="0.2">
      <c r="A29" s="1"/>
      <c r="B29" s="682" t="s">
        <v>28</v>
      </c>
      <c r="C29" s="724"/>
      <c r="D29" s="725"/>
      <c r="E29" s="315">
        <f t="shared" si="1"/>
        <v>0</v>
      </c>
      <c r="F29" s="173"/>
      <c r="G29" s="1"/>
      <c r="H29" s="362">
        <f>'[10]Base Preços MP'!G31</f>
        <v>39.200000000000003</v>
      </c>
      <c r="I29" s="1"/>
      <c r="J29" s="359">
        <f t="shared" si="4"/>
        <v>0</v>
      </c>
      <c r="K29" s="103"/>
      <c r="L29" s="687" t="str">
        <f t="shared" si="0"/>
        <v>Molbdato de Sodio</v>
      </c>
      <c r="M29" s="687"/>
      <c r="N29" s="687"/>
      <c r="O29" s="117">
        <f>F29*M16/1000</f>
        <v>0</v>
      </c>
      <c r="P29" s="103"/>
      <c r="Q29" s="103"/>
      <c r="R29" s="166">
        <f t="shared" si="3"/>
        <v>0</v>
      </c>
      <c r="U29" s="144"/>
      <c r="V29" s="146"/>
    </row>
    <row r="30" spans="1:22" x14ac:dyDescent="0.2">
      <c r="A30" s="1"/>
      <c r="B30" s="682" t="s">
        <v>68</v>
      </c>
      <c r="C30" s="724"/>
      <c r="D30" s="725"/>
      <c r="E30" s="315">
        <f t="shared" si="1"/>
        <v>0</v>
      </c>
      <c r="F30" s="83"/>
      <c r="G30" s="1"/>
      <c r="H30" s="362">
        <f>'[10]Base Preços MP'!G29</f>
        <v>3</v>
      </c>
      <c r="I30" s="1"/>
      <c r="J30" s="359">
        <f t="shared" si="4"/>
        <v>0</v>
      </c>
      <c r="K30" s="103"/>
      <c r="L30" s="687" t="str">
        <f t="shared" si="0"/>
        <v>DTPA Pentasodico 40%</v>
      </c>
      <c r="M30" s="687"/>
      <c r="N30" s="687"/>
      <c r="O30" s="117">
        <f>F30*M16/1000</f>
        <v>0</v>
      </c>
      <c r="P30" s="103"/>
      <c r="Q30" s="103"/>
      <c r="R30" s="166">
        <f t="shared" si="3"/>
        <v>0</v>
      </c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140">
        <f>SUM(F17:F30)</f>
        <v>1000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193">
        <f>SUM(O17:O30)</f>
        <v>1520</v>
      </c>
      <c r="P31" s="103"/>
      <c r="Q31" s="103"/>
      <c r="R31" s="164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1.52</v>
      </c>
      <c r="E35" s="1"/>
      <c r="F35" s="1"/>
      <c r="G35" s="1"/>
      <c r="H35" s="17" t="s">
        <v>1</v>
      </c>
      <c r="I35" s="1"/>
      <c r="J35" s="25">
        <f>SUM(J17:J34)</f>
        <v>4187.2640000000001</v>
      </c>
      <c r="K35" s="103"/>
      <c r="L35" s="103" t="s">
        <v>254</v>
      </c>
      <c r="M35" s="103" t="s">
        <v>259</v>
      </c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30</v>
      </c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  <c r="P37" s="103"/>
      <c r="Q37" s="103"/>
      <c r="R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  <c r="P38" s="103"/>
      <c r="Q38" s="103"/>
      <c r="R38" s="103"/>
    </row>
    <row r="39" spans="1:18" x14ac:dyDescent="0.2">
      <c r="A39" s="1"/>
      <c r="B39" s="3" t="s">
        <v>10</v>
      </c>
      <c r="C39" s="1"/>
      <c r="D39" s="520"/>
      <c r="E39" s="68">
        <f>J35/J36</f>
        <v>4.1872639999999999</v>
      </c>
      <c r="F39" s="364"/>
      <c r="G39" s="3" t="s">
        <v>16</v>
      </c>
      <c r="H39" s="1"/>
      <c r="I39" s="39"/>
      <c r="J39" s="68">
        <f>E39*D35</f>
        <v>6.3646412799999998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11</v>
      </c>
      <c r="C40" s="4"/>
      <c r="D40" s="521"/>
      <c r="E40" s="68">
        <v>0.09</v>
      </c>
      <c r="F40" s="16"/>
      <c r="G40" s="19" t="s">
        <v>17</v>
      </c>
      <c r="H40" s="4"/>
      <c r="I40" s="39"/>
      <c r="J40" s="68">
        <f>E40*D35</f>
        <v>0.1368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4.2772639999999997</v>
      </c>
      <c r="F44" s="3"/>
      <c r="G44" s="3" t="s">
        <v>19</v>
      </c>
      <c r="H44" s="1"/>
      <c r="I44" s="33"/>
      <c r="J44" s="142">
        <f>J39+J40+J41+J42+J43</f>
        <v>6.5014412799999999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31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v>0.19448062015503875</v>
      </c>
      <c r="F49" s="36"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/>
      <c r="F51" s="36"/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v>0.3956589147286822</v>
      </c>
      <c r="F52" s="36">
        <v>0.51040000000000008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v>2.3352713178294571</v>
      </c>
      <c r="F54" s="36"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326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4.2772639999999997</v>
      </c>
      <c r="E59" s="67">
        <f>D59*D35</f>
        <v>6.5014412799999999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'[10]FUEL BLACK 20%'!A60:B60</f>
        <v>Contentor Incluido</v>
      </c>
      <c r="B60" s="694"/>
      <c r="C60" s="74">
        <v>1000</v>
      </c>
      <c r="D60" s="70">
        <f>E44/I46+D41+E49</f>
        <v>4.4717446201550386</v>
      </c>
      <c r="E60" s="70">
        <f>D60*D35</f>
        <v>6.7970518226356589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4.6729229147286819</v>
      </c>
      <c r="E63" s="70">
        <f>D63*D35</f>
        <v>7.1028428303875968</v>
      </c>
      <c r="F63" s="51" t="s">
        <v>90</v>
      </c>
      <c r="G63" s="33">
        <f>E63/0.88</f>
        <v>8.0714123072586332</v>
      </c>
      <c r="H63" s="20">
        <f>G63+0.5</f>
        <v>8.5714123072586332</v>
      </c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5.2001322170542634</v>
      </c>
      <c r="E64" s="70">
        <f>D64*D35</f>
        <v>7.9042009699224804</v>
      </c>
      <c r="F64" s="61" t="s">
        <v>94</v>
      </c>
      <c r="G64" s="39">
        <f>E64/0.88</f>
        <v>8.9820465567300918</v>
      </c>
      <c r="H64" s="7">
        <f>G64+0.5</f>
        <v>9.4820465567300918</v>
      </c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6.6125353178294564</v>
      </c>
      <c r="E65" s="70">
        <f>D65*D35</f>
        <v>10.051053683100774</v>
      </c>
      <c r="F65" s="61" t="s">
        <v>95</v>
      </c>
      <c r="G65" s="87">
        <f>E65/0.88</f>
        <v>11.421651912614516</v>
      </c>
      <c r="H65" s="7">
        <f>G65+0.5</f>
        <v>11.921651912614516</v>
      </c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7">
        <f>E56/0.88</f>
        <v>0</v>
      </c>
      <c r="H66" s="7">
        <f>G66+0.5</f>
        <v>0.5</v>
      </c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348"/>
      <c r="F68" s="92"/>
      <c r="G68" s="348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348"/>
      <c r="F69" s="92"/>
      <c r="G69" s="348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4" workbookViewId="0">
      <selection activeCell="E41" sqref="E41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335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450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56" t="s">
        <v>134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582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453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54" t="s">
        <v>67</v>
      </c>
      <c r="M15" s="454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452" t="s">
        <v>121</v>
      </c>
      <c r="L16" s="118">
        <v>1000</v>
      </c>
      <c r="M16" s="116">
        <f>L16*D35</f>
        <v>1300</v>
      </c>
      <c r="N16" s="714"/>
      <c r="O16" s="715"/>
      <c r="P16" s="455" t="s">
        <v>152</v>
      </c>
      <c r="Q16" s="366" t="s">
        <v>154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0.36</v>
      </c>
      <c r="F17" s="367">
        <v>3.6</v>
      </c>
      <c r="G17" s="357" t="s">
        <v>125</v>
      </c>
      <c r="H17" s="358">
        <f>'[7]Base Preços MP'!G10</f>
        <v>0.01</v>
      </c>
      <c r="I17" s="357">
        <f>E20*30/100+E26*7/100+E21*5/100+E22*6/100</f>
        <v>11.748000000000001</v>
      </c>
      <c r="J17" s="359">
        <f>F17*H17</f>
        <v>3.6000000000000004E-2</v>
      </c>
      <c r="K17" s="111">
        <f>I17*1.34*10</f>
        <v>157.42320000000004</v>
      </c>
      <c r="L17" s="676" t="str">
        <f t="shared" ref="L17:L30" si="0">B17</f>
        <v>Agua</v>
      </c>
      <c r="M17" s="677"/>
      <c r="N17" s="678"/>
      <c r="O17" s="117">
        <f>F17*M16/1000</f>
        <v>4.68</v>
      </c>
      <c r="P17" s="109">
        <v>7.0724400000000003</v>
      </c>
      <c r="Q17" s="455" t="s">
        <v>125</v>
      </c>
      <c r="R17" s="103"/>
      <c r="U17" s="144"/>
      <c r="V17" s="146"/>
    </row>
    <row r="18" spans="1:22" x14ac:dyDescent="0.2">
      <c r="A18" s="1"/>
      <c r="B18" s="682" t="s">
        <v>214</v>
      </c>
      <c r="C18" s="724"/>
      <c r="D18" s="725"/>
      <c r="E18" s="315">
        <f t="shared" ref="E18:E30" si="1">F18/10</f>
        <v>57.08</v>
      </c>
      <c r="F18" s="83">
        <v>570.79999999999995</v>
      </c>
      <c r="G18" s="357" t="s">
        <v>69</v>
      </c>
      <c r="H18" s="360">
        <f>'Base Preços MP'!G38</f>
        <v>0.9</v>
      </c>
      <c r="I18" s="357">
        <f>E19*60/100</f>
        <v>2.04</v>
      </c>
      <c r="J18" s="359">
        <f>F18*H18</f>
        <v>513.72</v>
      </c>
      <c r="K18" s="111">
        <f t="shared" ref="K18:K27" si="2">I18*1.34*10</f>
        <v>27.335999999999999</v>
      </c>
      <c r="L18" s="676" t="str">
        <f t="shared" si="0"/>
        <v>NITREX</v>
      </c>
      <c r="M18" s="677"/>
      <c r="N18" s="678"/>
      <c r="O18" s="117">
        <f>F18*M16/1000</f>
        <v>742.03999999999985</v>
      </c>
      <c r="P18" s="109">
        <v>1.7885999999999997</v>
      </c>
      <c r="Q18" s="455" t="s">
        <v>69</v>
      </c>
      <c r="R18" s="103"/>
      <c r="U18" s="144"/>
      <c r="V18" s="146"/>
    </row>
    <row r="19" spans="1:22" x14ac:dyDescent="0.2">
      <c r="A19" s="1"/>
      <c r="B19" s="682" t="s">
        <v>581</v>
      </c>
      <c r="C19" s="724"/>
      <c r="D19" s="725"/>
      <c r="E19" s="315">
        <f t="shared" si="1"/>
        <v>3.4</v>
      </c>
      <c r="F19" s="83">
        <v>34</v>
      </c>
      <c r="G19" s="357" t="s">
        <v>110</v>
      </c>
      <c r="H19" s="360">
        <f>'Base Preços MP'!G49</f>
        <v>0.81399999999999995</v>
      </c>
      <c r="I19" s="357">
        <f>E18*72.15/100+E25*60/100</f>
        <v>41.183219999999999</v>
      </c>
      <c r="J19" s="359">
        <f t="shared" ref="J19:J30" si="3">F19*H19</f>
        <v>27.675999999999998</v>
      </c>
      <c r="K19" s="111">
        <f t="shared" si="2"/>
        <v>551.85514799999999</v>
      </c>
      <c r="L19" s="676" t="str">
        <f t="shared" si="0"/>
        <v>MELAÇO</v>
      </c>
      <c r="M19" s="677"/>
      <c r="N19" s="678"/>
      <c r="O19" s="117">
        <f>F19*M16/1000</f>
        <v>44.2</v>
      </c>
      <c r="P19" s="109">
        <v>5.9720309999999994</v>
      </c>
      <c r="Q19" s="455" t="s">
        <v>110</v>
      </c>
      <c r="R19" s="103"/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315">
        <f t="shared" si="1"/>
        <v>39.160000000000004</v>
      </c>
      <c r="F20" s="83">
        <v>391.6</v>
      </c>
      <c r="G20" s="357" t="s">
        <v>106</v>
      </c>
      <c r="H20" s="361">
        <f>'Base Preços MP'!G46</f>
        <v>1.7</v>
      </c>
      <c r="I20" s="357">
        <f>E27*14/100</f>
        <v>0</v>
      </c>
      <c r="J20" s="359">
        <f>H20*F20</f>
        <v>665.72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509.08000000000004</v>
      </c>
      <c r="P20" s="109">
        <v>4.3502400000000003</v>
      </c>
      <c r="Q20" s="455" t="s">
        <v>106</v>
      </c>
      <c r="R20" s="103"/>
      <c r="U20" s="144"/>
      <c r="V20" s="146"/>
    </row>
    <row r="21" spans="1:22" x14ac:dyDescent="0.2">
      <c r="A21" s="1"/>
      <c r="B21" s="683"/>
      <c r="C21" s="726"/>
      <c r="D21" s="727"/>
      <c r="E21" s="315">
        <f t="shared" si="1"/>
        <v>0</v>
      </c>
      <c r="F21" s="368"/>
      <c r="G21" s="357" t="s">
        <v>107</v>
      </c>
      <c r="H21" s="361">
        <f>'[7]Base Preços MP'!G37</f>
        <v>2.65</v>
      </c>
      <c r="I21" s="369">
        <f>E26*7/100</f>
        <v>0</v>
      </c>
      <c r="J21" s="359">
        <f t="shared" si="3"/>
        <v>0</v>
      </c>
      <c r="K21" s="111">
        <f t="shared" si="2"/>
        <v>0</v>
      </c>
      <c r="L21" s="686">
        <f t="shared" si="0"/>
        <v>0</v>
      </c>
      <c r="M21" s="686"/>
      <c r="N21" s="686"/>
      <c r="O21" s="117">
        <f>F21*M16/1000</f>
        <v>0</v>
      </c>
      <c r="P21" s="161">
        <v>0.41426000000000002</v>
      </c>
      <c r="Q21" s="455" t="s">
        <v>107</v>
      </c>
      <c r="R21" s="103"/>
      <c r="U21" s="144"/>
      <c r="V21" s="146"/>
    </row>
    <row r="22" spans="1:22" x14ac:dyDescent="0.2">
      <c r="A22" s="1"/>
      <c r="B22" s="682"/>
      <c r="C22" s="724"/>
      <c r="D22" s="725"/>
      <c r="E22" s="315">
        <f t="shared" si="1"/>
        <v>0</v>
      </c>
      <c r="F22" s="368"/>
      <c r="G22" s="357" t="s">
        <v>108</v>
      </c>
      <c r="H22" s="361">
        <f>'[7]Base Preços MP'!G36</f>
        <v>3.17</v>
      </c>
      <c r="I22" s="369">
        <f>E21*12/100</f>
        <v>0</v>
      </c>
      <c r="J22" s="359">
        <f>F22*H22</f>
        <v>0</v>
      </c>
      <c r="K22" s="111">
        <f t="shared" si="2"/>
        <v>0</v>
      </c>
      <c r="L22" s="687">
        <f t="shared" si="0"/>
        <v>0</v>
      </c>
      <c r="M22" s="687"/>
      <c r="N22" s="687"/>
      <c r="O22" s="117">
        <f>F22*M16/1000</f>
        <v>0</v>
      </c>
      <c r="P22" s="161">
        <v>2.198E-2</v>
      </c>
      <c r="Q22" s="455" t="s">
        <v>108</v>
      </c>
      <c r="R22" s="103"/>
      <c r="U22" s="144"/>
      <c r="V22" s="146"/>
    </row>
    <row r="23" spans="1:22" x14ac:dyDescent="0.2">
      <c r="A23" s="1"/>
      <c r="B23" s="682"/>
      <c r="C23" s="724"/>
      <c r="D23" s="725"/>
      <c r="E23" s="315">
        <f t="shared" si="1"/>
        <v>0</v>
      </c>
      <c r="F23" s="83"/>
      <c r="G23" s="357" t="s">
        <v>109</v>
      </c>
      <c r="H23" s="361">
        <f>'[7]Base Preços MP'!G24</f>
        <v>1.32</v>
      </c>
      <c r="I23" s="369">
        <f>E22*15/100</f>
        <v>0</v>
      </c>
      <c r="J23" s="359">
        <f t="shared" si="3"/>
        <v>0</v>
      </c>
      <c r="K23" s="111">
        <f t="shared" si="2"/>
        <v>0</v>
      </c>
      <c r="L23" s="687">
        <f t="shared" si="0"/>
        <v>0</v>
      </c>
      <c r="M23" s="687"/>
      <c r="N23" s="687"/>
      <c r="O23" s="117">
        <f>F23*M16/1000</f>
        <v>0</v>
      </c>
      <c r="P23" s="161">
        <v>1.4070000000000001E-2</v>
      </c>
      <c r="Q23" s="455" t="s">
        <v>109</v>
      </c>
      <c r="R23" s="103"/>
      <c r="U23" s="144"/>
      <c r="V23" s="146"/>
    </row>
    <row r="24" spans="1:22" x14ac:dyDescent="0.2">
      <c r="A24" s="1"/>
      <c r="B24" s="682"/>
      <c r="C24" s="724"/>
      <c r="D24" s="725"/>
      <c r="E24" s="315">
        <f t="shared" si="1"/>
        <v>0</v>
      </c>
      <c r="F24" s="83"/>
      <c r="G24" s="357" t="s">
        <v>111</v>
      </c>
      <c r="H24" s="361">
        <f>'[7]Base Preços MP'!G44</f>
        <v>0.92</v>
      </c>
      <c r="I24" s="315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61">
        <v>7.4200000000000002E-2</v>
      </c>
      <c r="Q24" s="455" t="s">
        <v>111</v>
      </c>
      <c r="R24" s="103"/>
      <c r="U24" s="144"/>
      <c r="V24" s="146"/>
    </row>
    <row r="25" spans="1:22" x14ac:dyDescent="0.2">
      <c r="A25" s="1"/>
      <c r="B25" s="688"/>
      <c r="C25" s="689"/>
      <c r="D25" s="690"/>
      <c r="E25" s="315">
        <f t="shared" si="1"/>
        <v>0</v>
      </c>
      <c r="F25" s="83"/>
      <c r="G25" s="357" t="s">
        <v>112</v>
      </c>
      <c r="H25" s="361">
        <f>'Base Preços MP'!G25</f>
        <v>1.64</v>
      </c>
      <c r="I25" s="315">
        <f>E23*13/100</f>
        <v>0</v>
      </c>
      <c r="J25" s="359">
        <f>F25*H25</f>
        <v>0</v>
      </c>
      <c r="K25" s="111">
        <f t="shared" si="2"/>
        <v>0</v>
      </c>
      <c r="L25" s="687">
        <f t="shared" si="0"/>
        <v>0</v>
      </c>
      <c r="M25" s="687"/>
      <c r="N25" s="687"/>
      <c r="O25" s="117">
        <f>F25*M16/1000</f>
        <v>0</v>
      </c>
      <c r="P25" s="161">
        <v>5.382E-2</v>
      </c>
      <c r="Q25" s="455" t="s">
        <v>112</v>
      </c>
      <c r="R25" s="103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62">
        <f>'[7]Base Preços MP'!G35</f>
        <v>1.4</v>
      </c>
      <c r="I26" s="369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455" t="s">
        <v>105</v>
      </c>
      <c r="R26" s="103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62">
        <f>'[7]Base Preços MP'!G25</f>
        <v>1.55</v>
      </c>
      <c r="I27" s="369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455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62">
        <f>'[7]Base Preços MP'!G11</f>
        <v>2.99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"/>
      <c r="H29" s="362">
        <f>'[7]Base Preços MP'!G31</f>
        <v>39.200000000000003</v>
      </c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62">
        <f>'[7]Base Preços MP'!G29</f>
        <v>3</v>
      </c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140">
        <f>SUM(F17:F30)</f>
        <v>1000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121">
        <f>SUM(O17:O30)</f>
        <v>1300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</v>
      </c>
      <c r="E35" s="1"/>
      <c r="F35" s="1"/>
      <c r="G35" s="1"/>
      <c r="H35" s="17" t="s">
        <v>1</v>
      </c>
      <c r="I35" s="1"/>
      <c r="J35" s="25">
        <f>SUM(J17:J34)</f>
        <v>1207.152</v>
      </c>
      <c r="K35" s="103"/>
      <c r="L35" s="103"/>
      <c r="M35" s="103" t="s">
        <v>258</v>
      </c>
      <c r="N35" s="103" t="s">
        <v>259</v>
      </c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89" t="s">
        <v>256</v>
      </c>
      <c r="N36" s="189">
        <v>80</v>
      </c>
      <c r="O36" s="103"/>
      <c r="P36" s="103"/>
      <c r="Q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03" t="s">
        <v>105</v>
      </c>
      <c r="N37" s="103"/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257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68">
        <f>J35/J36</f>
        <v>1.207152</v>
      </c>
      <c r="F39" s="364"/>
      <c r="G39" s="3" t="s">
        <v>16</v>
      </c>
      <c r="H39" s="1"/>
      <c r="I39" s="39"/>
      <c r="J39" s="68">
        <f>E39*D35</f>
        <v>1.5692976000000001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11</v>
      </c>
      <c r="C40" s="4"/>
      <c r="D40" s="521"/>
      <c r="E40" s="68">
        <v>0.1</v>
      </c>
      <c r="F40" s="16"/>
      <c r="G40" s="19" t="s">
        <v>17</v>
      </c>
      <c r="H40" s="4"/>
      <c r="I40" s="39"/>
      <c r="J40" s="68">
        <f>E40*D35</f>
        <v>0.13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1.3071520000000001</v>
      </c>
      <c r="F44" s="3"/>
      <c r="G44" s="3" t="s">
        <v>19</v>
      </c>
      <c r="H44" s="1"/>
      <c r="I44" s="33"/>
      <c r="J44" s="142">
        <f>J39+J40+J41+J42+J43</f>
        <v>1.6992976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453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v>0.19448062015503875</v>
      </c>
      <c r="F49" s="36"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/>
      <c r="F50" s="36"/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0.66338461538461535</v>
      </c>
      <c r="F51" s="36">
        <f>'Base Preços MP'!C88</f>
        <v>0.86239999999999994</v>
      </c>
      <c r="G51" s="19" t="s">
        <v>531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v>0.3956589147286822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v>2.3352713178294571</v>
      </c>
      <c r="F54" s="36"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 t="s">
        <v>414</v>
      </c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 t="s">
        <v>587</v>
      </c>
      <c r="K56" s="633">
        <v>1.5</v>
      </c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413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401</v>
      </c>
      <c r="H58" s="56" t="s">
        <v>414</v>
      </c>
      <c r="I58" s="19"/>
      <c r="J58" s="41" t="s">
        <v>585</v>
      </c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E44/I46+D41</f>
        <v>1.3071520000000001</v>
      </c>
      <c r="E59" s="67">
        <f>D59*D35</f>
        <v>1.6992976000000002</v>
      </c>
      <c r="F59" s="72" t="s">
        <v>88</v>
      </c>
      <c r="G59" s="33"/>
      <c r="H59" s="56"/>
      <c r="I59" s="6"/>
      <c r="J59" s="638" t="s">
        <v>586</v>
      </c>
      <c r="K59" s="643" t="s">
        <v>570</v>
      </c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'[7]FUEL BLACK 20%'!A60:B60</f>
        <v>Contentor Incluido</v>
      </c>
      <c r="B60" s="694"/>
      <c r="C60" s="74">
        <v>1000</v>
      </c>
      <c r="D60" s="70">
        <f>E44/I46+D41+E49</f>
        <v>1.5016326201550387</v>
      </c>
      <c r="E60" s="70">
        <f>D60*D35</f>
        <v>1.9521224062015505</v>
      </c>
      <c r="F60" s="61" t="s">
        <v>89</v>
      </c>
      <c r="G60" s="33"/>
      <c r="H60" s="56"/>
      <c r="I60" s="19"/>
      <c r="J60" s="638"/>
      <c r="K60" s="633"/>
      <c r="L60" s="63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24"/>
      <c r="K61" s="633"/>
      <c r="L61" s="63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E44/I46+E51</f>
        <v>1.9705366153846153</v>
      </c>
      <c r="E62" s="70">
        <f>D62*D35</f>
        <v>2.5616976</v>
      </c>
      <c r="F62" s="61" t="s">
        <v>573</v>
      </c>
      <c r="G62" s="33"/>
      <c r="H62" s="7"/>
      <c r="I62" s="1"/>
      <c r="J62" s="319">
        <f>E62+1.5</f>
        <v>4.0616976000000005</v>
      </c>
      <c r="K62" s="635">
        <f>J62/3.7</f>
        <v>1.0977561081081082</v>
      </c>
      <c r="L62" s="63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E44/I46+D41+E52</f>
        <v>1.7028109147286823</v>
      </c>
      <c r="E63" s="70">
        <f>D63*D35</f>
        <v>2.2136541891472872</v>
      </c>
      <c r="F63" s="51" t="s">
        <v>90</v>
      </c>
      <c r="G63" s="33">
        <f>E63+0.2</f>
        <v>2.4136541891472874</v>
      </c>
      <c r="H63" s="20">
        <f>G63+0.5</f>
        <v>2.9136541891472874</v>
      </c>
      <c r="I63" s="1"/>
      <c r="J63" s="16"/>
      <c r="K63" s="635"/>
      <c r="L63" s="63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2.2300202170542636</v>
      </c>
      <c r="E64" s="70">
        <f>D64*D35</f>
        <v>2.8990262821705426</v>
      </c>
      <c r="F64" s="61" t="s">
        <v>94</v>
      </c>
      <c r="G64" s="39">
        <f>E64/0.88</f>
        <v>3.2943480479210709</v>
      </c>
      <c r="H64" s="7">
        <f>G64+0.5</f>
        <v>3.7943480479210709</v>
      </c>
      <c r="I64" s="4"/>
      <c r="J64" s="319">
        <f>E64+1.5</f>
        <v>4.3990262821705421</v>
      </c>
      <c r="K64" s="635">
        <f>J64/3.7</f>
        <v>1.1889260222082545</v>
      </c>
      <c r="L64" s="63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3.6424233178294569</v>
      </c>
      <c r="E65" s="70">
        <f>D65*D35</f>
        <v>4.7351503131782939</v>
      </c>
      <c r="F65" s="61" t="s">
        <v>95</v>
      </c>
      <c r="G65" s="87">
        <f>E65/0.88</f>
        <v>5.3808526286116978</v>
      </c>
      <c r="H65" s="7">
        <f>G65+0.5</f>
        <v>5.8808526286116978</v>
      </c>
      <c r="I65" s="4"/>
      <c r="J65" s="646">
        <f>H65+1.5</f>
        <v>7.3808526286116978</v>
      </c>
      <c r="K65" s="635">
        <f>J65/3.7</f>
        <v>1.9948250347599181</v>
      </c>
      <c r="L65" s="63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6"/>
      <c r="K66" s="635"/>
      <c r="L66" s="63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24"/>
      <c r="K67" s="644"/>
      <c r="L67" s="63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451"/>
      <c r="F68" s="92"/>
      <c r="G68" s="451"/>
      <c r="H68" s="73"/>
      <c r="I68" s="1"/>
      <c r="J68" s="1"/>
      <c r="K68" s="645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451"/>
      <c r="F69" s="92"/>
      <c r="G69" s="451"/>
      <c r="H69" s="73"/>
      <c r="I69" s="1"/>
      <c r="J69" s="1"/>
      <c r="K69" s="645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3" workbookViewId="0">
      <selection activeCell="H26" sqref="H26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7" width="11.42578125" customWidth="1"/>
    <col min="18" max="18" width="10.71093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 t="s">
        <v>162</v>
      </c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/>
      <c r="G7" s="24"/>
      <c r="H7" s="565" t="s">
        <v>115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511" t="s">
        <v>504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507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68" t="s">
        <v>67</v>
      </c>
      <c r="M15" s="568" t="s">
        <v>117</v>
      </c>
      <c r="N15" s="1"/>
      <c r="O15" s="1"/>
      <c r="P15" s="103"/>
      <c r="Q15" s="103"/>
      <c r="R15" s="567" t="s">
        <v>21</v>
      </c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67" t="s">
        <v>121</v>
      </c>
      <c r="L16" s="195">
        <v>1000</v>
      </c>
      <c r="M16" s="196">
        <f>L16*D35</f>
        <v>1190</v>
      </c>
      <c r="N16" s="714"/>
      <c r="O16" s="715"/>
      <c r="P16" s="569" t="s">
        <v>152</v>
      </c>
      <c r="Q16" s="366" t="s">
        <v>154</v>
      </c>
      <c r="R16" s="567" t="s">
        <v>158</v>
      </c>
    </row>
    <row r="17" spans="1:22" x14ac:dyDescent="0.2">
      <c r="A17" s="1"/>
      <c r="B17" s="673" t="s">
        <v>49</v>
      </c>
      <c r="C17" s="674"/>
      <c r="D17" s="675"/>
      <c r="E17" s="315">
        <f>F17/10</f>
        <v>19.649999999999999</v>
      </c>
      <c r="F17" s="367">
        <v>196.5</v>
      </c>
      <c r="G17" s="357" t="s">
        <v>125</v>
      </c>
      <c r="H17" s="358">
        <f>'[11]Base Preços MP'!G10</f>
        <v>0.01</v>
      </c>
      <c r="I17" s="170">
        <f>E20*20/100+E26*6/100</f>
        <v>1.6459999999999999</v>
      </c>
      <c r="J17" s="359">
        <f>F17*H17</f>
        <v>1.9650000000000001</v>
      </c>
      <c r="K17" s="111">
        <f>I17*1.325*10</f>
        <v>21.809499999999996</v>
      </c>
      <c r="L17" s="676" t="str">
        <f t="shared" ref="L17:L30" si="0">B17</f>
        <v>Agua</v>
      </c>
      <c r="M17" s="677"/>
      <c r="N17" s="678"/>
      <c r="O17" s="117">
        <f>F17*M16/1000</f>
        <v>233.83500000000001</v>
      </c>
      <c r="P17" s="109">
        <v>6.02</v>
      </c>
      <c r="Q17" s="165" t="s">
        <v>125</v>
      </c>
      <c r="R17" s="166">
        <f>J17/994.31</f>
        <v>1.9762448331003411E-3</v>
      </c>
      <c r="U17" s="144"/>
      <c r="V17" s="146"/>
    </row>
    <row r="18" spans="1:22" x14ac:dyDescent="0.2">
      <c r="A18" s="1"/>
      <c r="B18" s="688" t="s">
        <v>31</v>
      </c>
      <c r="C18" s="689"/>
      <c r="D18" s="690"/>
      <c r="E18" s="315">
        <f t="shared" ref="E18:E30" si="1">F18/10</f>
        <v>0</v>
      </c>
      <c r="F18" s="83"/>
      <c r="G18" s="357" t="s">
        <v>69</v>
      </c>
      <c r="H18" s="360">
        <f>'Base Preços MP'!G24</f>
        <v>4.3</v>
      </c>
      <c r="I18" s="170">
        <f>E19*60/100+E21*80/100</f>
        <v>59.491999999999997</v>
      </c>
      <c r="J18" s="359">
        <f>F18*H18</f>
        <v>0</v>
      </c>
      <c r="K18" s="111">
        <f t="shared" ref="K18:K27" si="2">I18*1.325*10</f>
        <v>788.26900000000001</v>
      </c>
      <c r="L18" s="676" t="str">
        <f t="shared" si="0"/>
        <v>Acido Nitrico</v>
      </c>
      <c r="M18" s="677"/>
      <c r="N18" s="678"/>
      <c r="O18" s="117">
        <f>F18*M16/1000</f>
        <v>0</v>
      </c>
      <c r="P18" s="109">
        <v>2.11</v>
      </c>
      <c r="Q18" s="165" t="s">
        <v>69</v>
      </c>
      <c r="R18" s="166">
        <f t="shared" ref="R18:R30" si="3">J18/994.31</f>
        <v>0</v>
      </c>
      <c r="U18" s="144"/>
      <c r="V18" s="146"/>
    </row>
    <row r="19" spans="1:22" x14ac:dyDescent="0.2">
      <c r="A19" s="1"/>
      <c r="B19" s="682" t="s">
        <v>131</v>
      </c>
      <c r="C19" s="724"/>
      <c r="D19" s="725"/>
      <c r="E19" s="315">
        <f t="shared" si="1"/>
        <v>13.02</v>
      </c>
      <c r="F19" s="83">
        <v>130.19999999999999</v>
      </c>
      <c r="G19" s="357" t="s">
        <v>110</v>
      </c>
      <c r="H19" s="360">
        <f>'Base Preços MP'!G15</f>
        <v>4.95</v>
      </c>
      <c r="I19" s="170">
        <v>0</v>
      </c>
      <c r="J19" s="359">
        <f t="shared" ref="J19:J30" si="4">F19*H19</f>
        <v>644.49</v>
      </c>
      <c r="K19" s="111">
        <f t="shared" si="2"/>
        <v>0</v>
      </c>
      <c r="L19" s="676" t="str">
        <f t="shared" si="0"/>
        <v>Acido Fosforico Tecnico 60% liquido</v>
      </c>
      <c r="M19" s="677"/>
      <c r="N19" s="678"/>
      <c r="O19" s="117">
        <f>F19*M16/1000</f>
        <v>154.93799999999999</v>
      </c>
      <c r="P19" s="109">
        <v>6.02</v>
      </c>
      <c r="Q19" s="165" t="s">
        <v>110</v>
      </c>
      <c r="R19" s="166">
        <f t="shared" si="3"/>
        <v>0.64817813358007059</v>
      </c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315">
        <f t="shared" si="1"/>
        <v>2.23</v>
      </c>
      <c r="F20" s="83">
        <v>22.3</v>
      </c>
      <c r="G20" s="357" t="s">
        <v>106</v>
      </c>
      <c r="H20" s="361">
        <f>'Base Preços MP'!G46</f>
        <v>1.7</v>
      </c>
      <c r="I20" s="170">
        <f>E27*27/100</f>
        <v>6.0209999999999999</v>
      </c>
      <c r="J20" s="359">
        <f>H20*F20</f>
        <v>37.910000000000004</v>
      </c>
      <c r="K20" s="111">
        <f t="shared" si="2"/>
        <v>79.778249999999986</v>
      </c>
      <c r="L20" s="676" t="str">
        <f t="shared" si="0"/>
        <v>UREIA</v>
      </c>
      <c r="M20" s="677"/>
      <c r="N20" s="678"/>
      <c r="O20" s="117">
        <f>F20*M16/1000</f>
        <v>26.536999999999999</v>
      </c>
      <c r="P20" s="109">
        <v>3.64</v>
      </c>
      <c r="Q20" s="165" t="s">
        <v>106</v>
      </c>
      <c r="R20" s="166">
        <f t="shared" si="3"/>
        <v>3.8126942301696658E-2</v>
      </c>
      <c r="U20" s="144"/>
      <c r="V20" s="146"/>
    </row>
    <row r="21" spans="1:22" x14ac:dyDescent="0.2">
      <c r="A21" s="1"/>
      <c r="B21" s="683" t="s">
        <v>200</v>
      </c>
      <c r="C21" s="726"/>
      <c r="D21" s="727"/>
      <c r="E21" s="315">
        <f t="shared" si="1"/>
        <v>64.599999999999994</v>
      </c>
      <c r="F21" s="368">
        <v>646</v>
      </c>
      <c r="G21" s="357" t="s">
        <v>107</v>
      </c>
      <c r="H21" s="361">
        <f>'Base Preços MP'!G17</f>
        <v>6.9</v>
      </c>
      <c r="I21" s="171">
        <f>E26*5/100</f>
        <v>1</v>
      </c>
      <c r="J21" s="359">
        <f t="shared" si="4"/>
        <v>4457.4000000000005</v>
      </c>
      <c r="K21" s="111">
        <f t="shared" si="2"/>
        <v>13.25</v>
      </c>
      <c r="L21" s="686" t="str">
        <f t="shared" si="0"/>
        <v>Acido Fosforoso</v>
      </c>
      <c r="M21" s="686"/>
      <c r="N21" s="686"/>
      <c r="O21" s="117">
        <f>F21*M16/1000</f>
        <v>768.74</v>
      </c>
      <c r="P21" s="161">
        <v>0.81</v>
      </c>
      <c r="Q21" s="165" t="s">
        <v>107</v>
      </c>
      <c r="R21" s="166">
        <f t="shared" si="3"/>
        <v>4.4829077450694461</v>
      </c>
      <c r="U21" s="144"/>
      <c r="V21" s="146"/>
    </row>
    <row r="22" spans="1:22" x14ac:dyDescent="0.2">
      <c r="A22" s="1"/>
      <c r="B22" s="682" t="s">
        <v>329</v>
      </c>
      <c r="C22" s="724"/>
      <c r="D22" s="725"/>
      <c r="E22" s="315">
        <f t="shared" si="1"/>
        <v>0.25</v>
      </c>
      <c r="F22" s="368">
        <v>2.5</v>
      </c>
      <c r="G22" s="357" t="s">
        <v>108</v>
      </c>
      <c r="H22" s="361">
        <f>'Base Preços MP'!G30</f>
        <v>2.1</v>
      </c>
      <c r="I22" s="171">
        <v>0</v>
      </c>
      <c r="J22" s="359">
        <f>F22*H22</f>
        <v>5.25</v>
      </c>
      <c r="K22" s="111">
        <f t="shared" si="2"/>
        <v>0</v>
      </c>
      <c r="L22" s="687" t="str">
        <f t="shared" si="0"/>
        <v>Cloreto de Zn 21 % Liquido</v>
      </c>
      <c r="M22" s="687"/>
      <c r="N22" s="687"/>
      <c r="O22" s="117">
        <f>F22*M16/1000</f>
        <v>2.9750000000000001</v>
      </c>
      <c r="P22" s="161">
        <v>2.9000000000000001E-2</v>
      </c>
      <c r="Q22" s="165" t="s">
        <v>108</v>
      </c>
      <c r="R22" s="166">
        <f t="shared" si="3"/>
        <v>5.2800434472146515E-3</v>
      </c>
      <c r="U22" s="144"/>
      <c r="V22" s="146"/>
    </row>
    <row r="23" spans="1:22" x14ac:dyDescent="0.2">
      <c r="A23" s="1"/>
      <c r="B23" s="682" t="s">
        <v>70</v>
      </c>
      <c r="C23" s="724"/>
      <c r="D23" s="725"/>
      <c r="E23" s="315">
        <f t="shared" si="1"/>
        <v>0.25</v>
      </c>
      <c r="F23" s="83">
        <v>2.5</v>
      </c>
      <c r="G23" s="357" t="s">
        <v>109</v>
      </c>
      <c r="H23" s="361">
        <f>'Base Preços MP'!G33</f>
        <v>2.89</v>
      </c>
      <c r="I23" s="171">
        <f>E22*21/100</f>
        <v>5.2499999999999998E-2</v>
      </c>
      <c r="J23" s="359">
        <f t="shared" si="4"/>
        <v>7.2250000000000005</v>
      </c>
      <c r="K23" s="111">
        <f t="shared" si="2"/>
        <v>0.69562499999999994</v>
      </c>
      <c r="L23" s="687" t="str">
        <f t="shared" si="0"/>
        <v xml:space="preserve">Cloreto Ferrico Sol al 40% </v>
      </c>
      <c r="M23" s="687"/>
      <c r="N23" s="687"/>
      <c r="O23" s="117">
        <f>F23*M16/1000</f>
        <v>2.9750000000000001</v>
      </c>
      <c r="P23" s="161">
        <v>1.7999999999999999E-2</v>
      </c>
      <c r="Q23" s="165" t="s">
        <v>109</v>
      </c>
      <c r="R23" s="166">
        <f t="shared" si="3"/>
        <v>7.2663455059287351E-3</v>
      </c>
      <c r="U23" s="144"/>
      <c r="V23" s="146"/>
    </row>
    <row r="24" spans="1:22" x14ac:dyDescent="0.2">
      <c r="A24" s="1"/>
      <c r="B24" s="682" t="s">
        <v>130</v>
      </c>
      <c r="C24" s="724"/>
      <c r="D24" s="725"/>
      <c r="E24" s="315">
        <f t="shared" si="1"/>
        <v>0</v>
      </c>
      <c r="F24" s="83"/>
      <c r="G24" s="357" t="s">
        <v>111</v>
      </c>
      <c r="H24" s="361">
        <f>'Base Preços MP'!G29</f>
        <v>10.3</v>
      </c>
      <c r="I24" s="510">
        <f>E24*14/100</f>
        <v>0</v>
      </c>
      <c r="J24" s="359">
        <f>F24*H24</f>
        <v>0</v>
      </c>
      <c r="K24" s="111">
        <f t="shared" si="2"/>
        <v>0</v>
      </c>
      <c r="L24" s="687" t="str">
        <f t="shared" si="0"/>
        <v>Cloreto de Cu 14% liquido</v>
      </c>
      <c r="M24" s="687"/>
      <c r="N24" s="687"/>
      <c r="O24" s="117">
        <f>F24*M16/1000</f>
        <v>0</v>
      </c>
      <c r="P24" s="161">
        <v>1.7999999999999999E-2</v>
      </c>
      <c r="Q24" s="165" t="s">
        <v>111</v>
      </c>
      <c r="R24" s="166">
        <f t="shared" si="3"/>
        <v>0</v>
      </c>
      <c r="U24" s="144"/>
      <c r="V24" s="146"/>
    </row>
    <row r="25" spans="1:22" x14ac:dyDescent="0.2">
      <c r="A25" s="1"/>
      <c r="B25" s="682" t="s">
        <v>139</v>
      </c>
      <c r="C25" s="724"/>
      <c r="D25" s="725"/>
      <c r="E25" s="315">
        <f t="shared" si="1"/>
        <v>0</v>
      </c>
      <c r="F25" s="83"/>
      <c r="G25" s="357" t="s">
        <v>112</v>
      </c>
      <c r="H25" s="361">
        <f>'Base Preços MP'!G25</f>
        <v>1.64</v>
      </c>
      <c r="I25" s="510">
        <f>E23*13/100</f>
        <v>3.2500000000000001E-2</v>
      </c>
      <c r="J25" s="359">
        <f>F25*H25</f>
        <v>0</v>
      </c>
      <c r="K25" s="111">
        <f t="shared" si="2"/>
        <v>0.43062499999999998</v>
      </c>
      <c r="L25" s="687" t="str">
        <f t="shared" si="0"/>
        <v>Cloreto de Potasio 60 &amp;</v>
      </c>
      <c r="M25" s="687"/>
      <c r="N25" s="687"/>
      <c r="O25" s="117">
        <f>F25*M16/1000</f>
        <v>0</v>
      </c>
      <c r="P25" s="161">
        <v>0.105</v>
      </c>
      <c r="Q25" s="165" t="s">
        <v>112</v>
      </c>
      <c r="R25" s="166">
        <f t="shared" si="3"/>
        <v>0</v>
      </c>
      <c r="U25" s="144"/>
      <c r="V25" s="146"/>
    </row>
    <row r="26" spans="1:22" x14ac:dyDescent="0.2">
      <c r="A26" s="1"/>
      <c r="B26" s="682" t="s">
        <v>128</v>
      </c>
      <c r="C26" s="724"/>
      <c r="D26" s="725"/>
      <c r="E26" s="315">
        <f t="shared" si="1"/>
        <v>20</v>
      </c>
      <c r="F26" s="83">
        <v>200</v>
      </c>
      <c r="G26" s="357" t="s">
        <v>105</v>
      </c>
      <c r="H26" s="362">
        <f>'Base Preços MP'!G41</f>
        <v>1.76</v>
      </c>
      <c r="I26" s="171">
        <f>E28*17/100</f>
        <v>0</v>
      </c>
      <c r="J26" s="359">
        <f t="shared" si="4"/>
        <v>352</v>
      </c>
      <c r="K26" s="111">
        <f t="shared" si="2"/>
        <v>0</v>
      </c>
      <c r="L26" s="687" t="str">
        <f t="shared" si="0"/>
        <v>Nitrato de Magnesio liquido (7% Mg) liquido</v>
      </c>
      <c r="M26" s="687"/>
      <c r="N26" s="687"/>
      <c r="O26" s="117">
        <f>F26*M16/1000</f>
        <v>238</v>
      </c>
      <c r="P26" s="161">
        <v>8.0000000000000002E-3</v>
      </c>
      <c r="Q26" s="165" t="s">
        <v>105</v>
      </c>
      <c r="R26" s="166">
        <f t="shared" si="3"/>
        <v>0.35401434160372519</v>
      </c>
      <c r="U26" s="144"/>
      <c r="V26" s="146"/>
    </row>
    <row r="27" spans="1:22" x14ac:dyDescent="0.2">
      <c r="A27" s="1"/>
      <c r="B27" s="688" t="s">
        <v>330</v>
      </c>
      <c r="C27" s="689"/>
      <c r="D27" s="690"/>
      <c r="E27" s="315">
        <f t="shared" si="1"/>
        <v>22.3</v>
      </c>
      <c r="F27" s="83">
        <v>223</v>
      </c>
      <c r="G27" s="357" t="s">
        <v>122</v>
      </c>
      <c r="H27" s="362">
        <f>'Base Preços MP'!G32</f>
        <v>1.84</v>
      </c>
      <c r="I27" s="171">
        <f>E29*39/100</f>
        <v>0.39</v>
      </c>
      <c r="J27" s="359">
        <f t="shared" si="4"/>
        <v>410.32</v>
      </c>
      <c r="K27" s="111">
        <f t="shared" si="2"/>
        <v>5.1675000000000004</v>
      </c>
      <c r="L27" s="687" t="str">
        <f t="shared" si="0"/>
        <v>Cloreto de Calcio em Po 27 %</v>
      </c>
      <c r="M27" s="687"/>
      <c r="N27" s="687"/>
      <c r="O27" s="117">
        <f>F27*M16/1000</f>
        <v>265.37</v>
      </c>
      <c r="P27" s="161">
        <v>6.0000000000000001E-3</v>
      </c>
      <c r="Q27" s="165" t="s">
        <v>122</v>
      </c>
      <c r="R27" s="166">
        <f t="shared" si="3"/>
        <v>0.41266808138306971</v>
      </c>
      <c r="U27" s="144"/>
      <c r="V27" s="146"/>
    </row>
    <row r="28" spans="1:22" x14ac:dyDescent="0.2">
      <c r="A28" s="1"/>
      <c r="B28" s="682" t="s">
        <v>30</v>
      </c>
      <c r="C28" s="724"/>
      <c r="D28" s="725"/>
      <c r="E28" s="315">
        <f t="shared" si="1"/>
        <v>0</v>
      </c>
      <c r="F28" s="83"/>
      <c r="G28" s="1"/>
      <c r="H28" s="362">
        <f>'[11]Base Preços MP'!G11</f>
        <v>2.99</v>
      </c>
      <c r="I28" s="1"/>
      <c r="J28" s="359">
        <f>F28*H28</f>
        <v>0</v>
      </c>
      <c r="K28" s="103"/>
      <c r="L28" s="687" t="str">
        <f t="shared" si="0"/>
        <v>Acido Borico</v>
      </c>
      <c r="M28" s="687"/>
      <c r="N28" s="687"/>
      <c r="O28" s="117">
        <f>F28*M16/1000</f>
        <v>0</v>
      </c>
      <c r="P28" s="103"/>
      <c r="Q28" s="103"/>
      <c r="R28" s="166">
        <f t="shared" si="3"/>
        <v>0</v>
      </c>
      <c r="U28" s="144"/>
      <c r="V28" s="146"/>
    </row>
    <row r="29" spans="1:22" x14ac:dyDescent="0.2">
      <c r="A29" s="1"/>
      <c r="B29" s="682" t="s">
        <v>461</v>
      </c>
      <c r="C29" s="724"/>
      <c r="D29" s="725"/>
      <c r="E29" s="315">
        <f t="shared" si="1"/>
        <v>1</v>
      </c>
      <c r="F29" s="173">
        <v>10</v>
      </c>
      <c r="G29" s="1"/>
      <c r="H29" s="362">
        <f>'Base Preços MP'!G79</f>
        <v>4.7</v>
      </c>
      <c r="I29" s="1"/>
      <c r="J29" s="359">
        <f t="shared" si="4"/>
        <v>47</v>
      </c>
      <c r="K29" s="103"/>
      <c r="L29" s="687" t="str">
        <f t="shared" si="0"/>
        <v>AMINOACIDOS</v>
      </c>
      <c r="M29" s="687"/>
      <c r="N29" s="687"/>
      <c r="O29" s="117">
        <f>F29*M16/1000</f>
        <v>11.9</v>
      </c>
      <c r="P29" s="103"/>
      <c r="Q29" s="103"/>
      <c r="R29" s="166">
        <f t="shared" si="3"/>
        <v>4.7268960384588311E-2</v>
      </c>
      <c r="U29" s="144"/>
      <c r="V29" s="146"/>
    </row>
    <row r="30" spans="1:22" x14ac:dyDescent="0.2">
      <c r="A30" s="1"/>
      <c r="B30" s="682" t="s">
        <v>506</v>
      </c>
      <c r="C30" s="724"/>
      <c r="D30" s="725"/>
      <c r="E30" s="315">
        <f t="shared" si="1"/>
        <v>18.5</v>
      </c>
      <c r="F30" s="83">
        <v>185</v>
      </c>
      <c r="G30" s="1"/>
      <c r="H30" s="362">
        <f>'Base Preços MP'!G49</f>
        <v>0.81399999999999995</v>
      </c>
      <c r="I30" s="570">
        <f>F30*37/1000</f>
        <v>6.8449999999999998</v>
      </c>
      <c r="J30" s="359">
        <f t="shared" si="4"/>
        <v>150.59</v>
      </c>
      <c r="K30" s="103"/>
      <c r="L30" s="687" t="str">
        <f t="shared" si="0"/>
        <v>Melaço Liquido</v>
      </c>
      <c r="M30" s="687"/>
      <c r="N30" s="687"/>
      <c r="O30" s="117">
        <f>F30*M16/1000</f>
        <v>220.15</v>
      </c>
      <c r="P30" s="103"/>
      <c r="Q30" s="103"/>
      <c r="R30" s="166">
        <f t="shared" si="3"/>
        <v>0.15145176051734369</v>
      </c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161.80000000000001</v>
      </c>
      <c r="F31" s="140">
        <f>SUM(F17:F30)</f>
        <v>1618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193">
        <f>SUM(O17:O30)</f>
        <v>1925.42</v>
      </c>
      <c r="P31" s="103"/>
      <c r="Q31" s="103"/>
      <c r="R31" s="164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1.19</v>
      </c>
      <c r="E35" s="1"/>
      <c r="F35" s="1"/>
      <c r="G35" s="1"/>
      <c r="H35" s="17" t="s">
        <v>1</v>
      </c>
      <c r="I35" s="1"/>
      <c r="J35" s="25">
        <f>SUM(J17:J34)</f>
        <v>6114.1500000000005</v>
      </c>
      <c r="K35" s="103"/>
      <c r="L35" s="103" t="s">
        <v>254</v>
      </c>
      <c r="M35" s="103" t="s">
        <v>255</v>
      </c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60</v>
      </c>
      <c r="N36" s="103"/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  <c r="P37" s="103"/>
      <c r="Q37" s="103"/>
      <c r="R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  <c r="P38" s="103"/>
      <c r="Q38" s="103"/>
      <c r="R38" s="103"/>
    </row>
    <row r="39" spans="1:18" x14ac:dyDescent="0.2">
      <c r="A39" s="1"/>
      <c r="B39" s="3" t="s">
        <v>10</v>
      </c>
      <c r="C39" s="1"/>
      <c r="D39" s="28"/>
      <c r="E39" s="68">
        <f>J35/J36</f>
        <v>6.1141500000000004</v>
      </c>
      <c r="F39" s="364"/>
      <c r="G39" s="3" t="s">
        <v>16</v>
      </c>
      <c r="H39" s="1"/>
      <c r="I39" s="39"/>
      <c r="J39" s="68">
        <f>E39*D35</f>
        <v>7.2758384999999999</v>
      </c>
      <c r="K39" s="103"/>
      <c r="L39" s="103"/>
      <c r="M39" s="103"/>
      <c r="N39" s="103"/>
      <c r="O39" s="103"/>
      <c r="P39" s="103"/>
      <c r="Q39" s="103"/>
      <c r="R39" s="103"/>
    </row>
    <row r="40" spans="1:18" x14ac:dyDescent="0.2">
      <c r="A40" s="1"/>
      <c r="B40" s="19" t="s">
        <v>11</v>
      </c>
      <c r="C40" s="4"/>
      <c r="D40" s="71"/>
      <c r="E40" s="68">
        <v>0.1</v>
      </c>
      <c r="F40" s="16"/>
      <c r="G40" s="19" t="s">
        <v>17</v>
      </c>
      <c r="H40" s="4"/>
      <c r="I40" s="39"/>
      <c r="J40" s="68">
        <f>E40*D35</f>
        <v>0.11899999999999999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71"/>
      <c r="E41" s="68">
        <v>0.25</v>
      </c>
      <c r="F41" s="6"/>
      <c r="G41" s="3" t="s">
        <v>18</v>
      </c>
      <c r="H41" s="1"/>
      <c r="I41" s="39"/>
      <c r="J41" s="68">
        <f>E41*D35</f>
        <v>0.29749999999999999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28"/>
      <c r="E44" s="142">
        <f>E39+E40+E41+E42+E43</f>
        <v>6.4641500000000001</v>
      </c>
      <c r="F44" s="3"/>
      <c r="G44" s="3" t="s">
        <v>19</v>
      </c>
      <c r="H44" s="1"/>
      <c r="I44" s="33"/>
      <c r="J44" s="142">
        <f>J39+J40+J41+J42+J43</f>
        <v>7.6923385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0.21082352941176472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'[11]Base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0.68907563025210083</v>
      </c>
      <c r="F51" s="36">
        <f>'[11]Base Preços MP'!C66</f>
        <v>0.82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0.46252100840336147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1.1113445378151261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2.1008403361344539</v>
      </c>
      <c r="F54" s="36">
        <f>'[11]Base Preços MP'!C70</f>
        <v>2.5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505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/>
      <c r="H58" s="56"/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</f>
        <v>6.4641500000000001</v>
      </c>
      <c r="E59" s="67">
        <f>J44/I46</f>
        <v>7.6923385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'[11]FUEL BLACK 20%'!A60:B60</f>
        <v>Contentor Incluido</v>
      </c>
      <c r="B60" s="694"/>
      <c r="C60" s="74">
        <v>1000</v>
      </c>
      <c r="D60" s="70">
        <f>(E44+E49)/I46</f>
        <v>6.6749735294117647</v>
      </c>
      <c r="E60" s="70">
        <f>(J44+F49)/I46</f>
        <v>7.9432185000000004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 t="e">
        <f>(E44+E50)/I46</f>
        <v>#REF!</v>
      </c>
      <c r="E61" s="70" t="e">
        <f>(J44+F50)/I46</f>
        <v>#REF!</v>
      </c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(E44+E51)/I46</f>
        <v>7.1532256302521011</v>
      </c>
      <c r="E62" s="70">
        <f>(J44+F51)/I46</f>
        <v>8.5123385000000003</v>
      </c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(E44+E52)/I46</f>
        <v>6.9266710084033614</v>
      </c>
      <c r="E63" s="70">
        <f>(J44+F52)/I46</f>
        <v>8.2427384999999997</v>
      </c>
      <c r="F63" s="51" t="s">
        <v>90</v>
      </c>
      <c r="G63" s="33"/>
      <c r="H63" s="4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(E44+E53)/I46</f>
        <v>7.5754945378151266</v>
      </c>
      <c r="E64" s="70">
        <f>D64*D35</f>
        <v>9.0148384999999998</v>
      </c>
      <c r="F64" s="61" t="s">
        <v>94</v>
      </c>
      <c r="G64" s="39"/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(E54+E44)/I46</f>
        <v>8.5649903361344535</v>
      </c>
      <c r="E65" s="70">
        <f>'Base Preços MP'!C92</f>
        <v>3.2124999999999999</v>
      </c>
      <c r="F65" s="61" t="s">
        <v>95</v>
      </c>
      <c r="G65" s="8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566"/>
      <c r="F68" s="92"/>
      <c r="G68" s="566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566"/>
      <c r="F69" s="92"/>
      <c r="G69" s="566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" workbookViewId="0">
      <selection activeCell="H20" sqref="H20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  <col min="16" max="16" width="11.7109375" customWidth="1"/>
  </cols>
  <sheetData>
    <row r="1" spans="1:16" ht="12.75" hidden="1" customHeight="1" x14ac:dyDescent="0.2">
      <c r="A1" t="s">
        <v>507</v>
      </c>
    </row>
    <row r="2" spans="1:16" ht="12.75" hidden="1" customHeight="1" x14ac:dyDescent="0.2"/>
    <row r="3" spans="1:16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6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1:16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1:16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719" t="s">
        <v>372</v>
      </c>
      <c r="J6" s="720"/>
      <c r="K6" s="720"/>
      <c r="L6" s="720"/>
      <c r="M6" s="720"/>
      <c r="N6" s="720"/>
      <c r="O6" s="721"/>
    </row>
    <row r="7" spans="1:16" ht="15.75" x14ac:dyDescent="0.25">
      <c r="A7" s="1"/>
      <c r="B7" s="3" t="s">
        <v>0</v>
      </c>
      <c r="C7" s="63" t="s">
        <v>202</v>
      </c>
      <c r="D7" s="63"/>
      <c r="E7" s="63"/>
      <c r="F7" s="63" t="s">
        <v>284</v>
      </c>
      <c r="G7" s="24"/>
      <c r="H7" s="540" t="s">
        <v>115</v>
      </c>
      <c r="I7" s="722"/>
      <c r="J7" s="663"/>
      <c r="K7" s="1"/>
      <c r="L7" s="103"/>
      <c r="M7" s="103"/>
      <c r="N7" s="103"/>
      <c r="O7" s="103"/>
    </row>
    <row r="8" spans="1:16" ht="17.25" customHeight="1" x14ac:dyDescent="0.25">
      <c r="A8" s="1"/>
      <c r="B8" s="3"/>
      <c r="C8" s="10"/>
      <c r="D8" s="10"/>
      <c r="E8" s="4"/>
      <c r="F8" s="4"/>
      <c r="G8" s="24"/>
      <c r="H8" s="511" t="s">
        <v>322</v>
      </c>
      <c r="I8" s="723"/>
      <c r="J8" s="665"/>
      <c r="K8" s="103"/>
      <c r="L8" s="103"/>
      <c r="M8" s="103"/>
      <c r="N8" s="103"/>
      <c r="O8" s="103"/>
    </row>
    <row r="9" spans="1:16" ht="15.75" x14ac:dyDescent="0.25">
      <c r="A9" s="1"/>
      <c r="B9" s="3" t="s">
        <v>3</v>
      </c>
      <c r="C9" s="8" t="s">
        <v>508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</row>
    <row r="10" spans="1:16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</row>
    <row r="11" spans="1:16" x14ac:dyDescent="0.2">
      <c r="A11" s="1"/>
      <c r="B11" s="3" t="s">
        <v>46</v>
      </c>
      <c r="C11" s="62">
        <v>43118</v>
      </c>
      <c r="D11" s="507"/>
      <c r="E11" s="4"/>
      <c r="F11" s="4"/>
      <c r="G11" s="1"/>
      <c r="H11" s="3" t="s">
        <v>47</v>
      </c>
      <c r="I11" s="64"/>
      <c r="J11" s="64"/>
      <c r="K11" s="103"/>
      <c r="L11" s="103"/>
      <c r="M11" s="103"/>
      <c r="N11" s="103"/>
      <c r="O11" s="103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</row>
    <row r="13" spans="1:16" ht="6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</row>
    <row r="14" spans="1:16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716">
        <v>374</v>
      </c>
      <c r="O14" s="670"/>
    </row>
    <row r="15" spans="1:16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42" t="s">
        <v>67</v>
      </c>
      <c r="M15" s="542" t="s">
        <v>117</v>
      </c>
      <c r="N15" s="717"/>
      <c r="O15" s="718"/>
      <c r="P15" s="353" t="s">
        <v>153</v>
      </c>
    </row>
    <row r="16" spans="1:16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541" t="s">
        <v>121</v>
      </c>
      <c r="L16" s="195">
        <v>1000</v>
      </c>
      <c r="M16" s="196">
        <f>L16*D35</f>
        <v>1190</v>
      </c>
      <c r="N16" s="714"/>
      <c r="O16" s="715"/>
      <c r="P16" s="355"/>
    </row>
    <row r="17" spans="1:16" x14ac:dyDescent="0.2">
      <c r="A17" s="1"/>
      <c r="B17" s="710" t="s">
        <v>49</v>
      </c>
      <c r="C17" s="711"/>
      <c r="D17" s="712"/>
      <c r="E17" s="315">
        <f>F17/10</f>
        <v>19.649999999999999</v>
      </c>
      <c r="F17" s="356">
        <v>196.5</v>
      </c>
      <c r="G17" s="357" t="s">
        <v>125</v>
      </c>
      <c r="H17" s="358">
        <f>'[1]Base Preços MP'!G10</f>
        <v>0.01</v>
      </c>
      <c r="I17" s="170">
        <f>E20*17/100+E26*7/100</f>
        <v>0.37909999999999999</v>
      </c>
      <c r="J17" s="359">
        <f>F17*H17</f>
        <v>1.9650000000000001</v>
      </c>
      <c r="K17" s="111">
        <f>I17*1.325*10</f>
        <v>5.0230750000000004</v>
      </c>
      <c r="L17" s="676" t="str">
        <f t="shared" ref="L17:L30" si="0">B17</f>
        <v>Agua</v>
      </c>
      <c r="M17" s="677"/>
      <c r="N17" s="678"/>
      <c r="O17" s="117">
        <f>F17*M16/1000</f>
        <v>233.83500000000001</v>
      </c>
      <c r="P17" s="197" t="s">
        <v>169</v>
      </c>
    </row>
    <row r="18" spans="1:16" x14ac:dyDescent="0.2">
      <c r="A18" s="1"/>
      <c r="B18" s="384" t="s">
        <v>73</v>
      </c>
      <c r="C18" s="227"/>
      <c r="D18" s="228"/>
      <c r="E18" s="315">
        <f t="shared" ref="E18:E30" si="1">F18/10</f>
        <v>0</v>
      </c>
      <c r="F18" s="260"/>
      <c r="G18" s="357" t="s">
        <v>69</v>
      </c>
      <c r="H18" s="360">
        <f>'Base Preços MP'!G19</f>
        <v>3.5</v>
      </c>
      <c r="I18" s="170">
        <f>E19*60/100</f>
        <v>7.8119999999999994</v>
      </c>
      <c r="J18" s="359">
        <f>F18*H18</f>
        <v>0</v>
      </c>
      <c r="K18" s="111">
        <f t="shared" ref="K18:K27" si="2">I18*1.325*10</f>
        <v>103.50899999999999</v>
      </c>
      <c r="L18" s="676" t="str">
        <f t="shared" si="0"/>
        <v>MAP</v>
      </c>
      <c r="M18" s="677"/>
      <c r="N18" s="678"/>
      <c r="O18" s="117">
        <f>F18*M16/1000</f>
        <v>0</v>
      </c>
      <c r="P18" s="197">
        <v>2.11</v>
      </c>
    </row>
    <row r="19" spans="1:16" x14ac:dyDescent="0.2">
      <c r="A19" s="1"/>
      <c r="B19" s="384" t="s">
        <v>408</v>
      </c>
      <c r="C19" s="227"/>
      <c r="D19" s="228"/>
      <c r="E19" s="315">
        <f t="shared" si="1"/>
        <v>13.02</v>
      </c>
      <c r="F19" s="260">
        <v>130.19999999999999</v>
      </c>
      <c r="G19" s="357" t="s">
        <v>110</v>
      </c>
      <c r="H19" s="360">
        <f>'Base Preços MP'!G15</f>
        <v>4.95</v>
      </c>
      <c r="I19" s="170">
        <f>E18*75.5/100+E25*15/100</f>
        <v>0</v>
      </c>
      <c r="J19" s="359">
        <f t="shared" ref="J19:J27" si="3">F19*H19</f>
        <v>644.49</v>
      </c>
      <c r="K19" s="111">
        <f t="shared" si="2"/>
        <v>0</v>
      </c>
      <c r="L19" s="676" t="str">
        <f t="shared" si="0"/>
        <v>ACIDO FOSFORICO</v>
      </c>
      <c r="M19" s="677"/>
      <c r="N19" s="678"/>
      <c r="O19" s="117">
        <f>F19*M16/1000</f>
        <v>154.93799999999999</v>
      </c>
      <c r="P19" s="197">
        <v>6.02</v>
      </c>
    </row>
    <row r="20" spans="1:16" x14ac:dyDescent="0.2">
      <c r="A20" s="1"/>
      <c r="B20" s="683" t="s">
        <v>113</v>
      </c>
      <c r="C20" s="704"/>
      <c r="D20" s="705"/>
      <c r="E20" s="315">
        <f t="shared" si="1"/>
        <v>2.23</v>
      </c>
      <c r="F20" s="260">
        <v>22.3</v>
      </c>
      <c r="G20" s="357" t="s">
        <v>106</v>
      </c>
      <c r="H20" s="361">
        <f>'Base Preços MP'!G46</f>
        <v>1.7</v>
      </c>
      <c r="I20" s="170">
        <f>E27*27/100</f>
        <v>0</v>
      </c>
      <c r="J20" s="359">
        <f>H20*F20</f>
        <v>37.910000000000004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26.536999999999999</v>
      </c>
      <c r="P20" s="197">
        <v>3.64</v>
      </c>
    </row>
    <row r="21" spans="1:16" x14ac:dyDescent="0.2">
      <c r="A21" s="1"/>
      <c r="B21" s="384" t="s">
        <v>502</v>
      </c>
      <c r="C21" s="227"/>
      <c r="D21" s="228"/>
      <c r="E21" s="315">
        <f t="shared" si="1"/>
        <v>64.599999999999994</v>
      </c>
      <c r="F21" s="260">
        <v>646</v>
      </c>
      <c r="G21" s="357" t="s">
        <v>107</v>
      </c>
      <c r="H21" s="361">
        <f>'Base Preços MP'!G25</f>
        <v>1.64</v>
      </c>
      <c r="I21" s="171">
        <f>E26*7/100</f>
        <v>0</v>
      </c>
      <c r="J21" s="359">
        <f t="shared" si="3"/>
        <v>1059.4399999999998</v>
      </c>
      <c r="K21" s="111">
        <f t="shared" si="2"/>
        <v>0</v>
      </c>
      <c r="L21" s="686" t="str">
        <f t="shared" si="0"/>
        <v>CLORETO DE POTASSIO PÓ</v>
      </c>
      <c r="M21" s="686"/>
      <c r="N21" s="686"/>
      <c r="O21" s="117">
        <f>F21*M16/1000</f>
        <v>768.74</v>
      </c>
      <c r="P21" s="197">
        <v>0.81</v>
      </c>
    </row>
    <row r="22" spans="1:16" x14ac:dyDescent="0.2">
      <c r="A22" s="1"/>
      <c r="B22" s="706"/>
      <c r="C22" s="707"/>
      <c r="D22" s="708"/>
      <c r="E22" s="315">
        <f t="shared" si="1"/>
        <v>0.25</v>
      </c>
      <c r="F22" s="260">
        <v>2.5</v>
      </c>
      <c r="G22" s="357" t="s">
        <v>108</v>
      </c>
      <c r="H22" s="361">
        <f>'Base Preços MP'!G79</f>
        <v>4.7</v>
      </c>
      <c r="I22" s="171">
        <f>E21*14/100</f>
        <v>9.0439999999999987</v>
      </c>
      <c r="J22" s="359">
        <f>F22*H22</f>
        <v>11.75</v>
      </c>
      <c r="K22" s="111">
        <f t="shared" si="2"/>
        <v>119.83299999999998</v>
      </c>
      <c r="L22" s="687">
        <f t="shared" si="0"/>
        <v>0</v>
      </c>
      <c r="M22" s="687"/>
      <c r="N22" s="687"/>
      <c r="O22" s="117">
        <f>F22*M16/1000</f>
        <v>2.9750000000000001</v>
      </c>
      <c r="P22" s="198">
        <v>2.9000000000000001E-2</v>
      </c>
    </row>
    <row r="23" spans="1:16" x14ac:dyDescent="0.2">
      <c r="A23" s="1"/>
      <c r="B23" s="513"/>
      <c r="C23" s="514"/>
      <c r="D23" s="515"/>
      <c r="E23" s="315">
        <f t="shared" si="1"/>
        <v>0.25</v>
      </c>
      <c r="F23" s="260">
        <v>2.5</v>
      </c>
      <c r="G23" s="357" t="s">
        <v>109</v>
      </c>
      <c r="H23" s="361">
        <f>'Base Preços MP'!G76</f>
        <v>53.78</v>
      </c>
      <c r="I23" s="171">
        <f>E22*21/100</f>
        <v>5.2499999999999998E-2</v>
      </c>
      <c r="J23" s="359">
        <f t="shared" si="3"/>
        <v>134.44999999999999</v>
      </c>
      <c r="K23" s="111">
        <f t="shared" si="2"/>
        <v>0.69562499999999994</v>
      </c>
      <c r="L23" s="687">
        <f t="shared" si="0"/>
        <v>0</v>
      </c>
      <c r="M23" s="687"/>
      <c r="N23" s="687"/>
      <c r="O23" s="117">
        <f>F23*M16/1000</f>
        <v>2.9750000000000001</v>
      </c>
      <c r="P23" s="198">
        <v>1.7999999999999999E-2</v>
      </c>
    </row>
    <row r="24" spans="1:16" x14ac:dyDescent="0.2">
      <c r="A24" s="1"/>
      <c r="B24" s="513"/>
      <c r="C24" s="514"/>
      <c r="D24" s="515"/>
      <c r="E24" s="315">
        <f t="shared" si="1"/>
        <v>0</v>
      </c>
      <c r="F24" s="260"/>
      <c r="G24" s="357" t="s">
        <v>111</v>
      </c>
      <c r="H24" s="361">
        <f>'[2]Base Preços MP'!G30</f>
        <v>1.84</v>
      </c>
      <c r="I24" s="510">
        <f>E24*14/100</f>
        <v>0</v>
      </c>
      <c r="J24" s="359">
        <f>F24*H24</f>
        <v>0</v>
      </c>
      <c r="K24" s="111">
        <f t="shared" si="2"/>
        <v>0</v>
      </c>
      <c r="L24" s="687">
        <f t="shared" si="0"/>
        <v>0</v>
      </c>
      <c r="M24" s="687"/>
      <c r="N24" s="687"/>
      <c r="O24" s="117">
        <f>F24*M16/1000</f>
        <v>0</v>
      </c>
      <c r="P24" s="198">
        <v>1.7999999999999999E-2</v>
      </c>
    </row>
    <row r="25" spans="1:16" x14ac:dyDescent="0.2">
      <c r="A25" s="1"/>
      <c r="B25" s="226"/>
      <c r="C25" s="227"/>
      <c r="D25" s="228"/>
      <c r="E25" s="315">
        <f t="shared" si="1"/>
        <v>0</v>
      </c>
      <c r="F25" s="260"/>
      <c r="G25" s="357" t="s">
        <v>112</v>
      </c>
      <c r="H25" s="361">
        <f>'[2]Base Preços MP'!G54</f>
        <v>4.18</v>
      </c>
      <c r="I25" s="510">
        <f>E23*13/100</f>
        <v>3.2500000000000001E-2</v>
      </c>
      <c r="J25" s="359">
        <f>F25*H25</f>
        <v>0</v>
      </c>
      <c r="K25" s="111">
        <f t="shared" si="2"/>
        <v>0.43062499999999998</v>
      </c>
      <c r="L25" s="687">
        <f t="shared" si="0"/>
        <v>0</v>
      </c>
      <c r="M25" s="687"/>
      <c r="N25" s="687"/>
      <c r="O25" s="117">
        <f>F25*M16/1000</f>
        <v>0</v>
      </c>
      <c r="P25" s="198">
        <v>0.105</v>
      </c>
    </row>
    <row r="26" spans="1:16" x14ac:dyDescent="0.2">
      <c r="A26" s="1"/>
      <c r="B26" s="226"/>
      <c r="C26" s="227"/>
      <c r="D26" s="228"/>
      <c r="E26" s="315">
        <f t="shared" si="1"/>
        <v>0</v>
      </c>
      <c r="F26" s="260"/>
      <c r="G26" s="357" t="s">
        <v>105</v>
      </c>
      <c r="H26" s="362">
        <f>'[2]Base Preços MP'!G56</f>
        <v>1.1499999999999999</v>
      </c>
      <c r="I26" s="171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98">
        <v>8.0000000000000002E-3</v>
      </c>
    </row>
    <row r="27" spans="1:16" x14ac:dyDescent="0.2">
      <c r="A27" s="1"/>
      <c r="B27" s="226"/>
      <c r="C27" s="227"/>
      <c r="D27" s="228"/>
      <c r="E27" s="315">
        <f t="shared" si="1"/>
        <v>0</v>
      </c>
      <c r="F27" s="260"/>
      <c r="G27" s="357" t="s">
        <v>122</v>
      </c>
      <c r="H27" s="362">
        <f>'[2]Base Preços MP'!G59</f>
        <v>5.08</v>
      </c>
      <c r="I27" s="171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98">
        <v>6.0000000000000001E-3</v>
      </c>
    </row>
    <row r="28" spans="1:16" x14ac:dyDescent="0.2">
      <c r="A28" s="1"/>
      <c r="B28" s="226"/>
      <c r="C28" s="227"/>
      <c r="D28" s="228"/>
      <c r="E28" s="315">
        <f t="shared" si="1"/>
        <v>0</v>
      </c>
      <c r="F28" s="260"/>
      <c r="G28" s="1"/>
      <c r="H28" s="362">
        <f>'[2]Base Preços MP'!G57</f>
        <v>3.25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97"/>
    </row>
    <row r="29" spans="1:16" x14ac:dyDescent="0.2">
      <c r="A29" s="1"/>
      <c r="B29" s="226"/>
      <c r="C29" s="227"/>
      <c r="D29" s="228"/>
      <c r="E29" s="315">
        <f t="shared" si="1"/>
        <v>0</v>
      </c>
      <c r="F29" s="260"/>
      <c r="G29" s="1"/>
      <c r="H29" s="362">
        <f>'[2]Base Preços MP'!G11</f>
        <v>3.6</v>
      </c>
      <c r="I29" s="1"/>
      <c r="J29" s="359">
        <f>F29*H29</f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97"/>
    </row>
    <row r="30" spans="1:16" x14ac:dyDescent="0.2">
      <c r="A30" s="1"/>
      <c r="B30" s="226"/>
      <c r="C30" s="227"/>
      <c r="D30" s="228"/>
      <c r="E30" s="315">
        <f t="shared" si="1"/>
        <v>0</v>
      </c>
      <c r="F30" s="260"/>
      <c r="G30" s="1"/>
      <c r="H30" s="362">
        <f>'[2]Base Preços MP'!G35</f>
        <v>3</v>
      </c>
      <c r="I30" s="1"/>
      <c r="J30" s="359">
        <f>F30*H30</f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97"/>
    </row>
    <row r="31" spans="1:16" x14ac:dyDescent="0.2">
      <c r="A31" s="1"/>
      <c r="B31" s="226"/>
      <c r="C31" s="227"/>
      <c r="D31" s="228"/>
      <c r="E31" s="147">
        <f>SUM(E17:E30)</f>
        <v>100</v>
      </c>
      <c r="F31" s="260"/>
      <c r="G31" s="103"/>
      <c r="H31" s="363">
        <f>'[2]Base Preços MP'!G32</f>
        <v>1.82</v>
      </c>
      <c r="I31" s="103"/>
      <c r="J31" s="281">
        <f>F31*H31</f>
        <v>0</v>
      </c>
      <c r="K31" s="103"/>
      <c r="L31" s="703" t="s">
        <v>43</v>
      </c>
      <c r="M31" s="692"/>
      <c r="N31" s="692"/>
      <c r="O31" s="193">
        <f>SUM(O17:O30)</f>
        <v>1189.9999999999998</v>
      </c>
    </row>
    <row r="32" spans="1:16" x14ac:dyDescent="0.2">
      <c r="A32" s="1"/>
      <c r="B32" s="698" t="s">
        <v>238</v>
      </c>
      <c r="C32" s="699"/>
      <c r="D32" s="700"/>
      <c r="E32" s="1"/>
      <c r="F32" s="261">
        <f>SUM(F17:F31)</f>
        <v>1000</v>
      </c>
      <c r="G32" s="103"/>
      <c r="H32" s="108"/>
      <c r="I32" s="103"/>
      <c r="J32" s="108"/>
      <c r="K32" s="103"/>
      <c r="L32" s="103"/>
      <c r="M32" s="103"/>
      <c r="N32" s="103"/>
      <c r="O32" s="103"/>
    </row>
    <row r="33" spans="1:15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</row>
    <row r="34" spans="1:15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</row>
    <row r="35" spans="1:15" ht="13.5" thickBot="1" x14ac:dyDescent="0.25">
      <c r="A35" s="1"/>
      <c r="B35" s="3" t="s">
        <v>2</v>
      </c>
      <c r="C35" s="1"/>
      <c r="D35" s="82">
        <v>1.19</v>
      </c>
      <c r="E35" s="1"/>
      <c r="F35" s="1"/>
      <c r="G35" s="1"/>
      <c r="H35" s="17" t="s">
        <v>1</v>
      </c>
      <c r="I35" s="1"/>
      <c r="J35" s="25">
        <f>SUM(J17:J34)</f>
        <v>1890.0049999999999</v>
      </c>
      <c r="K35" s="103"/>
      <c r="L35" s="103" t="s">
        <v>254</v>
      </c>
      <c r="M35" s="103" t="s">
        <v>260</v>
      </c>
      <c r="N35" s="103"/>
      <c r="O35" s="103"/>
    </row>
    <row r="36" spans="1:15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89" t="s">
        <v>256</v>
      </c>
      <c r="M36" s="189">
        <v>35</v>
      </c>
      <c r="N36" s="103"/>
      <c r="O36" s="103"/>
    </row>
    <row r="37" spans="1:15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 t="s">
        <v>105</v>
      </c>
      <c r="M37" s="103"/>
      <c r="N37" s="103"/>
      <c r="O37" s="103"/>
    </row>
    <row r="38" spans="1:15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 t="s">
        <v>257</v>
      </c>
      <c r="M38" s="103"/>
      <c r="N38" s="103"/>
      <c r="O38" s="103"/>
    </row>
    <row r="39" spans="1:15" x14ac:dyDescent="0.2">
      <c r="A39" s="1"/>
      <c r="B39" s="3" t="s">
        <v>10</v>
      </c>
      <c r="C39" s="1"/>
      <c r="D39" s="520"/>
      <c r="E39" s="68">
        <f>J35/J36</f>
        <v>1.8900049999999999</v>
      </c>
      <c r="F39" s="364"/>
      <c r="G39" s="3" t="s">
        <v>16</v>
      </c>
      <c r="H39" s="1"/>
      <c r="I39" s="39"/>
      <c r="J39" s="68">
        <f>E39*D35</f>
        <v>2.2491059499999997</v>
      </c>
      <c r="K39" s="103"/>
      <c r="L39" s="103"/>
      <c r="M39" s="103"/>
      <c r="N39" s="103"/>
      <c r="O39" s="103"/>
    </row>
    <row r="40" spans="1:15" x14ac:dyDescent="0.2">
      <c r="A40" s="1"/>
      <c r="B40" s="19" t="s">
        <v>11</v>
      </c>
      <c r="C40" s="4"/>
      <c r="D40" s="400"/>
      <c r="E40" s="68">
        <f>'[1]Base Preços MP'!G55</f>
        <v>0.09</v>
      </c>
      <c r="F40" s="16"/>
      <c r="G40" s="19" t="s">
        <v>17</v>
      </c>
      <c r="H40" s="4"/>
      <c r="I40" s="39"/>
      <c r="J40" s="68">
        <f>E40*D35</f>
        <v>0.10709999999999999</v>
      </c>
      <c r="K40" s="103"/>
      <c r="L40" s="103"/>
      <c r="M40" s="103"/>
      <c r="N40" s="103"/>
      <c r="O40" s="103"/>
    </row>
    <row r="41" spans="1:15" x14ac:dyDescent="0.2">
      <c r="A41" s="1"/>
      <c r="B41" s="3" t="s">
        <v>14</v>
      </c>
      <c r="C41" s="1"/>
      <c r="D41" s="400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</row>
    <row r="42" spans="1:15" x14ac:dyDescent="0.2">
      <c r="A42" s="1"/>
      <c r="B42" s="3" t="s">
        <v>79</v>
      </c>
      <c r="C42" s="1"/>
      <c r="D42" s="400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</row>
    <row r="43" spans="1:15" x14ac:dyDescent="0.2">
      <c r="A43" s="1"/>
      <c r="B43" s="3" t="s">
        <v>42</v>
      </c>
      <c r="C43" s="1"/>
      <c r="D43" s="400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</row>
    <row r="44" spans="1:15" x14ac:dyDescent="0.2">
      <c r="A44" s="1"/>
      <c r="B44" s="3" t="s">
        <v>12</v>
      </c>
      <c r="C44" s="1"/>
      <c r="D44" s="400"/>
      <c r="E44" s="142">
        <f>E39+E40+E41+E42+E43</f>
        <v>1.980005</v>
      </c>
      <c r="F44" s="3"/>
      <c r="G44" s="3" t="s">
        <v>19</v>
      </c>
      <c r="H44" s="1"/>
      <c r="I44" s="33"/>
      <c r="J44" s="142">
        <f>J39+J40+J41+J42+J43</f>
        <v>2.3562059499999997</v>
      </c>
      <c r="K44" s="103"/>
      <c r="L44" s="103"/>
      <c r="M44" s="103"/>
      <c r="N44" s="103"/>
      <c r="O44" s="103"/>
    </row>
    <row r="45" spans="1:15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</row>
    <row r="46" spans="1:15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76"/>
      <c r="K46" s="103"/>
      <c r="L46" s="702"/>
      <c r="M46" s="697"/>
      <c r="N46" s="702"/>
      <c r="O46" s="697"/>
    </row>
    <row r="47" spans="1:15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</row>
    <row r="48" spans="1:15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</row>
    <row r="49" spans="1:15" x14ac:dyDescent="0.2">
      <c r="A49" s="1"/>
      <c r="B49" s="1"/>
      <c r="C49" s="1"/>
      <c r="D49" s="24" t="s">
        <v>60</v>
      </c>
      <c r="E49" s="36">
        <f>F49/D35</f>
        <v>0.21082352941176472</v>
      </c>
      <c r="F49" s="36">
        <f>'Base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</row>
    <row r="50" spans="1:15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'[1]Base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</row>
    <row r="51" spans="1:15" x14ac:dyDescent="0.2">
      <c r="A51" s="1"/>
      <c r="B51" s="1"/>
      <c r="C51" s="1"/>
      <c r="D51" s="24" t="s">
        <v>50</v>
      </c>
      <c r="E51" s="36">
        <f>F51/D35</f>
        <v>0.68907563025210083</v>
      </c>
      <c r="F51" s="36">
        <f>'[1]Base Preços MP'!C66</f>
        <v>0.82</v>
      </c>
      <c r="G51" s="4"/>
      <c r="H51" s="4"/>
      <c r="I51" s="6"/>
      <c r="J51" s="20"/>
      <c r="K51" s="103"/>
      <c r="L51" s="697"/>
      <c r="M51" s="697"/>
      <c r="N51" s="697"/>
      <c r="O51" s="697"/>
    </row>
    <row r="52" spans="1:15" x14ac:dyDescent="0.2">
      <c r="A52" s="1"/>
      <c r="B52" s="1"/>
      <c r="C52" s="5"/>
      <c r="D52" s="24" t="s">
        <v>50</v>
      </c>
      <c r="E52" s="36">
        <f>F52/D35</f>
        <v>0.46252100840336147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</row>
    <row r="53" spans="1:15" x14ac:dyDescent="0.2">
      <c r="A53" s="1"/>
      <c r="B53" s="1"/>
      <c r="C53" s="5"/>
      <c r="D53" s="24" t="s">
        <v>59</v>
      </c>
      <c r="E53" s="36">
        <f>F53/D35</f>
        <v>1.1113445378151261</v>
      </c>
      <c r="F53" s="36">
        <f>'Base Preços MP'!C91</f>
        <v>1.3225</v>
      </c>
      <c r="G53" s="1"/>
      <c r="H53" s="1"/>
      <c r="I53" s="6"/>
      <c r="J53" s="7"/>
      <c r="K53" s="103"/>
      <c r="L53" s="697"/>
      <c r="M53" s="697"/>
      <c r="N53" s="697"/>
      <c r="O53" s="697"/>
    </row>
    <row r="54" spans="1:15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2.6995798319327733</v>
      </c>
      <c r="F54" s="36">
        <f>'Base Preços MP'!C92</f>
        <v>3.2124999999999999</v>
      </c>
      <c r="G54" s="4"/>
      <c r="H54" s="4"/>
      <c r="I54" s="6"/>
      <c r="J54" s="20"/>
      <c r="K54" s="103"/>
      <c r="L54" s="697"/>
      <c r="M54" s="697"/>
      <c r="N54" s="697"/>
      <c r="O54" s="697"/>
    </row>
    <row r="55" spans="1:15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</row>
    <row r="56" spans="1:15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</row>
    <row r="57" spans="1:15" x14ac:dyDescent="0.2">
      <c r="A57" s="1"/>
      <c r="B57" s="1"/>
      <c r="C57" s="523" t="s">
        <v>501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</row>
    <row r="58" spans="1:15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57" t="s">
        <v>463</v>
      </c>
      <c r="H58" s="56" t="s">
        <v>377</v>
      </c>
      <c r="I58" s="19"/>
      <c r="J58" s="41"/>
      <c r="K58" s="103"/>
      <c r="L58" s="103"/>
      <c r="M58" s="103"/>
      <c r="N58" s="103"/>
      <c r="O58" s="103"/>
    </row>
    <row r="59" spans="1:15" x14ac:dyDescent="0.2">
      <c r="A59" s="1"/>
      <c r="B59" s="1"/>
      <c r="C59" s="66" t="s">
        <v>23</v>
      </c>
      <c r="D59" s="67">
        <f>(E44/I46)+D41</f>
        <v>1.980005</v>
      </c>
      <c r="E59" s="67">
        <f>(E44/I46)*D35+D41*D35</f>
        <v>2.3562059500000001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</row>
    <row r="60" spans="1:15" x14ac:dyDescent="0.2">
      <c r="A60" s="670" t="str">
        <f>'[1]FUEL BLACK 20%'!A60:B60</f>
        <v>Contentor Incluido</v>
      </c>
      <c r="B60" s="694"/>
      <c r="C60" s="74">
        <v>1000</v>
      </c>
      <c r="D60" s="70">
        <f>(E44+E49)/I46</f>
        <v>2.1908285294117649</v>
      </c>
      <c r="E60" s="70">
        <f>(J44+F49)/I46</f>
        <v>2.6070859499999997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</row>
    <row r="61" spans="1:15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</row>
    <row r="62" spans="1:15" x14ac:dyDescent="0.2">
      <c r="A62" s="1"/>
      <c r="B62" s="1"/>
      <c r="C62" s="69">
        <v>25</v>
      </c>
      <c r="D62" s="70"/>
      <c r="E62" s="70"/>
      <c r="F62" s="61" t="s">
        <v>89</v>
      </c>
      <c r="G62" s="33"/>
      <c r="H62" s="7"/>
      <c r="I62" s="1"/>
      <c r="J62" s="1"/>
      <c r="K62" s="103"/>
      <c r="L62" s="103"/>
      <c r="M62" s="103"/>
      <c r="N62" s="103"/>
      <c r="O62" s="103"/>
    </row>
    <row r="63" spans="1:15" x14ac:dyDescent="0.2">
      <c r="A63" s="1"/>
      <c r="B63" s="1"/>
      <c r="C63" s="69">
        <v>25</v>
      </c>
      <c r="D63" s="70">
        <f>(E44/I46)+D41+E52</f>
        <v>2.4425260084033615</v>
      </c>
      <c r="E63" s="70">
        <f>(E44/I46)*D35+D41*D35+F52</f>
        <v>2.9066059500000003</v>
      </c>
      <c r="F63" s="51" t="s">
        <v>90</v>
      </c>
      <c r="G63" s="33">
        <f>E63/0.88</f>
        <v>3.3029613068181822</v>
      </c>
      <c r="H63" s="33">
        <f>G63+D35*0.8</f>
        <v>4.2549613068181822</v>
      </c>
      <c r="I63" s="1"/>
      <c r="J63" s="1"/>
      <c r="K63" s="103"/>
      <c r="L63" s="103"/>
      <c r="M63" s="103"/>
      <c r="N63" s="103"/>
      <c r="O63" s="103"/>
    </row>
    <row r="64" spans="1:15" x14ac:dyDescent="0.2">
      <c r="A64" s="1"/>
      <c r="B64" s="1"/>
      <c r="C64" s="69">
        <v>5</v>
      </c>
      <c r="D64" s="70">
        <f>(E44/I46)+D41+E53</f>
        <v>3.0913495378151259</v>
      </c>
      <c r="E64" s="70">
        <f>D64*D35</f>
        <v>3.6787059499999994</v>
      </c>
      <c r="F64" s="61" t="s">
        <v>94</v>
      </c>
      <c r="G64" s="39">
        <f>E64/0.88</f>
        <v>4.1803476704545446</v>
      </c>
      <c r="H64" s="33">
        <f>G64+0.8*D35</f>
        <v>5.1323476704545445</v>
      </c>
      <c r="I64" s="4"/>
      <c r="J64" s="1"/>
      <c r="K64" s="103"/>
      <c r="L64" s="103"/>
      <c r="M64" s="103"/>
      <c r="N64" s="103"/>
      <c r="O64" s="103"/>
    </row>
    <row r="65" spans="1:15" x14ac:dyDescent="0.2">
      <c r="A65" s="86"/>
      <c r="B65" s="86"/>
      <c r="C65" s="69">
        <v>1</v>
      </c>
      <c r="D65" s="70">
        <f>E44/I46+D41+E54</f>
        <v>4.6795848319327735</v>
      </c>
      <c r="E65" s="70">
        <f>D65*D35</f>
        <v>5.56870595</v>
      </c>
      <c r="F65" s="61" t="s">
        <v>95</v>
      </c>
      <c r="G65" s="87">
        <f>E65/0.88</f>
        <v>6.328074943181818</v>
      </c>
      <c r="H65" s="33">
        <f>G65+D35*0.88</f>
        <v>7.3752749431818181</v>
      </c>
      <c r="I65" s="4"/>
      <c r="J65" s="1"/>
      <c r="K65" s="103"/>
      <c r="L65" s="103"/>
      <c r="M65" s="103"/>
      <c r="N65" s="103"/>
      <c r="O65" s="103"/>
    </row>
    <row r="66" spans="1:15" x14ac:dyDescent="0.2">
      <c r="A66" s="695"/>
      <c r="B66" s="695"/>
      <c r="C66" s="85"/>
      <c r="D66" s="237"/>
      <c r="E66" s="86"/>
      <c r="F66" s="86"/>
      <c r="G66" s="86"/>
      <c r="H66" s="33"/>
      <c r="I66" s="1"/>
      <c r="J66" s="1"/>
      <c r="K66" s="103"/>
      <c r="L66" s="103"/>
      <c r="M66" s="103"/>
      <c r="N66" s="103"/>
      <c r="O66" s="103"/>
    </row>
    <row r="67" spans="1:15" x14ac:dyDescent="0.2">
      <c r="A67" s="696"/>
      <c r="B67" s="696"/>
      <c r="C67" s="90"/>
      <c r="D67" s="90"/>
      <c r="E67" s="90"/>
      <c r="F67" s="90"/>
      <c r="G67" s="90"/>
      <c r="H67" s="516"/>
      <c r="I67" s="1"/>
      <c r="J67" s="1"/>
      <c r="K67" s="103"/>
      <c r="L67" s="103"/>
      <c r="M67" s="103"/>
      <c r="N67" s="103"/>
      <c r="O67" s="103"/>
    </row>
    <row r="68" spans="1:15" x14ac:dyDescent="0.2">
      <c r="A68" s="693"/>
      <c r="B68" s="693"/>
      <c r="C68" s="93"/>
      <c r="D68" s="92"/>
      <c r="E68" s="539"/>
      <c r="F68" s="92"/>
      <c r="G68" s="539"/>
      <c r="H68" s="73"/>
      <c r="I68" s="1"/>
      <c r="J68" s="1"/>
      <c r="K68" s="103"/>
      <c r="L68" s="103"/>
      <c r="M68" s="103"/>
      <c r="N68" s="103"/>
      <c r="O68" s="103"/>
    </row>
    <row r="69" spans="1:15" x14ac:dyDescent="0.2">
      <c r="A69" s="693"/>
      <c r="B69" s="693"/>
      <c r="C69" s="93"/>
      <c r="D69" s="92"/>
      <c r="E69" s="539"/>
      <c r="F69" s="92"/>
      <c r="G69" s="539"/>
      <c r="H69" s="73"/>
      <c r="I69" s="1"/>
      <c r="J69" s="1"/>
      <c r="K69" s="103"/>
      <c r="L69" s="103"/>
      <c r="M69" s="103"/>
      <c r="N69" s="103"/>
      <c r="O69" s="103"/>
    </row>
  </sheetData>
  <mergeCells count="54">
    <mergeCell ref="A68:B68"/>
    <mergeCell ref="A69:B69"/>
    <mergeCell ref="L55:M55"/>
    <mergeCell ref="N55:O55"/>
    <mergeCell ref="A60:B60"/>
    <mergeCell ref="A66:B66"/>
    <mergeCell ref="A67:B67"/>
    <mergeCell ref="L52:M52"/>
    <mergeCell ref="N52:O52"/>
    <mergeCell ref="L53:M53"/>
    <mergeCell ref="N53:O53"/>
    <mergeCell ref="L54:M54"/>
    <mergeCell ref="N54:O54"/>
    <mergeCell ref="L49:M49"/>
    <mergeCell ref="N49:O49"/>
    <mergeCell ref="L50:M50"/>
    <mergeCell ref="N50:O50"/>
    <mergeCell ref="L51:M51"/>
    <mergeCell ref="N51:O51"/>
    <mergeCell ref="B32:D32"/>
    <mergeCell ref="L45:O45"/>
    <mergeCell ref="L47:M47"/>
    <mergeCell ref="N47:O47"/>
    <mergeCell ref="L48:M48"/>
    <mergeCell ref="N48:O48"/>
    <mergeCell ref="L46:M46"/>
    <mergeCell ref="N46:O46"/>
    <mergeCell ref="L28:N28"/>
    <mergeCell ref="L29:N29"/>
    <mergeCell ref="L30:N30"/>
    <mergeCell ref="L31:N31"/>
    <mergeCell ref="B20:D20"/>
    <mergeCell ref="L20:N20"/>
    <mergeCell ref="L23:N23"/>
    <mergeCell ref="L24:N24"/>
    <mergeCell ref="L25:N25"/>
    <mergeCell ref="L26:N26"/>
    <mergeCell ref="L27:N27"/>
    <mergeCell ref="B22:D22"/>
    <mergeCell ref="L22:N22"/>
    <mergeCell ref="G9:H9"/>
    <mergeCell ref="I9:J9"/>
    <mergeCell ref="B17:D17"/>
    <mergeCell ref="L17:N17"/>
    <mergeCell ref="L19:N19"/>
    <mergeCell ref="I10:J10"/>
    <mergeCell ref="L14:M14"/>
    <mergeCell ref="N14:O15"/>
    <mergeCell ref="N16:O16"/>
    <mergeCell ref="I6:O6"/>
    <mergeCell ref="I7:J7"/>
    <mergeCell ref="I8:J8"/>
    <mergeCell ref="L18:N18"/>
    <mergeCell ref="L21:N21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B4" workbookViewId="0">
      <selection activeCell="D10" sqref="D10"/>
    </sheetView>
  </sheetViews>
  <sheetFormatPr defaultRowHeight="12.75" x14ac:dyDescent="0.2"/>
  <cols>
    <col min="2" max="2" width="24.5703125" customWidth="1"/>
    <col min="3" max="3" width="12.28515625" bestFit="1" customWidth="1"/>
    <col min="4" max="4" width="9.5703125" bestFit="1" customWidth="1"/>
    <col min="5" max="5" width="11.7109375" customWidth="1"/>
    <col min="6" max="6" width="10.5703125" customWidth="1"/>
    <col min="7" max="8" width="9.5703125" bestFit="1" customWidth="1"/>
  </cols>
  <sheetData>
    <row r="1" spans="1:8" x14ac:dyDescent="0.2">
      <c r="A1" t="s">
        <v>507</v>
      </c>
      <c r="B1" s="246"/>
      <c r="C1" s="246"/>
    </row>
    <row r="2" spans="1:8" x14ac:dyDescent="0.2">
      <c r="B2" s="246"/>
      <c r="C2" s="246"/>
    </row>
    <row r="3" spans="1:8" x14ac:dyDescent="0.2">
      <c r="B3" s="246"/>
      <c r="C3" s="246"/>
    </row>
    <row r="4" spans="1:8" ht="20.25" x14ac:dyDescent="0.3">
      <c r="B4" s="246"/>
      <c r="C4" s="246"/>
      <c r="D4" s="257" t="s">
        <v>480</v>
      </c>
      <c r="E4" s="257"/>
      <c r="F4" s="257"/>
      <c r="G4" s="257"/>
      <c r="H4" s="257"/>
    </row>
    <row r="5" spans="1:8" x14ac:dyDescent="0.2">
      <c r="B5" s="246"/>
      <c r="C5" s="246"/>
    </row>
    <row r="6" spans="1:8" x14ac:dyDescent="0.2">
      <c r="B6" s="246"/>
      <c r="C6" s="246"/>
      <c r="F6" s="262">
        <v>42745</v>
      </c>
    </row>
    <row r="7" spans="1:8" ht="13.5" thickBot="1" x14ac:dyDescent="0.25">
      <c r="B7" s="246"/>
      <c r="C7" t="s">
        <v>202</v>
      </c>
    </row>
    <row r="8" spans="1:8" ht="16.5" thickBot="1" x14ac:dyDescent="0.3">
      <c r="B8" s="246"/>
      <c r="C8" s="246"/>
      <c r="D8" s="247" t="s">
        <v>481</v>
      </c>
      <c r="E8" s="248" t="s">
        <v>226</v>
      </c>
      <c r="F8" s="247" t="s">
        <v>482</v>
      </c>
      <c r="G8" s="248" t="s">
        <v>227</v>
      </c>
      <c r="H8" s="247" t="s">
        <v>228</v>
      </c>
    </row>
    <row r="9" spans="1:8" ht="15.75" x14ac:dyDescent="0.25">
      <c r="B9" s="258" t="s">
        <v>230</v>
      </c>
      <c r="C9" s="259" t="s">
        <v>508</v>
      </c>
      <c r="D9" s="250" t="s">
        <v>225</v>
      </c>
      <c r="E9" s="249" t="s">
        <v>225</v>
      </c>
      <c r="F9" s="249" t="s">
        <v>225</v>
      </c>
      <c r="G9" s="249" t="s">
        <v>225</v>
      </c>
      <c r="H9" s="249" t="s">
        <v>225</v>
      </c>
    </row>
    <row r="10" spans="1:8" ht="15.75" x14ac:dyDescent="0.25">
      <c r="B10" s="251" t="s">
        <v>458</v>
      </c>
      <c r="C10" s="253">
        <v>1.29</v>
      </c>
      <c r="D10" s="297">
        <f>'AMINO BLACK'!E59</f>
        <v>1.9551627</v>
      </c>
      <c r="E10" s="298">
        <f>'AMINO BLACK'!E60</f>
        <v>2.2060426999999998</v>
      </c>
      <c r="F10" s="298">
        <f>'AMINO BLACK'!E63</f>
        <v>2.8175627000000003</v>
      </c>
      <c r="G10" s="298">
        <f>'AMINO BLACK'!E64</f>
        <v>3.2776627000000005</v>
      </c>
      <c r="H10" s="298">
        <f>'AMINO BLACK'!E65</f>
        <v>5.1676627000000002</v>
      </c>
    </row>
    <row r="11" spans="1:8" ht="15.75" x14ac:dyDescent="0.25">
      <c r="B11" s="251" t="s">
        <v>483</v>
      </c>
      <c r="C11" s="253">
        <v>43118</v>
      </c>
      <c r="D11" s="297">
        <f>'FUEL BLACK 18,5%'!E59</f>
        <v>1.2917711700000001</v>
      </c>
      <c r="E11" s="298">
        <f>'FUEL BLACK 18,5%'!E60</f>
        <v>1.6969162870000005</v>
      </c>
      <c r="F11" s="298">
        <f>'FUEL BLACK 18,5%'!E63</f>
        <v>1.8421711700000003</v>
      </c>
      <c r="G11" s="298">
        <f>'FUEL BLACK 18,5%'!E64</f>
        <v>2.6142711700000003</v>
      </c>
      <c r="H11" s="298">
        <f>'FUEL BLACK 18,5%'!E65</f>
        <v>4.50427117</v>
      </c>
    </row>
    <row r="12" spans="1:8" ht="15.75" x14ac:dyDescent="0.25">
      <c r="B12" s="251" t="s">
        <v>484</v>
      </c>
      <c r="C12" s="253">
        <v>1.3</v>
      </c>
      <c r="D12" s="297">
        <f>'BLACK POWER 16'!E59</f>
        <v>1.3980200000000003</v>
      </c>
      <c r="E12" s="297">
        <f>'BLACK POWER 16'!E60</f>
        <v>1.6508448062015508</v>
      </c>
      <c r="F12" s="298">
        <f>'BLACK POWER 16'!E63</f>
        <v>1.912376589147287</v>
      </c>
      <c r="G12" s="298">
        <f>'BLACK POWER 16'!E64</f>
        <v>2.5977486821705429</v>
      </c>
      <c r="H12" s="298">
        <f>'BLACK POWER 16'!E65</f>
        <v>4.4338727131782942</v>
      </c>
    </row>
    <row r="13" spans="1:8" ht="15.75" x14ac:dyDescent="0.25">
      <c r="B13" s="251" t="s">
        <v>252</v>
      </c>
      <c r="C13" s="253">
        <v>1.25</v>
      </c>
      <c r="D13" s="297">
        <f>'NITRO K ORGANICO'!E60</f>
        <v>1.25806475</v>
      </c>
      <c r="E13" s="297">
        <f>'NITRO K ORGANICO'!E61</f>
        <v>1.5030647500000001</v>
      </c>
      <c r="F13" s="298">
        <f>'NITRO K ORGANICO'!E64</f>
        <v>1.75650225</v>
      </c>
      <c r="G13" s="298">
        <f>'NITRO K ORGANICO'!E65</f>
        <v>2.42066240625</v>
      </c>
      <c r="H13" s="298"/>
    </row>
    <row r="14" spans="1:8" ht="15.75" x14ac:dyDescent="0.25">
      <c r="B14" s="251" t="s">
        <v>214</v>
      </c>
      <c r="C14" s="253">
        <v>1.28</v>
      </c>
      <c r="D14" s="297">
        <f>NITREX!E59</f>
        <v>1.15569408</v>
      </c>
      <c r="E14" s="297">
        <f>NITREX!E60</f>
        <v>1.4046292737984496</v>
      </c>
      <c r="F14" s="298">
        <f>NITREX!E63</f>
        <v>1.6621374908527133</v>
      </c>
      <c r="G14" s="298">
        <f>NITREX!E64</f>
        <v>2.3369653978294576</v>
      </c>
      <c r="H14" s="298"/>
    </row>
    <row r="15" spans="1:8" ht="15.75" x14ac:dyDescent="0.25">
      <c r="B15" s="251" t="s">
        <v>488</v>
      </c>
      <c r="C15" s="253">
        <v>1.1399999999999999</v>
      </c>
      <c r="D15" s="297">
        <f>'UREIA LIQUIDA'!E59</f>
        <v>0</v>
      </c>
      <c r="E15" s="297">
        <f>'UREIA LIQUIDA'!E60</f>
        <v>0</v>
      </c>
      <c r="F15" s="298">
        <f>'UREIA LIQUIDA'!E63</f>
        <v>0</v>
      </c>
      <c r="G15" s="298">
        <f>'UREIA LIQUIDA'!E64</f>
        <v>0</v>
      </c>
      <c r="H15" s="298">
        <f>'UREIA LIQUIDA'!E65</f>
        <v>0</v>
      </c>
    </row>
    <row r="16" spans="1:8" ht="15.75" x14ac:dyDescent="0.25">
      <c r="B16" s="251" t="s">
        <v>413</v>
      </c>
      <c r="C16" s="253">
        <v>1.3</v>
      </c>
      <c r="D16" s="297">
        <f>'GROWN A30T'!E59</f>
        <v>1.6992976000000002</v>
      </c>
      <c r="E16" s="297">
        <f>'GROWN A30T'!E60</f>
        <v>1.9521224062015505</v>
      </c>
      <c r="F16" s="298">
        <f>'GROWN A30T'!E63</f>
        <v>2.2136541891472872</v>
      </c>
      <c r="G16" s="298">
        <f>'GROWN A30T'!E64</f>
        <v>2.8990262821705426</v>
      </c>
      <c r="H16" s="298">
        <f>'GROWN A30T'!E65</f>
        <v>4.7351503131782939</v>
      </c>
    </row>
    <row r="17" spans="2:8" ht="15.75" x14ac:dyDescent="0.25">
      <c r="B17" s="252" t="s">
        <v>485</v>
      </c>
      <c r="C17" s="254">
        <v>1.8</v>
      </c>
      <c r="D17" s="297"/>
      <c r="E17" s="298"/>
      <c r="F17" s="298">
        <v>196.5</v>
      </c>
      <c r="G17" s="298">
        <f>VIVIANITA!E56</f>
        <v>4.7627157999999996</v>
      </c>
      <c r="H17" s="298">
        <f>VIVIANITA!E57</f>
        <v>6.6527158000000002</v>
      </c>
    </row>
    <row r="18" spans="2:8" ht="15.75" x14ac:dyDescent="0.25">
      <c r="B18" s="252" t="s">
        <v>407</v>
      </c>
      <c r="C18" s="254">
        <v>1.21</v>
      </c>
      <c r="D18" s="297"/>
      <c r="E18" s="298">
        <f>'MAP LIQUIDO NÃO USAR'!E52</f>
        <v>3.4389105599999996</v>
      </c>
      <c r="F18" s="298"/>
      <c r="G18" s="298">
        <f>'MAP LIQUIDO NÃO USAR'!E56</f>
        <v>4.5105305599999994</v>
      </c>
      <c r="H18" s="298">
        <f>'MAP LIQUIDO NÃO USAR'!E57</f>
        <v>6.40053056</v>
      </c>
    </row>
    <row r="19" spans="2:8" ht="15.75" x14ac:dyDescent="0.25">
      <c r="B19" s="252" t="s">
        <v>487</v>
      </c>
      <c r="C19" s="254">
        <v>1.28</v>
      </c>
      <c r="D19" s="297"/>
      <c r="E19" s="298">
        <f>'NORTHOFOS 4-30 NÃO USAR'!E52</f>
        <v>2.7070092800000003</v>
      </c>
      <c r="F19" s="298">
        <v>130.19999999999999</v>
      </c>
      <c r="G19" s="298">
        <f>'NORTHOFOS 4-30 NÃO USAR'!E56</f>
        <v>3.7786292800000001</v>
      </c>
      <c r="H19" s="298">
        <f>'NORTHOFOS 4-30 NÃO USAR'!E57</f>
        <v>5.6686292800000002</v>
      </c>
    </row>
    <row r="20" spans="2:8" ht="15.75" x14ac:dyDescent="0.25">
      <c r="B20" s="252" t="s">
        <v>113</v>
      </c>
      <c r="C20" s="254">
        <v>1.23</v>
      </c>
      <c r="D20" s="297"/>
      <c r="E20" s="298"/>
      <c r="F20" s="298">
        <v>22.3</v>
      </c>
      <c r="G20" s="298">
        <f>'NORTHOFOS 6-24'!E56</f>
        <v>6.3076137199999991</v>
      </c>
      <c r="H20" s="298">
        <f>'NORTHOFOS 6-24'!E57</f>
        <v>8.1976137199999997</v>
      </c>
    </row>
    <row r="21" spans="2:8" ht="15.75" x14ac:dyDescent="0.25">
      <c r="B21" s="252" t="s">
        <v>326</v>
      </c>
      <c r="C21" s="254">
        <v>1.52</v>
      </c>
      <c r="D21" s="297"/>
      <c r="E21" s="298"/>
      <c r="F21" s="298">
        <v>646</v>
      </c>
      <c r="G21" s="298">
        <f>Aquadown!E64</f>
        <v>7.9042009699224804</v>
      </c>
      <c r="H21" s="298">
        <f>Aquadown!E65</f>
        <v>10.051053683100774</v>
      </c>
    </row>
    <row r="22" spans="2:8" ht="15.75" x14ac:dyDescent="0.25">
      <c r="B22" s="252" t="s">
        <v>262</v>
      </c>
      <c r="C22" s="254">
        <v>1.0900000000000001</v>
      </c>
      <c r="D22" s="297">
        <f>'RADIX 2-10'!E60</f>
        <v>0.75560980000000011</v>
      </c>
      <c r="E22" s="298">
        <f>'RADIX 2-10'!E61</f>
        <v>0.96759367596899237</v>
      </c>
      <c r="F22" s="298">
        <v>2.5</v>
      </c>
      <c r="G22" s="298">
        <f>'RADIX 2-10'!E65</f>
        <v>1.7615361565891474</v>
      </c>
      <c r="H22" s="298"/>
    </row>
    <row r="23" spans="2:8" ht="15.75" x14ac:dyDescent="0.25">
      <c r="B23" s="252" t="s">
        <v>213</v>
      </c>
      <c r="C23" s="254">
        <v>1.1599999999999999</v>
      </c>
      <c r="D23" s="297">
        <f>'LIQUID K'!E59</f>
        <v>0.61068334999999996</v>
      </c>
      <c r="E23" s="298">
        <f>'LIQUID K'!E60</f>
        <v>0.83433606317829445</v>
      </c>
      <c r="F23" s="298">
        <v>2.5</v>
      </c>
      <c r="G23" s="298">
        <f>'LIQUID K'!E64</f>
        <v>1.6719817996124029</v>
      </c>
      <c r="H23" s="298">
        <f>'LIQUID K'!E65</f>
        <v>3.296245365503875</v>
      </c>
    </row>
    <row r="24" spans="2:8" ht="15.75" x14ac:dyDescent="0.25">
      <c r="B24" s="252" t="s">
        <v>241</v>
      </c>
      <c r="C24" s="254">
        <v>1.43</v>
      </c>
      <c r="D24" s="297">
        <f>'FERT CALCIO'!E60</f>
        <v>2.0048886000000001</v>
      </c>
      <c r="E24" s="298">
        <f>'FERT CALCIO'!E61</f>
        <v>2.2557686000000001</v>
      </c>
      <c r="F24" s="298"/>
      <c r="G24" s="298">
        <f>'FERT CALCIO'!E65</f>
        <v>3.3778039225806453</v>
      </c>
      <c r="H24" s="298">
        <f>'FERT CALCIO'!E66</f>
        <v>5.4789813419354827</v>
      </c>
    </row>
    <row r="25" spans="2:8" ht="15.75" x14ac:dyDescent="0.25">
      <c r="B25" s="252" t="s">
        <v>318</v>
      </c>
      <c r="C25" s="254">
        <v>1.32</v>
      </c>
      <c r="D25" s="297">
        <f>'FERT MAG'!E59</f>
        <v>2.3195568000000004</v>
      </c>
      <c r="E25" s="297">
        <f>'FERT MAG'!E60</f>
        <v>2.5704368000000004</v>
      </c>
      <c r="F25" s="298"/>
      <c r="G25" s="298">
        <f>'FERT MAG'!E64</f>
        <v>3.6420568000000006</v>
      </c>
      <c r="H25" s="298">
        <f>'FERT MAG'!E65</f>
        <v>5.5320568000000003</v>
      </c>
    </row>
    <row r="26" spans="2:8" ht="15.75" x14ac:dyDescent="0.25">
      <c r="B26" s="252" t="s">
        <v>251</v>
      </c>
      <c r="C26" s="254">
        <v>1.39</v>
      </c>
      <c r="D26" s="297">
        <f>'CALCIUM 14'!E59</f>
        <v>1.4718593240000002</v>
      </c>
      <c r="E26" s="297">
        <f>'CALCIUM 14'!E60</f>
        <v>1.7227393240000002</v>
      </c>
      <c r="F26" s="298">
        <f>'CALCIUM 14'!E63</f>
        <v>2.0222593240000002</v>
      </c>
      <c r="G26" s="298">
        <f>'CALCIUM 14'!E64</f>
        <v>2.7943593240000006</v>
      </c>
      <c r="H26" s="298">
        <f>'CALCIUM 14'!E65</f>
        <v>4.6843593239999999</v>
      </c>
    </row>
    <row r="27" spans="2:8" ht="15.75" x14ac:dyDescent="0.25">
      <c r="B27" s="252" t="s">
        <v>459</v>
      </c>
      <c r="C27" s="254">
        <v>1.28</v>
      </c>
      <c r="D27" s="297">
        <f>Solumag!E58</f>
        <v>1.2652032000000002</v>
      </c>
      <c r="E27" s="297">
        <f>Solumag!E59</f>
        <v>1.5141383937984498</v>
      </c>
      <c r="F27" s="298">
        <f>Solumag!E62</f>
        <v>1.7716466108527136</v>
      </c>
      <c r="G27" s="298">
        <f>Solumag!E63</f>
        <v>2.4464745178294574</v>
      </c>
      <c r="H27" s="298">
        <f>Solumag!E64</f>
        <v>4.2543504868217052</v>
      </c>
    </row>
    <row r="28" spans="2:8" ht="15.75" x14ac:dyDescent="0.25">
      <c r="B28" s="543" t="s">
        <v>486</v>
      </c>
      <c r="C28" s="254">
        <v>1.21</v>
      </c>
      <c r="D28" s="297"/>
      <c r="E28" s="298">
        <f>'BET7ER 7-7-7'!E60</f>
        <v>2.6361626799999995</v>
      </c>
      <c r="F28" s="298">
        <f>'BET7ER 7-7-7'!E63</f>
        <v>2.9356826799999998</v>
      </c>
      <c r="G28" s="298">
        <f>'BET7ER 7-7-7'!E64</f>
        <v>3.7077826799999998</v>
      </c>
      <c r="H28" s="298">
        <f>'BET7ER 7-7-7'!E65</f>
        <v>5.5977826799999999</v>
      </c>
    </row>
    <row r="29" spans="2:8" ht="15.75" x14ac:dyDescent="0.25">
      <c r="B29" s="543" t="s">
        <v>501</v>
      </c>
      <c r="C29" s="254">
        <v>1.18</v>
      </c>
      <c r="D29" s="297">
        <f>PHOSKAFER!E59</f>
        <v>2.3562059500000001</v>
      </c>
      <c r="E29" s="298">
        <f>PHOSKAFER!E60</f>
        <v>2.6070859499999997</v>
      </c>
      <c r="F29" s="298">
        <f>PHOSKAFER!E63</f>
        <v>2.9066059500000003</v>
      </c>
      <c r="G29" s="298">
        <f>PHOSKAFER!E64</f>
        <v>3.6787059499999994</v>
      </c>
      <c r="H29" s="298">
        <f>PHOSKAFER!E65</f>
        <v>5.56870595</v>
      </c>
    </row>
    <row r="30" spans="2:8" ht="15.75" x14ac:dyDescent="0.25">
      <c r="B30" s="252" t="s">
        <v>438</v>
      </c>
      <c r="C30" s="254">
        <v>1.31</v>
      </c>
      <c r="D30" s="297">
        <f>'COMPLET FASE 1'!E61</f>
        <v>1.24636054</v>
      </c>
      <c r="E30" s="298">
        <f>'COMPLET FASE 1'!E62</f>
        <v>1.4836268965891473</v>
      </c>
      <c r="F30" s="298">
        <f>'COMPLET FASE 1'!E65</f>
        <v>1.7290644159689921</v>
      </c>
      <c r="G30" s="298">
        <f>'COMPLET FASE 1'!E66</f>
        <v>2.3722597648062016</v>
      </c>
      <c r="H30" s="298"/>
    </row>
    <row r="31" spans="2:8" ht="15.75" x14ac:dyDescent="0.25">
      <c r="B31" s="251" t="s">
        <v>489</v>
      </c>
      <c r="C31" s="253">
        <v>1.1399999999999999</v>
      </c>
      <c r="D31" s="297">
        <f>'FASE 2P'!E61</f>
        <v>0.97399776000000005</v>
      </c>
      <c r="E31" s="298">
        <f>'FASE 2P'!E62</f>
        <v>1.1957056669767443</v>
      </c>
      <c r="F31" s="298">
        <f>'FASE 2P'!E65</f>
        <v>1.4250489227906977</v>
      </c>
      <c r="G31" s="298">
        <f>'FASE 2P'!E66</f>
        <v>2.0260675274418607</v>
      </c>
      <c r="H31" s="298"/>
    </row>
    <row r="32" spans="2:8" ht="15.75" x14ac:dyDescent="0.25">
      <c r="B32" s="252" t="s">
        <v>490</v>
      </c>
      <c r="C32" s="254">
        <v>1.21</v>
      </c>
      <c r="D32" s="297">
        <f>'FASE 2CA'!E61</f>
        <v>0.9697739809999999</v>
      </c>
      <c r="E32" s="298">
        <f>'FASE 2CA'!E62</f>
        <v>1.2050955313875968</v>
      </c>
      <c r="F32" s="298">
        <f>'FASE 2CA'!E65</f>
        <v>1.4485212678217052</v>
      </c>
      <c r="G32" s="298">
        <f>'FASE 2CA'!E66</f>
        <v>2.086444523635659</v>
      </c>
      <c r="H32" s="298"/>
    </row>
    <row r="33" spans="2:8" ht="15.75" x14ac:dyDescent="0.25">
      <c r="B33" s="252" t="s">
        <v>402</v>
      </c>
      <c r="C33" s="254">
        <v>1.25</v>
      </c>
      <c r="D33" s="297">
        <f>'COMPLET MICROS'!E59</f>
        <v>1.528645</v>
      </c>
      <c r="E33" s="298">
        <f>'COMPLET MICROS'!E60</f>
        <v>1.7717457751937986</v>
      </c>
      <c r="F33" s="298">
        <f>'COMPLET MICROS'!E63</f>
        <v>2.023218643410853</v>
      </c>
      <c r="G33" s="298">
        <f>'COMPLET MICROS'!E64</f>
        <v>2.6822302713178297</v>
      </c>
      <c r="H33" s="298">
        <f>'COMPLET MICROS'!E65</f>
        <v>4.4477341472868215</v>
      </c>
    </row>
    <row r="34" spans="2:8" ht="15.75" x14ac:dyDescent="0.25">
      <c r="B34" s="252" t="s">
        <v>263</v>
      </c>
      <c r="C34" s="255">
        <v>1.29</v>
      </c>
      <c r="D34" s="297">
        <f>'TOTAL 5 NÃO USAR'!E59</f>
        <v>5.8602199740000005</v>
      </c>
      <c r="E34" s="297">
        <f>'TOTAL 5 NÃO USAR'!E60</f>
        <v>6.111099974</v>
      </c>
      <c r="F34" s="298">
        <f>'TOTAL 5 NÃO USAR'!E63</f>
        <v>6.4106199740000003</v>
      </c>
      <c r="G34" s="298">
        <f>'TOTAL 5 NÃO USAR'!E64</f>
        <v>7.1827199740000012</v>
      </c>
      <c r="H34" s="298">
        <f>'TOTAL 5 NÃO USAR'!E65</f>
        <v>9.072719974</v>
      </c>
    </row>
    <row r="35" spans="2:8" ht="15.75" x14ac:dyDescent="0.25">
      <c r="B35" s="252" t="s">
        <v>223</v>
      </c>
      <c r="C35" s="255">
        <v>1.27</v>
      </c>
      <c r="D35" s="297">
        <v>1.19</v>
      </c>
      <c r="E35" s="297">
        <f>'PLANTA 100 Nitratos'!E60</f>
        <v>1.8338364390000002</v>
      </c>
      <c r="F35" s="298">
        <f>'PLANTA 100 Nitratos'!E63</f>
        <v>2.3842364390000004</v>
      </c>
      <c r="G35" s="298">
        <f>'PLANTA 100 Nitratos'!E64</f>
        <v>3.1563364389999999</v>
      </c>
      <c r="H35" s="298">
        <f>'PLANTA 100 Nitratos'!E65</f>
        <v>5.0463364390000001</v>
      </c>
    </row>
    <row r="36" spans="2:8" ht="15.75" x14ac:dyDescent="0.25">
      <c r="B36" s="252" t="s">
        <v>224</v>
      </c>
      <c r="C36" s="255">
        <v>1.28</v>
      </c>
      <c r="D36" s="297">
        <f>EQUILIBRIO!E61</f>
        <v>1.9561684479999999</v>
      </c>
      <c r="E36" s="297">
        <f>EQUILIBRIO!E62</f>
        <v>2.5021684479999999</v>
      </c>
      <c r="F36" s="298">
        <f>EQUILIBRIO!E65</f>
        <v>2.763368448</v>
      </c>
      <c r="G36" s="298">
        <f>EQUILIBRIO!E66</f>
        <v>2.9561684479999997</v>
      </c>
      <c r="H36" s="298"/>
    </row>
    <row r="37" spans="2:8" ht="15.75" x14ac:dyDescent="0.25">
      <c r="B37" s="252" t="s">
        <v>473</v>
      </c>
      <c r="C37" s="255">
        <v>1.18</v>
      </c>
      <c r="D37" s="297">
        <f>ORQUIDIUM!E59</f>
        <v>1.7624036319999994</v>
      </c>
      <c r="E37" s="297">
        <f>ORQUIDIUM!E60</f>
        <v>1.7624036319999994</v>
      </c>
      <c r="F37" s="298">
        <f>ORQUIDIUM!E63</f>
        <v>2.5696036319999993</v>
      </c>
      <c r="G37" s="298">
        <f>ORQUIDIUM!E64</f>
        <v>2.9529036319999999</v>
      </c>
      <c r="H37" s="298">
        <f>ORQUIDIUM!E65</f>
        <v>4.774903632</v>
      </c>
    </row>
    <row r="38" spans="2:8" ht="15.75" x14ac:dyDescent="0.25">
      <c r="B38" s="252" t="s">
        <v>269</v>
      </c>
      <c r="C38" s="255">
        <v>1.28</v>
      </c>
      <c r="D38" s="297">
        <f>HIDROPONIC!E59</f>
        <v>1.322498</v>
      </c>
      <c r="E38" s="297">
        <f>HIDROPONIC!E60</f>
        <v>1.322498</v>
      </c>
      <c r="F38" s="298">
        <f>HIDROPONIC!E63</f>
        <v>1.8328980000000001</v>
      </c>
      <c r="G38" s="298">
        <f>HIDROPONIC!E64</f>
        <v>2.5129980000000001</v>
      </c>
      <c r="H38" s="298">
        <f>HIDROPONIC!E65</f>
        <v>4.3349979999999997</v>
      </c>
    </row>
    <row r="39" spans="2:8" ht="15.75" x14ac:dyDescent="0.25">
      <c r="B39" s="252" t="s">
        <v>186</v>
      </c>
      <c r="C39" s="255">
        <v>1.28</v>
      </c>
      <c r="D39" s="297">
        <f>'CITRUS 100'!E59</f>
        <v>1.9892902400000003</v>
      </c>
      <c r="E39" s="298">
        <f>'CITRUS 100'!E60</f>
        <v>2.2401702400000003</v>
      </c>
      <c r="F39" s="298">
        <f>'CITRUS 100'!E63</f>
        <v>2.5396902400000005</v>
      </c>
      <c r="G39" s="298">
        <f>'CITRUS 100'!E64</f>
        <v>3.3117902400000006</v>
      </c>
      <c r="H39" s="298"/>
    </row>
    <row r="40" spans="2:8" ht="15.75" x14ac:dyDescent="0.25">
      <c r="B40" s="252"/>
      <c r="C40" s="256"/>
      <c r="D40" s="297"/>
      <c r="E40" s="298"/>
      <c r="F40" s="298"/>
      <c r="G40" s="298"/>
      <c r="H40" s="298"/>
    </row>
    <row r="41" spans="2:8" ht="15.75" x14ac:dyDescent="0.25">
      <c r="B41" s="252"/>
      <c r="C41" s="256"/>
      <c r="D41" s="297"/>
      <c r="E41" s="298"/>
      <c r="F41" s="298"/>
      <c r="G41" s="298"/>
      <c r="H41" s="298"/>
    </row>
  </sheetData>
  <pageMargins left="0.51181102362204722" right="0.51181102362204722" top="0.78740157480314965" bottom="0.78740157480314965" header="0.31496062992125984" footer="0.31496062992125984"/>
  <pageSetup paperSize="9" scale="50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6" workbookViewId="0">
      <selection activeCell="C27" sqref="C27"/>
    </sheetView>
  </sheetViews>
  <sheetFormatPr defaultRowHeight="12.75" x14ac:dyDescent="0.2"/>
  <cols>
    <col min="2" max="2" width="24.5703125" customWidth="1"/>
    <col min="3" max="3" width="12.28515625" bestFit="1" customWidth="1"/>
    <col min="4" max="4" width="9.5703125" bestFit="1" customWidth="1"/>
    <col min="5" max="5" width="11.7109375" customWidth="1"/>
    <col min="6" max="6" width="10.5703125" customWidth="1"/>
    <col min="7" max="8" width="9.5703125" bestFit="1" customWidth="1"/>
    <col min="9" max="9" width="12.42578125" customWidth="1"/>
    <col min="10" max="10" width="18.85546875" customWidth="1"/>
    <col min="11" max="11" width="11.5703125" customWidth="1"/>
  </cols>
  <sheetData>
    <row r="1" spans="1:15" x14ac:dyDescent="0.2">
      <c r="A1" t="s">
        <v>507</v>
      </c>
      <c r="B1" s="246"/>
      <c r="C1" s="246"/>
    </row>
    <row r="2" spans="1:15" x14ac:dyDescent="0.2">
      <c r="B2" s="246"/>
      <c r="C2" s="246"/>
      <c r="J2" s="560"/>
      <c r="K2" s="557"/>
      <c r="L2" s="306"/>
      <c r="M2" s="306"/>
      <c r="N2" s="306"/>
      <c r="O2" s="306"/>
    </row>
    <row r="3" spans="1:15" x14ac:dyDescent="0.2">
      <c r="B3" s="246"/>
      <c r="C3" s="246"/>
      <c r="J3" s="556" t="s">
        <v>496</v>
      </c>
      <c r="K3" s="553">
        <v>40</v>
      </c>
      <c r="L3" s="306"/>
      <c r="M3" s="306"/>
      <c r="N3" s="306"/>
      <c r="O3" s="306"/>
    </row>
    <row r="4" spans="1:15" ht="20.25" x14ac:dyDescent="0.3">
      <c r="B4" s="246"/>
      <c r="C4" s="246"/>
      <c r="D4" s="257" t="s">
        <v>491</v>
      </c>
      <c r="E4" s="257"/>
      <c r="F4" s="257"/>
      <c r="G4" s="257"/>
      <c r="H4" s="257"/>
      <c r="I4" s="544" t="s">
        <v>492</v>
      </c>
      <c r="J4" s="561" t="s">
        <v>497</v>
      </c>
      <c r="K4" s="559">
        <f>(100-K3)/100</f>
        <v>0.6</v>
      </c>
      <c r="L4" s="555"/>
      <c r="M4" s="555"/>
      <c r="N4" s="306"/>
      <c r="O4" s="306"/>
    </row>
    <row r="5" spans="1:15" x14ac:dyDescent="0.2">
      <c r="B5" s="246"/>
      <c r="C5" s="246"/>
      <c r="I5" s="545" t="s">
        <v>499</v>
      </c>
      <c r="J5" s="561" t="s">
        <v>498</v>
      </c>
      <c r="K5" s="558">
        <v>0.25</v>
      </c>
    </row>
    <row r="6" spans="1:15" x14ac:dyDescent="0.2">
      <c r="B6" s="246"/>
      <c r="C6" s="246"/>
      <c r="F6" s="262">
        <v>42745</v>
      </c>
      <c r="I6" s="546" t="s">
        <v>493</v>
      </c>
      <c r="J6" s="554">
        <v>0</v>
      </c>
      <c r="K6" s="201">
        <f>(100-J6)/100</f>
        <v>1</v>
      </c>
    </row>
    <row r="7" spans="1:15" ht="18.75" thickBot="1" x14ac:dyDescent="0.3">
      <c r="B7" s="246"/>
      <c r="C7" t="s">
        <v>202</v>
      </c>
      <c r="D7" s="548"/>
      <c r="E7" s="548" t="s">
        <v>495</v>
      </c>
      <c r="F7" s="548"/>
      <c r="I7" s="548" t="s">
        <v>494</v>
      </c>
      <c r="J7" s="555"/>
      <c r="K7" s="555"/>
    </row>
    <row r="8" spans="1:15" ht="16.5" thickBot="1" x14ac:dyDescent="0.3">
      <c r="B8" s="246"/>
      <c r="C8" s="246"/>
      <c r="D8" s="247" t="s">
        <v>481</v>
      </c>
      <c r="E8" s="248" t="s">
        <v>226</v>
      </c>
      <c r="F8" s="247" t="s">
        <v>482</v>
      </c>
      <c r="G8" s="248" t="s">
        <v>227</v>
      </c>
      <c r="H8" s="247" t="s">
        <v>228</v>
      </c>
      <c r="I8" s="549" t="s">
        <v>481</v>
      </c>
      <c r="J8" s="550" t="s">
        <v>226</v>
      </c>
      <c r="K8" s="549" t="s">
        <v>482</v>
      </c>
      <c r="L8" s="550" t="s">
        <v>227</v>
      </c>
      <c r="M8" s="549" t="s">
        <v>228</v>
      </c>
    </row>
    <row r="9" spans="1:15" ht="15.75" x14ac:dyDescent="0.25">
      <c r="B9" s="258" t="s">
        <v>230</v>
      </c>
      <c r="C9" s="259" t="s">
        <v>508</v>
      </c>
      <c r="D9" s="250" t="s">
        <v>225</v>
      </c>
      <c r="E9" s="249" t="s">
        <v>225</v>
      </c>
      <c r="F9" s="249" t="s">
        <v>225</v>
      </c>
      <c r="G9" s="249" t="s">
        <v>225</v>
      </c>
      <c r="H9" s="249" t="s">
        <v>225</v>
      </c>
      <c r="I9" s="551" t="s">
        <v>225</v>
      </c>
      <c r="J9" s="552" t="s">
        <v>225</v>
      </c>
      <c r="K9" s="552" t="s">
        <v>225</v>
      </c>
      <c r="L9" s="552" t="s">
        <v>225</v>
      </c>
      <c r="M9" s="552" t="s">
        <v>225</v>
      </c>
    </row>
    <row r="10" spans="1:15" ht="15.75" x14ac:dyDescent="0.25">
      <c r="B10" s="251" t="s">
        <v>458</v>
      </c>
      <c r="C10" s="253">
        <v>1.29</v>
      </c>
      <c r="D10" s="297">
        <f>'AMINO BLACK'!E59</f>
        <v>1.9551627</v>
      </c>
      <c r="E10" s="298">
        <f>'AMINO BLACK'!E60</f>
        <v>2.2060426999999998</v>
      </c>
      <c r="F10" s="298">
        <f>'AMINO BLACK'!E63</f>
        <v>2.8175627000000003</v>
      </c>
      <c r="G10" s="298">
        <f>'AMINO BLACK'!E64</f>
        <v>3.2776627000000005</v>
      </c>
      <c r="H10" s="298">
        <f>'AMINO BLACK'!E65</f>
        <v>5.1676627000000002</v>
      </c>
      <c r="I10" s="563">
        <f>((D10/K4)+K5)/K6</f>
        <v>3.5086045000000001</v>
      </c>
      <c r="J10" s="563">
        <f>((E10/K4)+K5)/K6</f>
        <v>3.9267378333333331</v>
      </c>
      <c r="K10" s="563">
        <f>((F10/K4)+K5)/K6</f>
        <v>4.9459378333333337</v>
      </c>
      <c r="L10" s="563">
        <f>((G10/K4)+K5)/K6</f>
        <v>5.7127711666666681</v>
      </c>
      <c r="M10" s="562">
        <f>((H10/K4)+K5)/K6</f>
        <v>8.8627711666666666</v>
      </c>
    </row>
    <row r="11" spans="1:15" ht="15.75" x14ac:dyDescent="0.25">
      <c r="B11" s="251" t="s">
        <v>483</v>
      </c>
      <c r="C11" s="253">
        <v>43118</v>
      </c>
      <c r="D11" s="297">
        <f>'FUEL BLACK 18,5%'!E59</f>
        <v>1.2917711700000001</v>
      </c>
      <c r="E11" s="298">
        <f>'FUEL BLACK 18,5%'!E60</f>
        <v>1.6969162870000005</v>
      </c>
      <c r="F11" s="298">
        <f>'FUEL BLACK 18,5%'!E63</f>
        <v>1.8421711700000003</v>
      </c>
      <c r="G11" s="298">
        <f>'FUEL BLACK 18,5%'!E64</f>
        <v>2.6142711700000003</v>
      </c>
      <c r="H11" s="298">
        <f>'FUEL BLACK 18,5%'!E65</f>
        <v>4.50427117</v>
      </c>
      <c r="I11" s="563">
        <f>((D11/K4)+K5)/K6</f>
        <v>2.4029519500000003</v>
      </c>
      <c r="J11" s="563">
        <f>((E11/K4)+K5)/K6</f>
        <v>3.0781938116666678</v>
      </c>
      <c r="K11" s="564">
        <f>((F11/K4)+K5)/K6</f>
        <v>3.3202852833333338</v>
      </c>
      <c r="L11" s="563">
        <f>((G11/K4)+K5)/K6</f>
        <v>4.6071186166666678</v>
      </c>
      <c r="M11" s="562">
        <f>((H11/K4)+K5)/K6</f>
        <v>7.7571186166666672</v>
      </c>
    </row>
    <row r="12" spans="1:15" ht="15.75" x14ac:dyDescent="0.25">
      <c r="B12" s="251" t="s">
        <v>484</v>
      </c>
      <c r="C12" s="253">
        <v>1.3</v>
      </c>
      <c r="D12" s="297">
        <f>'BLACK POWER 16'!E59</f>
        <v>1.3980200000000003</v>
      </c>
      <c r="E12" s="297">
        <f>'BLACK POWER 16'!E60</f>
        <v>1.6508448062015508</v>
      </c>
      <c r="F12" s="298">
        <f>'BLACK POWER 16'!E63</f>
        <v>1.912376589147287</v>
      </c>
      <c r="G12" s="298">
        <f>'BLACK POWER 16'!E64</f>
        <v>2.5977486821705429</v>
      </c>
      <c r="H12" s="298">
        <f>'BLACK POWER 16'!E65</f>
        <v>4.4338727131782942</v>
      </c>
      <c r="I12" s="563">
        <f>((D12/K4)+K5)/K6</f>
        <v>2.5800333333333341</v>
      </c>
      <c r="J12" s="563">
        <f>((E12/K4)+K5)/K6</f>
        <v>3.001408010335918</v>
      </c>
      <c r="K12" s="563">
        <f>((F12/K4)+K5)/K6</f>
        <v>3.4372943152454787</v>
      </c>
      <c r="L12" s="563">
        <f>((G12/K4)+K5)/K6</f>
        <v>4.579581136950905</v>
      </c>
      <c r="M12" s="562">
        <f>((H12/K4)+K5)/K6</f>
        <v>7.6397878552971576</v>
      </c>
    </row>
    <row r="13" spans="1:15" ht="15.75" x14ac:dyDescent="0.25">
      <c r="B13" s="251" t="s">
        <v>252</v>
      </c>
      <c r="C13" s="253">
        <v>1.25</v>
      </c>
      <c r="D13" s="297">
        <f>'NITRO K ORGANICO'!E60</f>
        <v>1.25806475</v>
      </c>
      <c r="E13" s="297">
        <f>'NITRO K ORGANICO'!E61</f>
        <v>1.5030647500000001</v>
      </c>
      <c r="F13" s="298">
        <f>'NITRO K ORGANICO'!E64</f>
        <v>1.75650225</v>
      </c>
      <c r="G13" s="298">
        <f>'NITRO K ORGANICO'!E65</f>
        <v>2.42066240625</v>
      </c>
      <c r="H13" s="298"/>
      <c r="I13" s="563">
        <f>((D13/K4)+K5)/K6</f>
        <v>2.3467745833333336</v>
      </c>
      <c r="J13" s="563">
        <f>((E13/K4)+K5)/K6</f>
        <v>2.7551079166666668</v>
      </c>
      <c r="K13" s="563">
        <f>((F13/K4)+K5)/K6</f>
        <v>3.1775037500000001</v>
      </c>
      <c r="L13" s="563">
        <f>((G13/K4)+K5)/K6</f>
        <v>4.2844373437500005</v>
      </c>
      <c r="M13" s="562"/>
    </row>
    <row r="14" spans="1:15" ht="15.75" x14ac:dyDescent="0.25">
      <c r="B14" s="251" t="s">
        <v>214</v>
      </c>
      <c r="C14" s="253">
        <v>1.28</v>
      </c>
      <c r="D14" s="297">
        <f>NITREX!E59</f>
        <v>1.15569408</v>
      </c>
      <c r="E14" s="297">
        <f>NITREX!E60</f>
        <v>1.4046292737984496</v>
      </c>
      <c r="F14" s="298">
        <f>NITREX!E63</f>
        <v>1.6621374908527133</v>
      </c>
      <c r="G14" s="298">
        <f>NITREX!E64</f>
        <v>2.3369653978294576</v>
      </c>
      <c r="H14" s="298"/>
      <c r="I14" s="563">
        <f>((D14/K4)+K5)/K6</f>
        <v>2.1761568000000002</v>
      </c>
      <c r="J14" s="563">
        <f>((E14/K4)+K5)/K6</f>
        <v>2.5910487896640828</v>
      </c>
      <c r="K14" s="563">
        <f>((F14/K4)+K5)/K6</f>
        <v>3.020229151421189</v>
      </c>
      <c r="L14" s="563">
        <f>((F14/K4)+K5)/K6</f>
        <v>3.020229151421189</v>
      </c>
      <c r="M14" s="562"/>
    </row>
    <row r="15" spans="1:15" ht="15.75" x14ac:dyDescent="0.25">
      <c r="B15" s="251" t="s">
        <v>488</v>
      </c>
      <c r="C15" s="253">
        <v>1.1399999999999999</v>
      </c>
      <c r="D15" s="297">
        <f>'UREIA LIQUIDA'!E59</f>
        <v>0</v>
      </c>
      <c r="E15" s="297">
        <f>'UREIA LIQUIDA'!E60</f>
        <v>0</v>
      </c>
      <c r="F15" s="298">
        <f>'UREIA LIQUIDA'!E63</f>
        <v>0</v>
      </c>
      <c r="G15" s="298">
        <f>'UREIA LIQUIDA'!E64</f>
        <v>0</v>
      </c>
      <c r="H15" s="298">
        <f>'UREIA LIQUIDA'!E65</f>
        <v>0</v>
      </c>
      <c r="I15" s="563">
        <f>((D15/K4)+K5)/K6</f>
        <v>0.25</v>
      </c>
      <c r="J15" s="563">
        <f>((E15/K4)+K5)/K6</f>
        <v>0.25</v>
      </c>
      <c r="K15" s="563">
        <f>+((F15/K4)+K5)/K6</f>
        <v>0.25</v>
      </c>
      <c r="L15" s="563">
        <f>((G15/K4)+K5)/K6</f>
        <v>0.25</v>
      </c>
      <c r="M15" s="562"/>
    </row>
    <row r="16" spans="1:15" ht="15.75" x14ac:dyDescent="0.25">
      <c r="B16" s="251" t="s">
        <v>413</v>
      </c>
      <c r="C16" s="253">
        <v>1.3</v>
      </c>
      <c r="D16" s="297">
        <f>'GROWN A30T'!E59</f>
        <v>1.6992976000000002</v>
      </c>
      <c r="E16" s="297">
        <f>'GROWN A30T'!E60</f>
        <v>1.9521224062015505</v>
      </c>
      <c r="F16" s="298">
        <f>'GROWN A30T'!E63</f>
        <v>2.2136541891472872</v>
      </c>
      <c r="G16" s="298">
        <f>'GROWN A30T'!E64</f>
        <v>2.8990262821705426</v>
      </c>
      <c r="H16" s="298">
        <f>'GROWN A30T'!E65</f>
        <v>4.7351503131782939</v>
      </c>
      <c r="I16" s="563">
        <f>((D16/K4)+K5)/K6</f>
        <v>3.0821626666666671</v>
      </c>
      <c r="J16" s="563">
        <f>((E16/K4)+K5)/K6</f>
        <v>3.503537343669251</v>
      </c>
      <c r="K16" s="563">
        <f>((F16/K4)+K5)/K6</f>
        <v>3.9394236485788121</v>
      </c>
      <c r="L16" s="563">
        <f>((G16/K4)+K5)/K6</f>
        <v>5.0817104702842375</v>
      </c>
      <c r="M16" s="562">
        <f>((H16/K4)+K5)/K6</f>
        <v>8.1419171886304902</v>
      </c>
    </row>
    <row r="17" spans="2:13" ht="15.75" x14ac:dyDescent="0.25">
      <c r="B17" s="252" t="s">
        <v>485</v>
      </c>
      <c r="C17" s="254">
        <v>1.8</v>
      </c>
      <c r="D17" s="297"/>
      <c r="E17" s="298"/>
      <c r="F17" s="298">
        <v>196.5</v>
      </c>
      <c r="G17" s="298">
        <f>VIVIANITA!E56</f>
        <v>4.7627157999999996</v>
      </c>
      <c r="H17" s="298">
        <f>VIVIANITA!E57</f>
        <v>6.6527158000000002</v>
      </c>
      <c r="I17" s="563"/>
      <c r="J17" s="563"/>
      <c r="K17" s="563">
        <f>((F17/K4)+K5)/K6</f>
        <v>327.75</v>
      </c>
      <c r="L17" s="563">
        <f>((G17/K4)+K5)/K6</f>
        <v>8.1878596666666663</v>
      </c>
      <c r="M17" s="562">
        <f>((H17/K4)+K5)/K6</f>
        <v>11.337859666666667</v>
      </c>
    </row>
    <row r="18" spans="2:13" ht="15.75" x14ac:dyDescent="0.25">
      <c r="B18" s="252" t="s">
        <v>407</v>
      </c>
      <c r="C18" s="254">
        <v>1.21</v>
      </c>
      <c r="D18" s="297"/>
      <c r="E18" s="298">
        <f>'MAP LIQUIDO NÃO USAR'!E52</f>
        <v>3.4389105599999996</v>
      </c>
      <c r="F18" s="298"/>
      <c r="G18" s="298">
        <f>'MAP LIQUIDO NÃO USAR'!E56</f>
        <v>4.5105305599999994</v>
      </c>
      <c r="H18" s="298">
        <f>'MAP LIQUIDO NÃO USAR'!E57</f>
        <v>6.40053056</v>
      </c>
      <c r="I18" s="563"/>
      <c r="J18" s="563">
        <f>((E18/K4)+K5)/K6</f>
        <v>5.9815175999999992</v>
      </c>
      <c r="K18" s="563">
        <f>((F18/K4)+K5)/K6</f>
        <v>0.25</v>
      </c>
      <c r="L18" s="563">
        <f>((G18/K4)+K5)/K6</f>
        <v>7.7675509333333324</v>
      </c>
      <c r="M18" s="562">
        <f>((H18/K4)+K5)/K6</f>
        <v>10.917550933333334</v>
      </c>
    </row>
    <row r="19" spans="2:13" ht="15.75" x14ac:dyDescent="0.25">
      <c r="B19" s="252" t="s">
        <v>487</v>
      </c>
      <c r="C19" s="254">
        <v>1.28</v>
      </c>
      <c r="D19" s="297"/>
      <c r="E19" s="298">
        <f>'NORTHOFOS 4-30 NÃO USAR'!E52</f>
        <v>2.7070092800000003</v>
      </c>
      <c r="F19" s="298">
        <v>130.19999999999999</v>
      </c>
      <c r="G19" s="298">
        <f>'NORTHOFOS 4-30 NÃO USAR'!E56</f>
        <v>3.7786292800000001</v>
      </c>
      <c r="H19" s="298">
        <f>'NORTHOFOS 4-30 NÃO USAR'!E57</f>
        <v>5.6686292800000002</v>
      </c>
      <c r="I19" s="563"/>
      <c r="J19" s="563">
        <f>((E19/K4)+K5)/K6</f>
        <v>4.7616821333333341</v>
      </c>
      <c r="K19" s="563">
        <f>((F19/K4)+K5)/K6</f>
        <v>217.25</v>
      </c>
      <c r="L19" s="563">
        <f>((G19/K4)+K5)/K6</f>
        <v>6.5477154666666673</v>
      </c>
      <c r="M19" s="562">
        <f>((H19/K4)+K5)/K6</f>
        <v>9.6977154666666667</v>
      </c>
    </row>
    <row r="20" spans="2:13" ht="15.75" x14ac:dyDescent="0.25">
      <c r="B20" s="252" t="s">
        <v>113</v>
      </c>
      <c r="C20" s="254">
        <v>1.23</v>
      </c>
      <c r="D20" s="297"/>
      <c r="E20" s="298"/>
      <c r="F20" s="298">
        <v>22.3</v>
      </c>
      <c r="G20" s="298">
        <f>'NORTHOFOS 6-24'!E56</f>
        <v>6.3076137199999991</v>
      </c>
      <c r="H20" s="298">
        <f>'NORTHOFOS 6-24'!E57</f>
        <v>8.1976137199999997</v>
      </c>
      <c r="I20" s="563"/>
      <c r="J20" s="563"/>
      <c r="K20" s="563">
        <f>((F20/K4)+K5)/K6</f>
        <v>37.416666666666671</v>
      </c>
      <c r="L20" s="563">
        <f>((G20/K4)+K5)/K6</f>
        <v>10.762689533333333</v>
      </c>
      <c r="M20" s="562">
        <f>((H20/K4)+K5)/K6</f>
        <v>13.912689533333333</v>
      </c>
    </row>
    <row r="21" spans="2:13" ht="15.75" x14ac:dyDescent="0.25">
      <c r="B21" s="252" t="s">
        <v>262</v>
      </c>
      <c r="C21" s="254">
        <v>1.0900000000000001</v>
      </c>
      <c r="D21" s="297"/>
      <c r="E21" s="298">
        <f>'RADIX 2-10'!E61</f>
        <v>0.96759367596899237</v>
      </c>
      <c r="F21" s="298">
        <v>646</v>
      </c>
      <c r="G21" s="298">
        <f>'RADIX 2-10'!E65</f>
        <v>1.7615361565891474</v>
      </c>
      <c r="H21" s="298"/>
      <c r="I21" s="563">
        <f>((D21/K4)+K5)/K6</f>
        <v>0.25</v>
      </c>
      <c r="J21" s="563">
        <f>((E21/K4)+K5)/K6</f>
        <v>1.8626561266149873</v>
      </c>
      <c r="K21" s="563">
        <f>((F21/K4)+K5)/K6</f>
        <v>1076.9166666666667</v>
      </c>
      <c r="L21" s="563">
        <f>((G21/K4)+K5)/K6</f>
        <v>3.185893594315246</v>
      </c>
      <c r="M21" s="562"/>
    </row>
    <row r="22" spans="2:13" ht="15.75" x14ac:dyDescent="0.25">
      <c r="B22" s="252" t="s">
        <v>213</v>
      </c>
      <c r="C22" s="254">
        <v>1.1599999999999999</v>
      </c>
      <c r="D22" s="297">
        <f>'LIQUID K'!E59</f>
        <v>0.61068334999999996</v>
      </c>
      <c r="E22" s="298">
        <f>'LIQUID K'!E60</f>
        <v>0.83433606317829445</v>
      </c>
      <c r="F22" s="298">
        <v>2.5</v>
      </c>
      <c r="G22" s="298">
        <f>'LIQUID K'!E64</f>
        <v>1.6719817996124029</v>
      </c>
      <c r="H22" s="298">
        <f>'LIQUID K'!E65</f>
        <v>3.296245365503875</v>
      </c>
      <c r="I22" s="563">
        <f>((D22/K4)+K5)/K6</f>
        <v>1.2678055833333333</v>
      </c>
      <c r="J22" s="563">
        <f>((E22/K4)+K5)/K6</f>
        <v>1.6405601052971575</v>
      </c>
      <c r="K22" s="563">
        <f>((F22/K4)+K5)/K6</f>
        <v>4.416666666666667</v>
      </c>
      <c r="L22" s="563">
        <f>((G22/K4)+K5)/K6</f>
        <v>3.0366363326873382</v>
      </c>
      <c r="M22" s="562"/>
    </row>
    <row r="23" spans="2:13" ht="15.75" x14ac:dyDescent="0.25">
      <c r="B23" s="252" t="s">
        <v>241</v>
      </c>
      <c r="C23" s="254">
        <v>1.43</v>
      </c>
      <c r="D23" s="297">
        <f>'FERT CALCIO'!E60</f>
        <v>2.0048886000000001</v>
      </c>
      <c r="E23" s="298">
        <f>'FERT CALCIO'!E61</f>
        <v>2.2557686000000001</v>
      </c>
      <c r="F23" s="298">
        <v>2.5</v>
      </c>
      <c r="G23" s="298">
        <f>'FERT CALCIO'!E65</f>
        <v>3.3778039225806453</v>
      </c>
      <c r="H23" s="298">
        <f>'FERT CALCIO'!E66</f>
        <v>5.4789813419354827</v>
      </c>
      <c r="I23" s="563">
        <f>((D23/K4)+K5)/K6</f>
        <v>3.5914810000000004</v>
      </c>
      <c r="J23" s="563">
        <f>((E23/K4)+K5)/K6</f>
        <v>4.0096143333333334</v>
      </c>
      <c r="K23" s="563">
        <f>((F23/K4)+K5)/K6</f>
        <v>4.416666666666667</v>
      </c>
      <c r="L23" s="563">
        <f>((G23/K4)+K5)/K6</f>
        <v>5.879673204301076</v>
      </c>
      <c r="M23" s="562">
        <f>((H23/K4)+K5)/K6</f>
        <v>9.381635569892472</v>
      </c>
    </row>
    <row r="24" spans="2:13" ht="15.75" x14ac:dyDescent="0.25">
      <c r="B24" s="252" t="s">
        <v>318</v>
      </c>
      <c r="C24" s="254">
        <v>1.32</v>
      </c>
      <c r="D24" s="297">
        <f>'FERT MAG'!E59</f>
        <v>2.3195568000000004</v>
      </c>
      <c r="E24" s="297">
        <f>'FERT MAG'!E60</f>
        <v>2.5704368000000004</v>
      </c>
      <c r="F24" s="298"/>
      <c r="G24" s="298">
        <f>'FERT MAG'!E64</f>
        <v>3.6420568000000006</v>
      </c>
      <c r="H24" s="298">
        <f>'FERT MAG'!E65</f>
        <v>5.5320568000000003</v>
      </c>
      <c r="I24" s="563">
        <f>((D24/K4)+K5)/K6</f>
        <v>4.1159280000000003</v>
      </c>
      <c r="J24" s="563">
        <f>((E24/K4)+K5)/K6</f>
        <v>4.5340613333333346</v>
      </c>
      <c r="K24" s="563">
        <f>((F24/K4)+K5)/K6</f>
        <v>0.25</v>
      </c>
      <c r="L24" s="563">
        <f>((G24/K4)+K5)/K6</f>
        <v>6.3200946666666677</v>
      </c>
      <c r="M24" s="562">
        <f>((H24/K4)+K5)/K6</f>
        <v>9.4700946666666681</v>
      </c>
    </row>
    <row r="25" spans="2:13" ht="15.75" x14ac:dyDescent="0.25">
      <c r="B25" s="252" t="s">
        <v>251</v>
      </c>
      <c r="C25" s="254">
        <v>1.39</v>
      </c>
      <c r="D25" s="297">
        <f>'CALCIUM 14'!E59</f>
        <v>1.4718593240000002</v>
      </c>
      <c r="E25" s="297">
        <f>'CALCIUM 14'!E60</f>
        <v>1.7227393240000002</v>
      </c>
      <c r="F25" s="298"/>
      <c r="G25" s="298">
        <f>'CALCIUM 14'!E64</f>
        <v>2.7943593240000006</v>
      </c>
      <c r="H25" s="298">
        <f>'CALCIUM 14'!E65</f>
        <v>4.6843593239999999</v>
      </c>
      <c r="I25" s="563">
        <f>((D25/K4)+K5)/K6</f>
        <v>2.7030988733333339</v>
      </c>
      <c r="J25" s="563">
        <f>((E25/K4)+K5)/K6</f>
        <v>3.1212322066666669</v>
      </c>
      <c r="K25" s="563">
        <f>((F25/K4)+K5)/K6</f>
        <v>0.25</v>
      </c>
      <c r="L25" s="563">
        <f>((G25/K4)+K5)/K6</f>
        <v>4.9072655400000009</v>
      </c>
      <c r="M25" s="562">
        <f>((H25/K4)+K5)/K6</f>
        <v>8.0572655399999995</v>
      </c>
    </row>
    <row r="26" spans="2:13" ht="15.75" x14ac:dyDescent="0.25">
      <c r="B26" s="252" t="s">
        <v>459</v>
      </c>
      <c r="C26" s="254">
        <v>1.28</v>
      </c>
      <c r="D26" s="297">
        <f>Solumag!E58</f>
        <v>1.2652032000000002</v>
      </c>
      <c r="E26" s="297">
        <f>Solumag!E59</f>
        <v>1.5141383937984498</v>
      </c>
      <c r="F26" s="298">
        <f>Solumag!E62</f>
        <v>1.7716466108527136</v>
      </c>
      <c r="G26" s="298">
        <f>Solumag!E63</f>
        <v>2.4464745178294574</v>
      </c>
      <c r="H26" s="298">
        <f>Solumag!E64</f>
        <v>4.2543504868217052</v>
      </c>
      <c r="I26" s="563">
        <f>((D26/K4)+K5)/K6</f>
        <v>2.3586720000000003</v>
      </c>
      <c r="J26" s="563">
        <f>((E26/K4)+K5)/K6</f>
        <v>2.7735639896640834</v>
      </c>
      <c r="K26" s="563">
        <f>((F26/K4)+K5)/K6</f>
        <v>3.2027443514211895</v>
      </c>
      <c r="L26" s="563">
        <f>((G27/K4)+K5)/K6</f>
        <v>6.4296378000000001</v>
      </c>
      <c r="M26" s="562">
        <f>((H26/K4)+K5)/K6</f>
        <v>7.3405841447028424</v>
      </c>
    </row>
    <row r="27" spans="2:13" ht="15.75" x14ac:dyDescent="0.25">
      <c r="B27" s="543" t="s">
        <v>486</v>
      </c>
      <c r="C27" s="254">
        <v>1.21</v>
      </c>
      <c r="D27" s="297"/>
      <c r="E27" s="298">
        <f>'BET7ER 7-7-7'!E60</f>
        <v>2.6361626799999995</v>
      </c>
      <c r="F27" s="298">
        <f>'BET7ER 7-7-7'!E63</f>
        <v>2.9356826799999998</v>
      </c>
      <c r="G27" s="298">
        <f>'BET7ER 7-7-7'!E64</f>
        <v>3.7077826799999998</v>
      </c>
      <c r="H27" s="298">
        <f>'BET7ER 7-7-7'!E65</f>
        <v>5.5977826799999999</v>
      </c>
      <c r="I27" s="563"/>
      <c r="J27" s="563">
        <f>((E27/K4)+K5)/K6</f>
        <v>4.643604466666666</v>
      </c>
      <c r="K27" s="563">
        <f>((F27/K4)+K5)/K6</f>
        <v>5.1428044666666661</v>
      </c>
      <c r="L27" s="563">
        <f>((G27/K4)+K5)/K6</f>
        <v>6.4296378000000001</v>
      </c>
      <c r="M27" s="562">
        <f>((H27/K4)+K5)/K6</f>
        <v>9.5796378000000004</v>
      </c>
    </row>
    <row r="28" spans="2:13" ht="15.75" x14ac:dyDescent="0.25">
      <c r="B28" s="543" t="s">
        <v>501</v>
      </c>
      <c r="C28" s="254">
        <v>1.18</v>
      </c>
      <c r="D28" s="297">
        <f>'TABELA CUSTOS DE PRODUÇÃO'!D29</f>
        <v>2.3562059500000001</v>
      </c>
      <c r="E28" s="298">
        <f>'TABELA CUSTOS DE PRODUÇÃO'!E29</f>
        <v>2.6070859499999997</v>
      </c>
      <c r="F28" s="298">
        <f>'TABELA CUSTOS DE PRODUÇÃO'!F29</f>
        <v>2.9066059500000003</v>
      </c>
      <c r="G28" s="298">
        <f>'TABELA CUSTOS DE PRODUÇÃO'!G29</f>
        <v>3.6787059499999994</v>
      </c>
      <c r="H28" s="298">
        <f>'TABELA CUSTOS DE PRODUÇÃO'!H29</f>
        <v>5.56870595</v>
      </c>
      <c r="I28" s="547"/>
      <c r="J28" s="562">
        <f>((E28/K4)+K5)/K6</f>
        <v>4.5951432499999996</v>
      </c>
      <c r="K28" s="562">
        <f>((F28/K4)+K5)/K6</f>
        <v>5.0943432500000005</v>
      </c>
      <c r="L28" s="562">
        <f>((G28/K4)+K5)/K6</f>
        <v>6.3811765833333327</v>
      </c>
      <c r="M28" s="562">
        <f>((H28/K4)+K5)/K6</f>
        <v>9.531176583333334</v>
      </c>
    </row>
    <row r="29" spans="2:13" ht="15.75" x14ac:dyDescent="0.25">
      <c r="B29" s="252" t="s">
        <v>438</v>
      </c>
      <c r="C29" s="254">
        <v>1.31</v>
      </c>
      <c r="D29" s="297">
        <f>'COMPLET FASE 1'!E61</f>
        <v>1.24636054</v>
      </c>
      <c r="E29" s="298">
        <f>'COMPLET FASE 1'!E62</f>
        <v>1.4836268965891473</v>
      </c>
      <c r="F29" s="298">
        <f>'COMPLET FASE 1'!E65</f>
        <v>1.7290644159689921</v>
      </c>
      <c r="G29" s="298">
        <f>'COMPLET FASE 1'!E66</f>
        <v>2.3722597648062016</v>
      </c>
      <c r="H29" s="298"/>
      <c r="I29" s="563">
        <f>((D29/K4)+K5)/K6</f>
        <v>2.3272675666666669</v>
      </c>
      <c r="J29" s="563">
        <f>((E29/K4)+K5)/K6</f>
        <v>2.7227114943152455</v>
      </c>
      <c r="K29" s="563">
        <f>((F29/K4)+K5)/K6</f>
        <v>3.1317740266149867</v>
      </c>
      <c r="L29" s="563">
        <f>((G29/K4)+K5)/K6</f>
        <v>4.2037662746770028</v>
      </c>
      <c r="M29" s="562"/>
    </row>
    <row r="30" spans="2:13" ht="15.75" x14ac:dyDescent="0.25">
      <c r="B30" s="251" t="s">
        <v>489</v>
      </c>
      <c r="C30" s="253">
        <v>1.1399999999999999</v>
      </c>
      <c r="D30" s="297">
        <f>'FASE 2P'!E61</f>
        <v>0.97399776000000005</v>
      </c>
      <c r="E30" s="298">
        <f>'FASE 2P'!E62</f>
        <v>1.1957056669767443</v>
      </c>
      <c r="F30" s="298">
        <f>'FASE 2P'!E65</f>
        <v>1.4250489227906977</v>
      </c>
      <c r="G30" s="298">
        <f>'FASE 2P'!E66</f>
        <v>2.0260675274418607</v>
      </c>
      <c r="H30" s="298"/>
      <c r="I30" s="563">
        <f>((D30/K4)+K5)/K6</f>
        <v>1.8733296000000002</v>
      </c>
      <c r="J30" s="563">
        <f>((E30/K4)+K5)/K6</f>
        <v>2.2428427782945741</v>
      </c>
      <c r="K30" s="563">
        <f>((F30/K4)+K5)/K6</f>
        <v>2.6250815379844963</v>
      </c>
      <c r="L30" s="563">
        <f>((G30/K4)+K5)/K6</f>
        <v>3.6267792124031013</v>
      </c>
      <c r="M30" s="562"/>
    </row>
    <row r="31" spans="2:13" ht="15.75" x14ac:dyDescent="0.25">
      <c r="B31" s="252" t="s">
        <v>490</v>
      </c>
      <c r="C31" s="254">
        <v>1.21</v>
      </c>
      <c r="D31" s="297">
        <f>'FASE 2CA'!E61</f>
        <v>0.9697739809999999</v>
      </c>
      <c r="E31" s="298">
        <f>'FASE 2CA'!E62</f>
        <v>1.2050955313875968</v>
      </c>
      <c r="F31" s="298">
        <f>'FASE 2CA'!E65</f>
        <v>1.4485212678217052</v>
      </c>
      <c r="G31" s="298">
        <f>'FASE 2CA'!E66</f>
        <v>2.086444523635659</v>
      </c>
      <c r="H31" s="298"/>
      <c r="I31" s="563">
        <f>((D31/K4)+K5)/K6</f>
        <v>1.8662899683333332</v>
      </c>
      <c r="J31" s="563">
        <f>((E31/K4)+K5)/K6</f>
        <v>2.2584925523126613</v>
      </c>
      <c r="K31" s="563">
        <f>((F31/K4)+K5)/K6</f>
        <v>2.6642021130361755</v>
      </c>
      <c r="L31" s="563">
        <f>((G31/K4)+K5)/K6</f>
        <v>3.727407539392765</v>
      </c>
      <c r="M31" s="562"/>
    </row>
    <row r="32" spans="2:13" ht="15.75" x14ac:dyDescent="0.25">
      <c r="B32" s="252" t="s">
        <v>402</v>
      </c>
      <c r="C32" s="254">
        <v>1.25</v>
      </c>
      <c r="D32" s="297">
        <f>'COMPLET MICROS'!E59</f>
        <v>1.528645</v>
      </c>
      <c r="E32" s="298">
        <f>'COMPLET MICROS'!E60</f>
        <v>1.7717457751937986</v>
      </c>
      <c r="F32" s="298">
        <f>'COMPLET MICROS'!E63</f>
        <v>2.023218643410853</v>
      </c>
      <c r="G32" s="298">
        <f>'COMPLET MICROS'!E64</f>
        <v>2.6822302713178297</v>
      </c>
      <c r="H32" s="298">
        <f>'COMPLET MICROS'!E65</f>
        <v>4.4477341472868215</v>
      </c>
      <c r="I32" s="563">
        <f>((D32/K4)+K5)/K6</f>
        <v>2.797741666666667</v>
      </c>
      <c r="J32" s="563">
        <f>((E32/K4)+K5)/K6</f>
        <v>3.2029096253229978</v>
      </c>
      <c r="K32" s="563">
        <f>((F32/K4)+K5)/K6</f>
        <v>3.622031072351422</v>
      </c>
      <c r="L32" s="563">
        <f>((G32/K4)+K5)/K6</f>
        <v>4.7203837855297159</v>
      </c>
      <c r="M32" s="562">
        <f>((H33/K4)+K5)/K6</f>
        <v>15.371199956666667</v>
      </c>
    </row>
    <row r="33" spans="2:13" ht="15.75" x14ac:dyDescent="0.25">
      <c r="B33" s="252" t="s">
        <v>263</v>
      </c>
      <c r="C33" s="255">
        <v>1.29</v>
      </c>
      <c r="D33" s="297">
        <f>'TOTAL 5 NÃO USAR'!E59</f>
        <v>5.8602199740000005</v>
      </c>
      <c r="E33" s="297">
        <f>'TOTAL 5 NÃO USAR'!E60</f>
        <v>6.111099974</v>
      </c>
      <c r="F33" s="298">
        <f>'TOTAL 5 NÃO USAR'!E63</f>
        <v>6.4106199740000003</v>
      </c>
      <c r="G33" s="298">
        <f>'TOTAL 5 NÃO USAR'!E64</f>
        <v>7.1827199740000012</v>
      </c>
      <c r="H33" s="298">
        <f>'TOTAL 5 NÃO USAR'!E65</f>
        <v>9.072719974</v>
      </c>
      <c r="I33" s="563">
        <f>((D33/K4)+K5)/K6</f>
        <v>10.017033290000001</v>
      </c>
      <c r="J33" s="563">
        <f>((E33/K4)+K5)/K6</f>
        <v>10.435166623333334</v>
      </c>
      <c r="K33" s="563">
        <f>((F33/K4)+K5)/K6</f>
        <v>10.934366623333334</v>
      </c>
      <c r="L33" s="563">
        <f>((G33/K4)+K5)/K6</f>
        <v>12.22119995666667</v>
      </c>
      <c r="M33" s="562">
        <f>((H33/K4)+K5)/K6</f>
        <v>15.371199956666667</v>
      </c>
    </row>
    <row r="34" spans="2:13" ht="15.75" x14ac:dyDescent="0.25">
      <c r="B34" s="252" t="s">
        <v>223</v>
      </c>
      <c r="C34" s="255">
        <v>1.27</v>
      </c>
      <c r="D34" s="297">
        <f>'PLANTA 100 Nitratos'!E59</f>
        <v>1.8338364390000002</v>
      </c>
      <c r="E34" s="297">
        <f>'PLANTA 100 Nitratos'!E60</f>
        <v>1.8338364390000002</v>
      </c>
      <c r="F34" s="298">
        <f>'PLANTA 100 Nitratos'!E63</f>
        <v>2.3842364390000004</v>
      </c>
      <c r="G34" s="298">
        <f>'PLANTA 100 Nitratos'!E64</f>
        <v>3.1563364389999999</v>
      </c>
      <c r="H34" s="298">
        <f>'PLANTA 100 Nitratos'!E65</f>
        <v>5.0463364390000001</v>
      </c>
      <c r="I34" s="563">
        <f>((D34/K4)+K5)/K6</f>
        <v>3.3063940650000005</v>
      </c>
      <c r="J34" s="563">
        <f>((E35/K4)+K5)/K6</f>
        <v>4.4202807466666671</v>
      </c>
      <c r="K34" s="563">
        <f>((F34/K4)+K5)/K6</f>
        <v>4.2237273983333345</v>
      </c>
      <c r="L34" s="563">
        <f>((G34/K4)+K5)/K6</f>
        <v>5.5105607316666667</v>
      </c>
      <c r="M34" s="562">
        <f>((H34/K4)+K5)/K6</f>
        <v>8.6605607316666671</v>
      </c>
    </row>
    <row r="35" spans="2:13" ht="15.75" x14ac:dyDescent="0.25">
      <c r="B35" s="252" t="s">
        <v>224</v>
      </c>
      <c r="C35" s="255">
        <v>1.28</v>
      </c>
      <c r="D35" s="297">
        <v>1.19</v>
      </c>
      <c r="E35" s="297">
        <f>EQUILIBRIO!E62</f>
        <v>2.5021684479999999</v>
      </c>
      <c r="F35" s="298">
        <f>EQUILIBRIO!E65</f>
        <v>2.763368448</v>
      </c>
      <c r="G35" s="298">
        <f>EQUILIBRIO!E66</f>
        <v>2.9561684479999997</v>
      </c>
      <c r="H35" s="298"/>
      <c r="I35" s="563">
        <f>((D35/K4)+K5)/K6</f>
        <v>2.2333333333333334</v>
      </c>
      <c r="J35" s="563">
        <f>((E35/K4)+K5)/K6</f>
        <v>4.4202807466666671</v>
      </c>
      <c r="K35" s="563">
        <f>((F35/K4)+K5)/K6</f>
        <v>4.8556140800000005</v>
      </c>
      <c r="L35" s="563">
        <f>((G35/K4)+K5)/K6</f>
        <v>5.1769474133333331</v>
      </c>
      <c r="M35" s="562"/>
    </row>
    <row r="36" spans="2:13" ht="15.75" x14ac:dyDescent="0.25">
      <c r="B36" s="252" t="s">
        <v>473</v>
      </c>
      <c r="C36" s="255">
        <v>1.18</v>
      </c>
      <c r="D36" s="297">
        <f>ORQUIDIUM!E59</f>
        <v>1.7624036319999994</v>
      </c>
      <c r="E36" s="297">
        <f>ORQUIDIUM!E60</f>
        <v>1.7624036319999994</v>
      </c>
      <c r="F36" s="298">
        <f>ORQUIDIUM!E63</f>
        <v>2.5696036319999993</v>
      </c>
      <c r="G36" s="298">
        <f>ORQUIDIUM!E64</f>
        <v>2.9529036319999999</v>
      </c>
      <c r="H36" s="298">
        <f>ORQUIDIUM!E65</f>
        <v>4.774903632</v>
      </c>
      <c r="I36" s="563">
        <f>((D36/K4)+K5)/K6</f>
        <v>3.1873393866666659</v>
      </c>
      <c r="J36" s="563">
        <f>((E36/K4)+K5)/K6</f>
        <v>3.1873393866666659</v>
      </c>
      <c r="K36" s="563">
        <f>((G36/K4)+K5)/K6</f>
        <v>5.1715060533333332</v>
      </c>
      <c r="L36" s="563">
        <f>((G36/K4)+K5)/K6</f>
        <v>5.1715060533333332</v>
      </c>
      <c r="M36" s="562">
        <f>((H36/K4)+K5)/K6</f>
        <v>8.2081727200000003</v>
      </c>
    </row>
    <row r="37" spans="2:13" ht="15.75" x14ac:dyDescent="0.25">
      <c r="B37" s="252" t="s">
        <v>269</v>
      </c>
      <c r="C37" s="255">
        <v>1.28</v>
      </c>
      <c r="D37" s="297">
        <f>HIDROPONIC!E59</f>
        <v>1.322498</v>
      </c>
      <c r="E37" s="297">
        <f>HIDROPONIC!E60</f>
        <v>1.322498</v>
      </c>
      <c r="F37" s="298">
        <f>HIDROPONIC!E63</f>
        <v>1.8328980000000001</v>
      </c>
      <c r="G37" s="298">
        <f>HIDROPONIC!E64</f>
        <v>2.5129980000000001</v>
      </c>
      <c r="H37" s="298">
        <f>HIDROPONIC!E65</f>
        <v>4.3349979999999997</v>
      </c>
      <c r="I37" s="563">
        <f>((D37/K4)+K5)/K6</f>
        <v>2.4541633333333333</v>
      </c>
      <c r="J37" s="563">
        <f>((E37/K4)+K5)/K6</f>
        <v>2.4541633333333333</v>
      </c>
      <c r="K37" s="563">
        <f>((F37/K4)+K5)/K6</f>
        <v>3.3048300000000004</v>
      </c>
      <c r="L37" s="563">
        <f>((G37/K4)+K5)/K6</f>
        <v>4.4383300000000006</v>
      </c>
      <c r="M37" s="562">
        <f>((H37/K4)+K5)/K6</f>
        <v>7.4749966666666667</v>
      </c>
    </row>
    <row r="38" spans="2:13" ht="15.75" x14ac:dyDescent="0.25">
      <c r="B38" s="252" t="s">
        <v>186</v>
      </c>
      <c r="C38" s="255">
        <v>1.28</v>
      </c>
      <c r="D38" s="297">
        <f>'CITRUS 100'!E59</f>
        <v>1.9892902400000003</v>
      </c>
      <c r="E38" s="298">
        <f>'CITRUS 100'!E60</f>
        <v>2.2401702400000003</v>
      </c>
      <c r="F38" s="298">
        <f>'CITRUS 100'!E63</f>
        <v>2.5396902400000005</v>
      </c>
      <c r="G38" s="298">
        <f>'CITRUS 100'!E64</f>
        <v>3.3117902400000006</v>
      </c>
      <c r="H38" s="298"/>
      <c r="I38" s="563">
        <f>((D38/K4)+K5)/K6</f>
        <v>3.565483733333334</v>
      </c>
      <c r="J38" s="563">
        <f>((E38/K4)+K5)/K6</f>
        <v>3.9836170666666675</v>
      </c>
      <c r="K38" s="563">
        <f>((F38/K4)+K5)/K6</f>
        <v>4.4828170666666676</v>
      </c>
      <c r="L38" s="547">
        <f>((G38/K4)+K5)/K6</f>
        <v>5.7696504000000015</v>
      </c>
      <c r="M38" s="547"/>
    </row>
    <row r="39" spans="2:13" ht="15.75" x14ac:dyDescent="0.25">
      <c r="B39" s="252"/>
      <c r="C39" s="256"/>
      <c r="D39" s="297"/>
      <c r="E39" s="298"/>
      <c r="F39" s="298"/>
      <c r="G39" s="298"/>
      <c r="H39" s="298"/>
      <c r="I39" s="461"/>
      <c r="J39" s="461"/>
      <c r="K39" s="461"/>
    </row>
    <row r="40" spans="2:13" ht="15.75" x14ac:dyDescent="0.25">
      <c r="B40" s="252"/>
      <c r="C40" s="256"/>
      <c r="D40" s="297"/>
      <c r="E40" s="298"/>
      <c r="F40" s="298"/>
      <c r="G40" s="298"/>
      <c r="H40" s="298"/>
      <c r="I40" s="461"/>
      <c r="J40" s="461"/>
      <c r="K40" s="461"/>
    </row>
  </sheetData>
  <pageMargins left="0.51181102362204722" right="0.51181102362204722" top="0.78740157480314965" bottom="0.78740157480314965" header="0.31496062992125984" footer="0.31496062992125984"/>
  <pageSetup paperSize="9" scale="80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C27" sqref="C27"/>
    </sheetView>
  </sheetViews>
  <sheetFormatPr defaultRowHeight="12.75" x14ac:dyDescent="0.2"/>
  <cols>
    <col min="2" max="2" width="24.5703125" customWidth="1"/>
    <col min="3" max="3" width="8" customWidth="1"/>
    <col min="4" max="4" width="9.5703125" bestFit="1" customWidth="1"/>
    <col min="5" max="5" width="11.7109375" customWidth="1"/>
    <col min="6" max="6" width="10.5703125" customWidth="1"/>
    <col min="7" max="8" width="9.5703125" bestFit="1" customWidth="1"/>
    <col min="9" max="9" width="12.42578125" customWidth="1"/>
    <col min="10" max="10" width="18.85546875" customWidth="1"/>
    <col min="11" max="11" width="11.5703125" customWidth="1"/>
  </cols>
  <sheetData>
    <row r="1" spans="1:15" x14ac:dyDescent="0.2">
      <c r="A1" t="s">
        <v>507</v>
      </c>
      <c r="B1" s="246"/>
      <c r="C1" s="246"/>
    </row>
    <row r="2" spans="1:15" x14ac:dyDescent="0.2">
      <c r="B2" s="246"/>
      <c r="C2" s="246"/>
      <c r="J2" s="560"/>
      <c r="K2" s="557"/>
      <c r="L2" s="306"/>
      <c r="M2" s="306"/>
      <c r="N2" s="306"/>
      <c r="O2" s="306"/>
    </row>
    <row r="3" spans="1:15" x14ac:dyDescent="0.2">
      <c r="B3" s="246"/>
      <c r="C3" s="246"/>
      <c r="J3" s="556" t="s">
        <v>496</v>
      </c>
      <c r="K3" s="553">
        <v>70</v>
      </c>
      <c r="L3" s="306"/>
      <c r="M3" s="306"/>
      <c r="N3" s="306"/>
      <c r="O3" s="306"/>
    </row>
    <row r="4" spans="1:15" ht="20.25" x14ac:dyDescent="0.3">
      <c r="B4" s="246"/>
      <c r="C4" s="246"/>
      <c r="D4" s="257" t="s">
        <v>491</v>
      </c>
      <c r="E4" s="257"/>
      <c r="F4" s="257"/>
      <c r="G4" s="257"/>
      <c r="H4" s="257"/>
      <c r="I4" s="544" t="s">
        <v>492</v>
      </c>
      <c r="J4" s="561" t="s">
        <v>497</v>
      </c>
      <c r="K4" s="559">
        <v>0.3</v>
      </c>
      <c r="L4" s="555"/>
      <c r="M4" s="555"/>
      <c r="N4" s="306"/>
      <c r="O4" s="306"/>
    </row>
    <row r="5" spans="1:15" x14ac:dyDescent="0.2">
      <c r="B5" s="246"/>
      <c r="C5" s="246"/>
      <c r="I5" s="545" t="s">
        <v>499</v>
      </c>
      <c r="J5" s="561" t="s">
        <v>498</v>
      </c>
      <c r="K5" s="558">
        <v>0.25</v>
      </c>
    </row>
    <row r="6" spans="1:15" x14ac:dyDescent="0.2">
      <c r="B6" s="246"/>
      <c r="C6" s="246"/>
      <c r="F6" s="262">
        <v>42745</v>
      </c>
      <c r="I6" s="546" t="s">
        <v>493</v>
      </c>
      <c r="J6" s="554">
        <v>0</v>
      </c>
      <c r="K6" s="201">
        <v>1</v>
      </c>
    </row>
    <row r="7" spans="1:15" ht="18.75" thickBot="1" x14ac:dyDescent="0.3">
      <c r="B7" s="246"/>
      <c r="C7" t="s">
        <v>202</v>
      </c>
      <c r="D7" s="548" t="s">
        <v>494</v>
      </c>
      <c r="E7" s="555"/>
      <c r="F7" s="548"/>
      <c r="K7" s="555"/>
    </row>
    <row r="8" spans="1:15" ht="16.5" thickBot="1" x14ac:dyDescent="0.3">
      <c r="B8" s="246"/>
      <c r="C8" s="246"/>
      <c r="D8" s="549" t="s">
        <v>481</v>
      </c>
      <c r="E8" s="550" t="s">
        <v>226</v>
      </c>
      <c r="F8" s="549" t="s">
        <v>482</v>
      </c>
      <c r="G8" s="550" t="s">
        <v>227</v>
      </c>
      <c r="H8" s="549" t="s">
        <v>228</v>
      </c>
    </row>
    <row r="9" spans="1:15" ht="15.75" x14ac:dyDescent="0.25">
      <c r="B9" s="258" t="s">
        <v>230</v>
      </c>
      <c r="C9" s="259" t="s">
        <v>508</v>
      </c>
      <c r="D9" s="551" t="s">
        <v>225</v>
      </c>
      <c r="E9" s="552" t="s">
        <v>225</v>
      </c>
      <c r="F9" s="552" t="s">
        <v>225</v>
      </c>
      <c r="G9" s="552" t="s">
        <v>225</v>
      </c>
      <c r="H9" s="552" t="s">
        <v>225</v>
      </c>
    </row>
    <row r="10" spans="1:15" ht="15.75" x14ac:dyDescent="0.25">
      <c r="B10" s="251" t="s">
        <v>458</v>
      </c>
      <c r="C10" s="253">
        <v>1.29</v>
      </c>
      <c r="D10" s="563">
        <v>6.741461890000001</v>
      </c>
      <c r="E10" s="563">
        <v>7.5777285566666661</v>
      </c>
      <c r="F10" s="563">
        <v>8.4427952233333343</v>
      </c>
      <c r="G10" s="563">
        <v>10.709795223333334</v>
      </c>
      <c r="H10" s="562">
        <v>16.783128556666668</v>
      </c>
      <c r="J10" s="273" t="s">
        <v>500</v>
      </c>
    </row>
    <row r="11" spans="1:15" ht="15.75" x14ac:dyDescent="0.25">
      <c r="B11" s="251" t="s">
        <v>483</v>
      </c>
      <c r="C11" s="253">
        <v>43118</v>
      </c>
      <c r="D11" s="563">
        <v>4.9357917000000011</v>
      </c>
      <c r="E11" s="563">
        <v>5.7720583666666681</v>
      </c>
      <c r="F11" s="564">
        <v>6.6371250333333354</v>
      </c>
      <c r="G11" s="563">
        <v>8.9041250333333348</v>
      </c>
      <c r="H11" s="562">
        <v>14.977458366666667</v>
      </c>
    </row>
    <row r="12" spans="1:15" ht="15.75" x14ac:dyDescent="0.25">
      <c r="B12" s="251" t="s">
        <v>484</v>
      </c>
      <c r="C12" s="253">
        <v>1.3</v>
      </c>
      <c r="D12" s="563">
        <v>5.871798000000001</v>
      </c>
      <c r="E12" s="563">
        <v>6.7145473540051679</v>
      </c>
      <c r="F12" s="563">
        <v>7.5863199638242911</v>
      </c>
      <c r="G12" s="563">
        <v>9.8708936072351428</v>
      </c>
      <c r="H12" s="562">
        <v>15.991307043927648</v>
      </c>
    </row>
    <row r="13" spans="1:15" ht="15.75" x14ac:dyDescent="0.25">
      <c r="B13" s="251" t="s">
        <v>252</v>
      </c>
      <c r="C13" s="253">
        <v>1.25</v>
      </c>
      <c r="D13" s="563">
        <v>4.8507333333333333</v>
      </c>
      <c r="E13" s="563">
        <v>5.6674000000000007</v>
      </c>
      <c r="F13" s="563">
        <v>6.5121916666666673</v>
      </c>
      <c r="G13" s="563">
        <v>8.7260588541666682</v>
      </c>
      <c r="H13" s="562"/>
    </row>
    <row r="14" spans="1:15" ht="15.75" x14ac:dyDescent="0.25">
      <c r="B14" s="251" t="s">
        <v>214</v>
      </c>
      <c r="C14" s="253">
        <v>1.28</v>
      </c>
      <c r="D14" s="563">
        <v>4.7186058666666675</v>
      </c>
      <c r="E14" s="563">
        <v>5.5483898459948326</v>
      </c>
      <c r="F14" s="563">
        <v>6.4067505695090441</v>
      </c>
      <c r="G14" s="563">
        <v>6.4067505695090441</v>
      </c>
      <c r="H14" s="562"/>
    </row>
    <row r="15" spans="1:15" ht="15.75" x14ac:dyDescent="0.25">
      <c r="B15" s="251" t="s">
        <v>488</v>
      </c>
      <c r="C15" s="253">
        <v>1.1399999999999999</v>
      </c>
      <c r="D15" s="563">
        <v>3.6066368999999985</v>
      </c>
      <c r="E15" s="563">
        <v>4.3456632565891473</v>
      </c>
      <c r="F15" s="563">
        <v>5.1101407759689907</v>
      </c>
      <c r="G15" s="563">
        <v>7.1135361248061999</v>
      </c>
      <c r="H15" s="562"/>
    </row>
    <row r="16" spans="1:15" ht="15.75" x14ac:dyDescent="0.25">
      <c r="B16" s="251" t="s">
        <v>413</v>
      </c>
      <c r="C16" s="253">
        <v>1.3</v>
      </c>
      <c r="D16" s="563">
        <v>5.6996563333333343</v>
      </c>
      <c r="E16" s="563">
        <v>6.542405687338503</v>
      </c>
      <c r="F16" s="563">
        <v>7.4141782971576236</v>
      </c>
      <c r="G16" s="563">
        <v>9.6987519405684761</v>
      </c>
      <c r="H16" s="562">
        <v>15.819165377260983</v>
      </c>
    </row>
    <row r="17" spans="2:8" ht="15.75" x14ac:dyDescent="0.25">
      <c r="B17" s="252" t="s">
        <v>485</v>
      </c>
      <c r="C17" s="254">
        <v>1.8</v>
      </c>
      <c r="D17" s="563"/>
      <c r="E17" s="563"/>
      <c r="F17" s="563">
        <v>196.5</v>
      </c>
      <c r="G17" s="563">
        <v>29.355981333333336</v>
      </c>
      <c r="H17" s="562">
        <v>35.429314666666663</v>
      </c>
    </row>
    <row r="18" spans="2:8" ht="15.75" x14ac:dyDescent="0.25">
      <c r="B18" s="252" t="s">
        <v>407</v>
      </c>
      <c r="C18" s="254">
        <v>1.21</v>
      </c>
      <c r="D18" s="563"/>
      <c r="E18" s="563">
        <v>9.1606208666666653</v>
      </c>
      <c r="F18" s="563"/>
      <c r="G18" s="563">
        <v>12.292687533333332</v>
      </c>
      <c r="H18" s="562">
        <v>18.366020866666666</v>
      </c>
    </row>
    <row r="19" spans="2:8" ht="15.75" x14ac:dyDescent="0.25">
      <c r="B19" s="252" t="s">
        <v>487</v>
      </c>
      <c r="C19" s="254">
        <v>1.28</v>
      </c>
      <c r="D19" s="563"/>
      <c r="E19" s="563">
        <v>17.112848000000003</v>
      </c>
      <c r="F19" s="563">
        <v>130.19999999999999</v>
      </c>
      <c r="G19" s="563">
        <v>20.244914666666666</v>
      </c>
      <c r="H19" s="562">
        <v>26.318247999999997</v>
      </c>
    </row>
    <row r="20" spans="2:8" ht="15.75" x14ac:dyDescent="0.25">
      <c r="B20" s="252" t="s">
        <v>113</v>
      </c>
      <c r="C20" s="254">
        <v>1.23</v>
      </c>
      <c r="D20" s="563"/>
      <c r="E20" s="563"/>
      <c r="F20" s="563">
        <v>22.3</v>
      </c>
      <c r="G20" s="563">
        <v>19.9902984</v>
      </c>
      <c r="H20" s="562">
        <v>26.063631733333331</v>
      </c>
    </row>
    <row r="21" spans="2:8" ht="15.75" x14ac:dyDescent="0.25">
      <c r="B21" s="252" t="s">
        <v>262</v>
      </c>
      <c r="C21" s="254">
        <v>1.0900000000000001</v>
      </c>
      <c r="D21" s="563"/>
      <c r="E21" s="563">
        <v>3.689406419896641</v>
      </c>
      <c r="F21" s="563">
        <v>646</v>
      </c>
      <c r="G21" s="563">
        <v>6.3358813552971585</v>
      </c>
      <c r="H21" s="562"/>
    </row>
    <row r="22" spans="2:8" ht="15.75" x14ac:dyDescent="0.25">
      <c r="B22" s="252" t="s">
        <v>213</v>
      </c>
      <c r="C22" s="254">
        <v>1.1599999999999999</v>
      </c>
      <c r="D22" s="563">
        <v>2.0673720000000002</v>
      </c>
      <c r="E22" s="563">
        <v>2.8193637312661499</v>
      </c>
      <c r="F22" s="563">
        <v>2.5</v>
      </c>
      <c r="G22" s="563">
        <v>5.6357957726098187</v>
      </c>
      <c r="H22" s="562"/>
    </row>
    <row r="23" spans="2:8" ht="15.75" x14ac:dyDescent="0.25">
      <c r="B23" s="252" t="s">
        <v>241</v>
      </c>
      <c r="C23" s="254">
        <v>1.43</v>
      </c>
      <c r="D23" s="563">
        <v>6.7673965999999997</v>
      </c>
      <c r="E23" s="563">
        <v>7.6036632666666675</v>
      </c>
      <c r="F23" s="563">
        <v>2.5</v>
      </c>
      <c r="G23" s="563">
        <v>11.34378100860215</v>
      </c>
      <c r="H23" s="562">
        <v>18.347705739784946</v>
      </c>
    </row>
    <row r="24" spans="2:8" ht="15.75" x14ac:dyDescent="0.25">
      <c r="B24" s="252" t="s">
        <v>318</v>
      </c>
      <c r="C24" s="254">
        <v>1.32</v>
      </c>
      <c r="D24" s="563">
        <v>9.1422240000000023</v>
      </c>
      <c r="E24" s="563">
        <v>8.8784906666666679</v>
      </c>
      <c r="F24" s="563"/>
      <c r="G24" s="563">
        <v>13.110557333333336</v>
      </c>
      <c r="H24" s="562">
        <v>19.183890666666667</v>
      </c>
    </row>
    <row r="25" spans="2:8" ht="15.75" x14ac:dyDescent="0.25">
      <c r="B25" s="252" t="s">
        <v>251</v>
      </c>
      <c r="C25" s="254">
        <v>1.39</v>
      </c>
      <c r="D25" s="563">
        <v>5.2407347666666677</v>
      </c>
      <c r="E25" s="563">
        <v>6.0770014333333346</v>
      </c>
      <c r="F25" s="563"/>
      <c r="G25" s="563">
        <v>9.2090681000000014</v>
      </c>
      <c r="H25" s="562">
        <v>15.282401433333336</v>
      </c>
    </row>
    <row r="26" spans="2:8" ht="15.75" x14ac:dyDescent="0.25">
      <c r="B26" s="252" t="s">
        <v>459</v>
      </c>
      <c r="C26" s="254">
        <v>1.28</v>
      </c>
      <c r="D26" s="563">
        <v>3.6321866666666667</v>
      </c>
      <c r="E26" s="563">
        <v>4.4619706459948327</v>
      </c>
      <c r="F26" s="563">
        <v>5.3203313695090442</v>
      </c>
      <c r="G26" s="563">
        <v>8.3008451000000019</v>
      </c>
      <c r="H26" s="562">
        <v>13.596010956072352</v>
      </c>
    </row>
    <row r="27" spans="2:8" ht="15.75" x14ac:dyDescent="0.25">
      <c r="B27" s="543" t="s">
        <v>486</v>
      </c>
      <c r="C27" s="254">
        <v>1.21</v>
      </c>
      <c r="D27" s="563"/>
      <c r="E27" s="563">
        <v>5.1687784333333342</v>
      </c>
      <c r="F27" s="563">
        <v>6.0338451000000015</v>
      </c>
      <c r="G27" s="563">
        <v>8.3008451000000019</v>
      </c>
      <c r="H27" s="562">
        <v>14.374178433333332</v>
      </c>
    </row>
    <row r="28" spans="2:8" ht="15.75" x14ac:dyDescent="0.25">
      <c r="B28" s="252" t="s">
        <v>501</v>
      </c>
      <c r="C28" s="254">
        <v>1.18</v>
      </c>
      <c r="D28" s="563"/>
      <c r="E28" s="563">
        <v>5.4301810000000001</v>
      </c>
      <c r="F28" s="563">
        <v>6.2952476666666684</v>
      </c>
      <c r="G28" s="563">
        <v>8.562247666666666</v>
      </c>
      <c r="H28" s="562">
        <v>14.635580999999998</v>
      </c>
    </row>
    <row r="29" spans="2:8" ht="15.75" x14ac:dyDescent="0.25">
      <c r="B29" s="251" t="s">
        <v>489</v>
      </c>
      <c r="C29" s="253">
        <v>1.1399999999999999</v>
      </c>
      <c r="D29" s="563">
        <v>3.4616079999999996</v>
      </c>
      <c r="E29" s="563">
        <v>4.2006343565891475</v>
      </c>
      <c r="F29" s="563">
        <v>4.9651118759689918</v>
      </c>
      <c r="G29" s="563">
        <v>6.9685072248062019</v>
      </c>
      <c r="H29" s="562"/>
    </row>
    <row r="30" spans="2:8" ht="15.75" x14ac:dyDescent="0.25">
      <c r="B30" s="252" t="s">
        <v>490</v>
      </c>
      <c r="C30" s="254">
        <v>1.21</v>
      </c>
      <c r="D30" s="563">
        <v>3.3575563841666667</v>
      </c>
      <c r="E30" s="563">
        <v>4.1419615521253226</v>
      </c>
      <c r="F30" s="563">
        <v>4.9533806735723518</v>
      </c>
      <c r="G30" s="563">
        <v>7.0797915262855291</v>
      </c>
      <c r="H30" s="562"/>
    </row>
    <row r="31" spans="2:8" ht="15.75" x14ac:dyDescent="0.25">
      <c r="B31" s="252" t="s">
        <v>402</v>
      </c>
      <c r="C31" s="254">
        <v>1.25</v>
      </c>
      <c r="D31" s="563">
        <v>5.6464833333333342</v>
      </c>
      <c r="E31" s="563">
        <v>6.4568192506459958</v>
      </c>
      <c r="F31" s="563">
        <v>7.2950621447028441</v>
      </c>
      <c r="G31" s="563">
        <v>9.491767571059432</v>
      </c>
      <c r="H31" s="562">
        <v>29.052014546666665</v>
      </c>
    </row>
    <row r="32" spans="2:8" ht="15.75" x14ac:dyDescent="0.25">
      <c r="B32" s="252" t="s">
        <v>263</v>
      </c>
      <c r="C32" s="255">
        <v>1.29</v>
      </c>
      <c r="D32" s="563">
        <v>19.010347880000001</v>
      </c>
      <c r="E32" s="563">
        <v>19.846614546666672</v>
      </c>
      <c r="F32" s="563">
        <v>20.711681213333335</v>
      </c>
      <c r="G32" s="563">
        <v>22.978681213333335</v>
      </c>
      <c r="H32" s="562">
        <v>29.052014546666665</v>
      </c>
    </row>
    <row r="33" spans="2:8" ht="15.75" x14ac:dyDescent="0.25">
      <c r="B33" s="252" t="s">
        <v>223</v>
      </c>
      <c r="C33" s="255">
        <v>1.27</v>
      </c>
      <c r="D33" s="563">
        <v>5.9779002366666667</v>
      </c>
      <c r="E33" s="563">
        <v>7.4154157659948332</v>
      </c>
      <c r="F33" s="563">
        <v>7.6528563090180883</v>
      </c>
      <c r="G33" s="563">
        <v>9.8847090221963843</v>
      </c>
      <c r="H33" s="562">
        <v>20.021963824289404</v>
      </c>
    </row>
    <row r="34" spans="2:8" ht="15.75" x14ac:dyDescent="0.25">
      <c r="B34" s="252" t="s">
        <v>224</v>
      </c>
      <c r="C34" s="255">
        <v>1.28</v>
      </c>
      <c r="D34" s="563">
        <v>6.585631786666668</v>
      </c>
      <c r="E34" s="563">
        <v>7.4154157659948332</v>
      </c>
      <c r="F34" s="563">
        <v>8.2737764895090447</v>
      </c>
      <c r="G34" s="563">
        <v>10.523202846098192</v>
      </c>
      <c r="H34" s="562"/>
    </row>
    <row r="35" spans="2:8" ht="15.75" x14ac:dyDescent="0.25">
      <c r="B35" s="252" t="s">
        <v>473</v>
      </c>
      <c r="C35" s="255">
        <v>1.18</v>
      </c>
      <c r="D35" s="563">
        <v>1.19</v>
      </c>
      <c r="E35" s="563">
        <v>6.3086817592764879</v>
      </c>
      <c r="F35" s="563">
        <v>9.1736729737467719</v>
      </c>
      <c r="G35" s="563">
        <v>9.1736729737467719</v>
      </c>
      <c r="H35" s="562">
        <v>14.729125170129199</v>
      </c>
    </row>
    <row r="36" spans="2:8" ht="15.75" x14ac:dyDescent="0.25">
      <c r="B36" s="252" t="s">
        <v>269</v>
      </c>
      <c r="C36" s="255">
        <v>1.28</v>
      </c>
      <c r="D36" s="563">
        <v>5.7250737066666684</v>
      </c>
      <c r="E36" s="563">
        <v>6.5548576859948335</v>
      </c>
      <c r="F36" s="563">
        <v>7.4132184095090459</v>
      </c>
      <c r="G36" s="563">
        <v>9.6626447660981931</v>
      </c>
      <c r="H36" s="562">
        <v>15.688897996072354</v>
      </c>
    </row>
    <row r="37" spans="2:8" ht="15.75" x14ac:dyDescent="0.25">
      <c r="B37" s="252" t="s">
        <v>186</v>
      </c>
      <c r="C37" s="255">
        <v>1.28</v>
      </c>
      <c r="D37" s="563">
        <v>6.2324644266666658</v>
      </c>
      <c r="E37" s="563">
        <v>7.0687310933333336</v>
      </c>
      <c r="F37" s="563">
        <v>7.9337977599999991</v>
      </c>
      <c r="G37" s="547">
        <v>10.20079776</v>
      </c>
      <c r="H37" s="547"/>
    </row>
    <row r="38" spans="2:8" ht="15.75" x14ac:dyDescent="0.25">
      <c r="B38" s="252"/>
      <c r="C38" s="256"/>
      <c r="D38" s="461"/>
      <c r="E38" s="461"/>
      <c r="F38" s="461"/>
    </row>
    <row r="39" spans="2:8" ht="15.75" x14ac:dyDescent="0.25">
      <c r="B39" s="252"/>
      <c r="C39" s="256"/>
      <c r="D39" s="461"/>
      <c r="E39" s="461"/>
      <c r="F39" s="461"/>
    </row>
  </sheetData>
  <pageMargins left="0.511811024" right="0.511811024" top="0.78740157499999996" bottom="0.78740157499999996" header="0.31496062000000002" footer="0.31496062000000002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C19" sqref="C19"/>
    </sheetView>
  </sheetViews>
  <sheetFormatPr defaultRowHeight="12.75" x14ac:dyDescent="0.2"/>
  <cols>
    <col min="2" max="2" width="24.5703125" customWidth="1"/>
    <col min="3" max="3" width="12.28515625" bestFit="1" customWidth="1"/>
    <col min="4" max="4" width="12.42578125" customWidth="1"/>
    <col min="5" max="5" width="18.85546875" customWidth="1"/>
    <col min="6" max="6" width="11.5703125" customWidth="1"/>
  </cols>
  <sheetData>
    <row r="1" spans="1:10" x14ac:dyDescent="0.2">
      <c r="A1" t="s">
        <v>507</v>
      </c>
      <c r="B1" s="246"/>
      <c r="C1" s="246"/>
    </row>
    <row r="2" spans="1:10" x14ac:dyDescent="0.2">
      <c r="B2" s="246"/>
      <c r="C2" s="246"/>
      <c r="E2" s="560"/>
      <c r="F2" s="557"/>
      <c r="G2" s="306"/>
      <c r="H2" s="306"/>
      <c r="I2" s="306"/>
      <c r="J2" s="306"/>
    </row>
    <row r="3" spans="1:10" x14ac:dyDescent="0.2">
      <c r="B3" s="246"/>
      <c r="C3" s="246"/>
      <c r="E3" s="556" t="s">
        <v>496</v>
      </c>
      <c r="F3" s="553">
        <v>60</v>
      </c>
      <c r="G3" s="306"/>
      <c r="H3" s="306"/>
      <c r="I3" s="306"/>
      <c r="J3" s="306"/>
    </row>
    <row r="4" spans="1:10" ht="18" x14ac:dyDescent="0.25">
      <c r="B4" s="246"/>
      <c r="C4" s="246"/>
      <c r="D4" s="544" t="s">
        <v>492</v>
      </c>
      <c r="E4" s="561" t="s">
        <v>497</v>
      </c>
      <c r="F4" s="559">
        <v>0.4</v>
      </c>
      <c r="G4" s="555"/>
      <c r="H4" s="555"/>
      <c r="I4" s="306"/>
      <c r="J4" s="306"/>
    </row>
    <row r="5" spans="1:10" x14ac:dyDescent="0.2">
      <c r="B5" s="246"/>
      <c r="C5" s="246"/>
      <c r="D5" s="545" t="s">
        <v>499</v>
      </c>
      <c r="E5" s="561" t="s">
        <v>498</v>
      </c>
      <c r="F5" s="558">
        <v>0.25</v>
      </c>
    </row>
    <row r="6" spans="1:10" x14ac:dyDescent="0.2">
      <c r="B6" s="246"/>
      <c r="C6" s="246"/>
      <c r="D6" s="546" t="s">
        <v>493</v>
      </c>
      <c r="E6" s="554">
        <v>0</v>
      </c>
      <c r="F6" s="201">
        <v>1</v>
      </c>
    </row>
    <row r="7" spans="1:10" ht="18.75" thickBot="1" x14ac:dyDescent="0.3">
      <c r="B7" s="246"/>
      <c r="C7" t="s">
        <v>202</v>
      </c>
      <c r="D7" s="548" t="s">
        <v>494</v>
      </c>
      <c r="E7" s="555"/>
      <c r="F7" s="555"/>
    </row>
    <row r="8" spans="1:10" ht="16.5" thickBot="1" x14ac:dyDescent="0.3">
      <c r="B8" s="246"/>
      <c r="C8" s="246"/>
      <c r="D8" s="549" t="s">
        <v>481</v>
      </c>
      <c r="E8" s="550" t="s">
        <v>226</v>
      </c>
      <c r="F8" s="549" t="s">
        <v>482</v>
      </c>
      <c r="G8" s="550" t="s">
        <v>227</v>
      </c>
      <c r="H8" s="549" t="s">
        <v>228</v>
      </c>
    </row>
    <row r="9" spans="1:10" ht="15.75" x14ac:dyDescent="0.25">
      <c r="B9" s="258" t="s">
        <v>230</v>
      </c>
      <c r="C9" s="259" t="s">
        <v>508</v>
      </c>
      <c r="D9" s="551" t="s">
        <v>225</v>
      </c>
      <c r="E9" s="552" t="s">
        <v>225</v>
      </c>
      <c r="F9" s="552" t="s">
        <v>225</v>
      </c>
      <c r="G9" s="552" t="s">
        <v>225</v>
      </c>
      <c r="H9" s="552" t="s">
        <v>225</v>
      </c>
    </row>
    <row r="10" spans="1:10" ht="15.75" x14ac:dyDescent="0.25">
      <c r="B10" s="251" t="s">
        <v>458</v>
      </c>
      <c r="C10" s="253">
        <v>1.29</v>
      </c>
      <c r="D10" s="563">
        <v>5.1185964175000001</v>
      </c>
      <c r="E10" s="563">
        <v>5.7457964174999994</v>
      </c>
      <c r="F10" s="563">
        <v>6.3945964174999999</v>
      </c>
      <c r="G10" s="563">
        <v>8.0948464174999994</v>
      </c>
      <c r="H10" s="562">
        <v>12.649846417499999</v>
      </c>
    </row>
    <row r="11" spans="1:10" ht="15.75" x14ac:dyDescent="0.25">
      <c r="B11" s="251" t="s">
        <v>483</v>
      </c>
      <c r="C11" s="253">
        <v>43118</v>
      </c>
      <c r="D11" s="563">
        <v>3.7643437750000004</v>
      </c>
      <c r="E11" s="563">
        <v>4.3915437750000006</v>
      </c>
      <c r="F11" s="564">
        <v>5.0403437750000011</v>
      </c>
      <c r="G11" s="563">
        <v>6.7405937750000007</v>
      </c>
      <c r="H11" s="562">
        <v>11.295593774999999</v>
      </c>
    </row>
    <row r="12" spans="1:10" ht="15.75" x14ac:dyDescent="0.25">
      <c r="B12" s="251" t="s">
        <v>484</v>
      </c>
      <c r="C12" s="253">
        <v>1.3</v>
      </c>
      <c r="D12" s="563">
        <v>4.4663485000000005</v>
      </c>
      <c r="E12" s="563">
        <v>5.0984105155038755</v>
      </c>
      <c r="F12" s="563">
        <v>5.7522399728682174</v>
      </c>
      <c r="G12" s="563">
        <v>7.4656702054263562</v>
      </c>
      <c r="H12" s="562">
        <v>12.055980282945736</v>
      </c>
    </row>
    <row r="13" spans="1:10" ht="15.75" x14ac:dyDescent="0.25">
      <c r="B13" s="251" t="s">
        <v>252</v>
      </c>
      <c r="C13" s="253">
        <v>1.25</v>
      </c>
      <c r="D13" s="563">
        <v>3.7005499999999998</v>
      </c>
      <c r="E13" s="563">
        <v>4.3130499999999996</v>
      </c>
      <c r="F13" s="563">
        <v>4.9466437499999998</v>
      </c>
      <c r="G13" s="563">
        <v>6.6070441406250007</v>
      </c>
      <c r="H13" s="562"/>
    </row>
    <row r="14" spans="1:10" ht="15.75" x14ac:dyDescent="0.25">
      <c r="B14" s="251" t="s">
        <v>214</v>
      </c>
      <c r="C14" s="253">
        <v>1.28</v>
      </c>
      <c r="D14" s="563">
        <v>3.6014544000000002</v>
      </c>
      <c r="E14" s="563">
        <v>4.2237923844961243</v>
      </c>
      <c r="F14" s="563">
        <v>4.8675629271317824</v>
      </c>
      <c r="G14" s="563">
        <v>4.8675629271317824</v>
      </c>
      <c r="H14" s="562"/>
    </row>
    <row r="15" spans="1:10" ht="15.75" x14ac:dyDescent="0.25">
      <c r="B15" s="251" t="s">
        <v>488</v>
      </c>
      <c r="C15" s="253">
        <v>1.1399999999999999</v>
      </c>
      <c r="D15" s="563">
        <v>2.7674776749999985</v>
      </c>
      <c r="E15" s="563">
        <v>3.3217474424418598</v>
      </c>
      <c r="F15" s="563">
        <v>3.8951055819767428</v>
      </c>
      <c r="G15" s="563">
        <v>5.3976520936046493</v>
      </c>
      <c r="H15" s="562"/>
    </row>
    <row r="16" spans="1:10" ht="15.75" x14ac:dyDescent="0.25">
      <c r="B16" s="251" t="s">
        <v>413</v>
      </c>
      <c r="C16" s="253">
        <v>1.3</v>
      </c>
      <c r="D16" s="563">
        <v>4.3372422500000001</v>
      </c>
      <c r="E16" s="563">
        <v>4.9693042655038768</v>
      </c>
      <c r="F16" s="563">
        <v>5.623133722868217</v>
      </c>
      <c r="G16" s="563">
        <v>7.3365639554263566</v>
      </c>
      <c r="H16" s="562">
        <v>11.926874032945737</v>
      </c>
    </row>
    <row r="17" spans="2:8" ht="15.75" x14ac:dyDescent="0.25">
      <c r="B17" s="252" t="s">
        <v>485</v>
      </c>
      <c r="C17" s="254">
        <v>1.8</v>
      </c>
      <c r="D17" s="563"/>
      <c r="E17" s="563"/>
      <c r="F17" s="563">
        <v>196.5</v>
      </c>
      <c r="G17" s="563">
        <v>22.079485999999999</v>
      </c>
      <c r="H17" s="562">
        <v>26.634485999999995</v>
      </c>
    </row>
    <row r="18" spans="2:8" ht="15.75" x14ac:dyDescent="0.25">
      <c r="B18" s="252" t="s">
        <v>407</v>
      </c>
      <c r="C18" s="254">
        <v>1.21</v>
      </c>
      <c r="D18" s="563"/>
      <c r="E18" s="563">
        <v>6.932965649999999</v>
      </c>
      <c r="F18" s="563"/>
      <c r="G18" s="563">
        <v>9.2820156499999982</v>
      </c>
      <c r="H18" s="562">
        <v>13.837015649999998</v>
      </c>
    </row>
    <row r="19" spans="2:8" ht="15.75" x14ac:dyDescent="0.25">
      <c r="B19" s="252" t="s">
        <v>487</v>
      </c>
      <c r="C19" s="254">
        <v>1.28</v>
      </c>
      <c r="D19" s="563"/>
      <c r="E19" s="563">
        <v>12.897136</v>
      </c>
      <c r="F19" s="563">
        <v>130.19999999999999</v>
      </c>
      <c r="G19" s="563">
        <v>15.246186</v>
      </c>
      <c r="H19" s="562">
        <v>19.801185999999998</v>
      </c>
    </row>
    <row r="20" spans="2:8" ht="15.75" x14ac:dyDescent="0.25">
      <c r="B20" s="252" t="s">
        <v>113</v>
      </c>
      <c r="C20" s="254">
        <v>1.23</v>
      </c>
      <c r="D20" s="563"/>
      <c r="E20" s="563"/>
      <c r="F20" s="563">
        <v>22.3</v>
      </c>
      <c r="G20" s="563">
        <v>15.0552238</v>
      </c>
      <c r="H20" s="562">
        <v>19.610223799999996</v>
      </c>
    </row>
    <row r="21" spans="2:8" ht="15.75" x14ac:dyDescent="0.25">
      <c r="B21" s="252" t="s">
        <v>262</v>
      </c>
      <c r="C21" s="254">
        <v>1.0900000000000001</v>
      </c>
      <c r="D21" s="563"/>
      <c r="E21" s="563">
        <v>2.8295548149224805</v>
      </c>
      <c r="F21" s="563">
        <v>646</v>
      </c>
      <c r="G21" s="563">
        <v>4.8144110164728682</v>
      </c>
      <c r="H21" s="562"/>
    </row>
    <row r="22" spans="2:8" ht="15.75" x14ac:dyDescent="0.25">
      <c r="B22" s="252" t="s">
        <v>213</v>
      </c>
      <c r="C22" s="254">
        <v>1.1599999999999999</v>
      </c>
      <c r="D22" s="563">
        <v>1.613029</v>
      </c>
      <c r="E22" s="563">
        <v>2.1770227984496122</v>
      </c>
      <c r="F22" s="563">
        <v>2.5</v>
      </c>
      <c r="G22" s="563">
        <v>4.2893468294573633</v>
      </c>
      <c r="H22" s="562"/>
    </row>
    <row r="23" spans="2:8" ht="15.75" x14ac:dyDescent="0.25">
      <c r="B23" s="252" t="s">
        <v>241</v>
      </c>
      <c r="C23" s="254">
        <v>1.43</v>
      </c>
      <c r="D23" s="563">
        <v>5.1380474499999993</v>
      </c>
      <c r="E23" s="563">
        <v>5.7652474500000004</v>
      </c>
      <c r="F23" s="563">
        <v>2.5</v>
      </c>
      <c r="G23" s="563">
        <v>8.5703357564516125</v>
      </c>
      <c r="H23" s="562">
        <v>13.823279304838707</v>
      </c>
    </row>
    <row r="24" spans="2:8" ht="15.75" x14ac:dyDescent="0.25">
      <c r="B24" s="252" t="s">
        <v>318</v>
      </c>
      <c r="C24" s="254">
        <v>1.32</v>
      </c>
      <c r="D24" s="563">
        <v>6.9191680000000009</v>
      </c>
      <c r="E24" s="563">
        <v>6.721368</v>
      </c>
      <c r="F24" s="563"/>
      <c r="G24" s="563">
        <v>9.8954180000000012</v>
      </c>
      <c r="H24" s="562">
        <v>14.450417999999999</v>
      </c>
    </row>
    <row r="25" spans="2:8" ht="15.75" x14ac:dyDescent="0.25">
      <c r="B25" s="252" t="s">
        <v>251</v>
      </c>
      <c r="C25" s="254">
        <v>1.39</v>
      </c>
      <c r="D25" s="563">
        <v>3.9930510750000003</v>
      </c>
      <c r="E25" s="563">
        <v>4.6202510750000005</v>
      </c>
      <c r="F25" s="563"/>
      <c r="G25" s="563">
        <v>6.9693010749999997</v>
      </c>
      <c r="H25" s="562">
        <v>11.524301075</v>
      </c>
    </row>
    <row r="26" spans="2:8" ht="15.75" x14ac:dyDescent="0.25">
      <c r="B26" s="252" t="s">
        <v>459</v>
      </c>
      <c r="C26" s="254">
        <v>1.28</v>
      </c>
      <c r="D26" s="563">
        <v>2.7866399999999998</v>
      </c>
      <c r="E26" s="563">
        <v>3.4089779844961239</v>
      </c>
      <c r="F26" s="563">
        <v>4.0527485271317829</v>
      </c>
      <c r="G26" s="563">
        <v>6.2881338250000001</v>
      </c>
      <c r="H26" s="562">
        <v>10.259508217054263</v>
      </c>
    </row>
    <row r="27" spans="2:8" ht="15.75" x14ac:dyDescent="0.25">
      <c r="B27" s="543" t="s">
        <v>486</v>
      </c>
      <c r="C27" s="254">
        <v>1.21</v>
      </c>
      <c r="D27" s="563"/>
      <c r="E27" s="563">
        <v>3.939083825</v>
      </c>
      <c r="F27" s="563">
        <v>4.5878838250000005</v>
      </c>
      <c r="G27" s="563">
        <v>6.2881338250000001</v>
      </c>
      <c r="H27" s="562">
        <v>10.843133824999997</v>
      </c>
    </row>
    <row r="28" spans="2:8" ht="15.75" x14ac:dyDescent="0.25">
      <c r="B28" s="543" t="s">
        <v>501</v>
      </c>
      <c r="C28" s="254">
        <v>1.18</v>
      </c>
      <c r="D28" s="547"/>
      <c r="E28" s="562">
        <v>4.1351357499999999</v>
      </c>
      <c r="F28" s="562">
        <v>4.7839357500000004</v>
      </c>
      <c r="G28" s="562">
        <v>6.4841857499999991</v>
      </c>
      <c r="H28" s="562">
        <v>11.039185749999998</v>
      </c>
    </row>
    <row r="29" spans="2:8" ht="15.75" x14ac:dyDescent="0.25">
      <c r="B29" s="252" t="s">
        <v>438</v>
      </c>
      <c r="C29" s="254">
        <v>1.31</v>
      </c>
      <c r="D29" s="563">
        <v>3.0382977999999996</v>
      </c>
      <c r="E29" s="563">
        <v>3.6314636914728684</v>
      </c>
      <c r="F29" s="563">
        <v>4.2450574899224804</v>
      </c>
      <c r="G29" s="563">
        <v>5.8530458620155041</v>
      </c>
      <c r="H29" s="562"/>
    </row>
    <row r="30" spans="2:8" ht="15.75" x14ac:dyDescent="0.25">
      <c r="B30" s="251" t="s">
        <v>489</v>
      </c>
      <c r="C30" s="253">
        <v>1.1399999999999999</v>
      </c>
      <c r="D30" s="563">
        <v>2.6587059999999996</v>
      </c>
      <c r="E30" s="563">
        <v>3.2129757674418604</v>
      </c>
      <c r="F30" s="563">
        <v>3.7863339069767434</v>
      </c>
      <c r="G30" s="563">
        <v>5.2888804186046503</v>
      </c>
      <c r="H30" s="562"/>
    </row>
    <row r="31" spans="2:8" ht="15.75" x14ac:dyDescent="0.25">
      <c r="B31" s="252" t="s">
        <v>490</v>
      </c>
      <c r="C31" s="254">
        <v>1.21</v>
      </c>
      <c r="D31" s="563">
        <v>2.5806672881249999</v>
      </c>
      <c r="E31" s="563">
        <v>3.1689711640939917</v>
      </c>
      <c r="F31" s="563">
        <v>3.7775355051792636</v>
      </c>
      <c r="G31" s="563">
        <v>5.3723436447141468</v>
      </c>
      <c r="H31" s="562"/>
    </row>
    <row r="32" spans="2:8" ht="15.75" x14ac:dyDescent="0.25">
      <c r="B32" s="252" t="s">
        <v>402</v>
      </c>
      <c r="C32" s="254">
        <v>1.25</v>
      </c>
      <c r="D32" s="563">
        <v>4.2973625000000002</v>
      </c>
      <c r="E32" s="563">
        <v>4.905114437984496</v>
      </c>
      <c r="F32" s="563">
        <v>5.5337966085271324</v>
      </c>
      <c r="G32" s="563">
        <v>7.1813256782945736</v>
      </c>
      <c r="H32" s="562">
        <v>21.851510909999998</v>
      </c>
    </row>
    <row r="33" spans="2:8" ht="15.75" x14ac:dyDescent="0.25">
      <c r="B33" s="252" t="s">
        <v>263</v>
      </c>
      <c r="C33" s="255">
        <v>1.29</v>
      </c>
      <c r="D33" s="563">
        <v>14.32026091</v>
      </c>
      <c r="E33" s="563">
        <v>14.947460910000002</v>
      </c>
      <c r="F33" s="563">
        <v>15.59626091</v>
      </c>
      <c r="G33" s="563">
        <v>17.296510909999999</v>
      </c>
      <c r="H33" s="562">
        <v>21.851510909999998</v>
      </c>
    </row>
    <row r="34" spans="2:8" ht="15.75" x14ac:dyDescent="0.25">
      <c r="B34" s="252" t="s">
        <v>223</v>
      </c>
      <c r="C34" s="255">
        <v>1.27</v>
      </c>
      <c r="D34" s="563">
        <v>4.5459251775</v>
      </c>
      <c r="E34" s="563">
        <v>5.624061824496124</v>
      </c>
      <c r="F34" s="563">
        <v>5.8021422317635656</v>
      </c>
      <c r="G34" s="563">
        <v>7.4760317666472869</v>
      </c>
      <c r="H34" s="562">
        <v>15.078972868217051</v>
      </c>
    </row>
    <row r="35" spans="2:8" ht="15.75" x14ac:dyDescent="0.25">
      <c r="B35" s="252" t="s">
        <v>224</v>
      </c>
      <c r="C35" s="255">
        <v>1.28</v>
      </c>
      <c r="D35" s="563">
        <v>1.19</v>
      </c>
      <c r="E35" s="563">
        <v>5.624061824496124</v>
      </c>
      <c r="F35" s="563">
        <v>6.267832367131783</v>
      </c>
      <c r="G35" s="563">
        <v>7.9549021345736435</v>
      </c>
      <c r="H35" s="562"/>
    </row>
    <row r="36" spans="2:8" ht="15.75" x14ac:dyDescent="0.25">
      <c r="B36" s="252" t="s">
        <v>473</v>
      </c>
      <c r="C36" s="255">
        <v>1.18</v>
      </c>
      <c r="D36" s="563">
        <v>4.2202934900000013</v>
      </c>
      <c r="E36" s="563">
        <v>4.7940113194573657</v>
      </c>
      <c r="F36" s="563">
        <v>6.9427547303100781</v>
      </c>
      <c r="G36" s="563">
        <v>6.9427547303100781</v>
      </c>
      <c r="H36" s="562">
        <v>11.109343877596897</v>
      </c>
    </row>
    <row r="37" spans="2:8" ht="15.75" x14ac:dyDescent="0.25">
      <c r="B37" s="252" t="s">
        <v>269</v>
      </c>
      <c r="C37" s="255">
        <v>1.28</v>
      </c>
      <c r="D37" s="563">
        <v>4.3563052800000008</v>
      </c>
      <c r="E37" s="563">
        <v>4.9786432644961245</v>
      </c>
      <c r="F37" s="563">
        <v>5.6224138071317835</v>
      </c>
      <c r="G37" s="563">
        <v>7.3094835745736448</v>
      </c>
      <c r="H37" s="562">
        <v>11.829173497054263</v>
      </c>
    </row>
    <row r="38" spans="2:8" ht="15.75" x14ac:dyDescent="0.25">
      <c r="B38" s="252" t="s">
        <v>186</v>
      </c>
      <c r="C38" s="255">
        <v>1.28</v>
      </c>
      <c r="D38" s="563">
        <v>4.7368483199999991</v>
      </c>
      <c r="E38" s="563">
        <v>5.3640483199999993</v>
      </c>
      <c r="F38" s="563">
        <v>6.0128483199999989</v>
      </c>
      <c r="G38" s="547">
        <v>7.7130983199999994</v>
      </c>
      <c r="H38" s="547"/>
    </row>
    <row r="39" spans="2:8" ht="15.75" x14ac:dyDescent="0.25">
      <c r="B39" s="252"/>
      <c r="C39" s="256"/>
      <c r="D39" s="461"/>
      <c r="E39" s="461"/>
      <c r="F39" s="461"/>
    </row>
    <row r="40" spans="2:8" ht="15.75" x14ac:dyDescent="0.25">
      <c r="B40" s="252"/>
      <c r="C40" s="256"/>
      <c r="D40" s="461"/>
      <c r="E40" s="461"/>
      <c r="F40" s="461"/>
    </row>
  </sheetData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27" sqref="C27"/>
    </sheetView>
  </sheetViews>
  <sheetFormatPr defaultRowHeight="12.75" x14ac:dyDescent="0.2"/>
  <cols>
    <col min="2" max="2" width="24.5703125" customWidth="1"/>
    <col min="3" max="3" width="12.28515625" bestFit="1" customWidth="1"/>
    <col min="4" max="4" width="12.42578125" customWidth="1"/>
    <col min="5" max="5" width="18.85546875" customWidth="1"/>
    <col min="6" max="6" width="11.5703125" customWidth="1"/>
  </cols>
  <sheetData>
    <row r="1" spans="1:10" x14ac:dyDescent="0.2">
      <c r="A1" t="s">
        <v>507</v>
      </c>
      <c r="B1" s="246"/>
      <c r="C1" s="246"/>
    </row>
    <row r="2" spans="1:10" x14ac:dyDescent="0.2">
      <c r="B2" s="246"/>
      <c r="C2" s="246"/>
      <c r="E2" s="560"/>
      <c r="F2" s="557"/>
      <c r="G2" s="306"/>
      <c r="H2" s="306"/>
      <c r="I2" s="306"/>
      <c r="J2" s="306"/>
    </row>
    <row r="3" spans="1:10" x14ac:dyDescent="0.2">
      <c r="B3" s="246"/>
      <c r="C3" s="246"/>
      <c r="E3" s="556" t="s">
        <v>496</v>
      </c>
      <c r="F3" s="553">
        <v>50</v>
      </c>
      <c r="G3" s="306"/>
      <c r="H3" s="306"/>
      <c r="I3" s="306"/>
      <c r="J3" s="306"/>
    </row>
    <row r="4" spans="1:10" ht="18" x14ac:dyDescent="0.25">
      <c r="B4" s="246"/>
      <c r="C4" s="246"/>
      <c r="D4" s="544" t="s">
        <v>492</v>
      </c>
      <c r="E4" s="561" t="s">
        <v>497</v>
      </c>
      <c r="F4" s="559">
        <v>0.5</v>
      </c>
      <c r="G4" s="555"/>
      <c r="H4" s="555"/>
      <c r="I4" s="306"/>
      <c r="J4" s="306"/>
    </row>
    <row r="5" spans="1:10" x14ac:dyDescent="0.2">
      <c r="B5" s="246"/>
      <c r="C5" s="246"/>
      <c r="D5" s="545" t="s">
        <v>499</v>
      </c>
      <c r="E5" s="561" t="s">
        <v>498</v>
      </c>
      <c r="F5" s="558">
        <v>0.25</v>
      </c>
    </row>
    <row r="6" spans="1:10" x14ac:dyDescent="0.2">
      <c r="B6" s="246"/>
      <c r="C6" s="246"/>
      <c r="D6" s="546" t="s">
        <v>493</v>
      </c>
      <c r="E6" s="554">
        <v>0</v>
      </c>
      <c r="F6" s="201">
        <v>1</v>
      </c>
    </row>
    <row r="7" spans="1:10" ht="18.75" thickBot="1" x14ac:dyDescent="0.3">
      <c r="B7" s="246"/>
      <c r="C7" t="s">
        <v>202</v>
      </c>
      <c r="D7" s="548" t="s">
        <v>494</v>
      </c>
      <c r="E7" s="555"/>
      <c r="F7" s="555"/>
    </row>
    <row r="8" spans="1:10" ht="16.5" thickBot="1" x14ac:dyDescent="0.3">
      <c r="B8" s="246"/>
      <c r="C8" s="246"/>
      <c r="D8" s="549" t="s">
        <v>481</v>
      </c>
      <c r="E8" s="550" t="s">
        <v>226</v>
      </c>
      <c r="F8" s="549" t="s">
        <v>482</v>
      </c>
      <c r="G8" s="550" t="s">
        <v>227</v>
      </c>
      <c r="H8" s="549" t="s">
        <v>228</v>
      </c>
    </row>
    <row r="9" spans="1:10" ht="15.75" x14ac:dyDescent="0.25">
      <c r="B9" s="258" t="s">
        <v>230</v>
      </c>
      <c r="C9" s="259" t="s">
        <v>508</v>
      </c>
      <c r="D9" s="551" t="s">
        <v>225</v>
      </c>
      <c r="E9" s="552" t="s">
        <v>225</v>
      </c>
      <c r="F9" s="552" t="s">
        <v>225</v>
      </c>
      <c r="G9" s="552" t="s">
        <v>225</v>
      </c>
      <c r="H9" s="552" t="s">
        <v>225</v>
      </c>
    </row>
    <row r="10" spans="1:10" ht="15.75" x14ac:dyDescent="0.25">
      <c r="B10" s="251" t="s">
        <v>458</v>
      </c>
      <c r="C10" s="253">
        <v>1.29</v>
      </c>
      <c r="D10" s="563">
        <v>4.1448771340000006</v>
      </c>
      <c r="E10" s="563">
        <v>4.6466371339999997</v>
      </c>
      <c r="F10" s="563">
        <v>5.1656771340000001</v>
      </c>
      <c r="G10" s="563">
        <v>6.5258771339999999</v>
      </c>
      <c r="H10" s="562">
        <v>10.169877134</v>
      </c>
    </row>
    <row r="11" spans="1:10" ht="15.75" x14ac:dyDescent="0.25">
      <c r="B11" s="251" t="s">
        <v>483</v>
      </c>
      <c r="C11" s="253">
        <v>43118</v>
      </c>
      <c r="D11" s="563">
        <v>3.0614750200000005</v>
      </c>
      <c r="E11" s="563">
        <v>3.5632350200000005</v>
      </c>
      <c r="F11" s="564">
        <v>4.0822750200000009</v>
      </c>
      <c r="G11" s="563">
        <v>5.4424750200000007</v>
      </c>
      <c r="H11" s="562">
        <v>9.08647502</v>
      </c>
    </row>
    <row r="12" spans="1:10" ht="15.75" x14ac:dyDescent="0.25">
      <c r="B12" s="251" t="s">
        <v>484</v>
      </c>
      <c r="C12" s="253">
        <v>1.3</v>
      </c>
      <c r="D12" s="563">
        <v>3.6230788000000005</v>
      </c>
      <c r="E12" s="563">
        <v>4.1287284124031007</v>
      </c>
      <c r="F12" s="563">
        <v>4.6517919782945745</v>
      </c>
      <c r="G12" s="563">
        <v>6.0225361643410853</v>
      </c>
      <c r="H12" s="562">
        <v>9.6947842263565889</v>
      </c>
    </row>
    <row r="13" spans="1:10" ht="15.75" x14ac:dyDescent="0.25">
      <c r="B13" s="251" t="s">
        <v>252</v>
      </c>
      <c r="C13" s="253">
        <v>1.25</v>
      </c>
      <c r="D13" s="563">
        <v>3.01044</v>
      </c>
      <c r="E13" s="563">
        <v>3.5004400000000002</v>
      </c>
      <c r="F13" s="563">
        <v>4.0073150000000002</v>
      </c>
      <c r="G13" s="563">
        <v>5.3356353125000009</v>
      </c>
      <c r="H13" s="562"/>
    </row>
    <row r="14" spans="1:10" ht="15.75" x14ac:dyDescent="0.25">
      <c r="B14" s="251" t="s">
        <v>214</v>
      </c>
      <c r="C14" s="253">
        <v>1.28</v>
      </c>
      <c r="D14" s="563">
        <v>2.9311635200000001</v>
      </c>
      <c r="E14" s="563">
        <v>3.4290339075968994</v>
      </c>
      <c r="F14" s="563">
        <v>3.9440503417054265</v>
      </c>
      <c r="G14" s="563">
        <v>3.9440503417054265</v>
      </c>
      <c r="H14" s="562"/>
    </row>
    <row r="15" spans="1:10" ht="15.75" x14ac:dyDescent="0.25">
      <c r="B15" s="251" t="s">
        <v>488</v>
      </c>
      <c r="C15" s="253">
        <v>1.1399999999999999</v>
      </c>
      <c r="D15" s="563">
        <v>2.2639821399999991</v>
      </c>
      <c r="E15" s="563">
        <v>2.707397953953488</v>
      </c>
      <c r="F15" s="563">
        <v>3.1660844655813944</v>
      </c>
      <c r="G15" s="563">
        <v>4.3681216748837199</v>
      </c>
      <c r="H15" s="562"/>
    </row>
    <row r="16" spans="1:10" ht="15.75" x14ac:dyDescent="0.25">
      <c r="B16" s="251" t="s">
        <v>413</v>
      </c>
      <c r="C16" s="253">
        <v>1.3</v>
      </c>
      <c r="D16" s="563">
        <v>3.5197938000000004</v>
      </c>
      <c r="E16" s="563">
        <v>4.0254434124031011</v>
      </c>
      <c r="F16" s="563">
        <v>4.548506978294574</v>
      </c>
      <c r="G16" s="563">
        <v>5.9192511643410857</v>
      </c>
      <c r="H16" s="562">
        <v>9.5914992263565892</v>
      </c>
    </row>
    <row r="17" spans="2:8" ht="15.75" x14ac:dyDescent="0.25">
      <c r="B17" s="252" t="s">
        <v>485</v>
      </c>
      <c r="C17" s="254">
        <v>1.8</v>
      </c>
      <c r="D17" s="563"/>
      <c r="E17" s="563"/>
      <c r="F17" s="563">
        <v>196.5</v>
      </c>
      <c r="G17" s="563">
        <v>17.7135888</v>
      </c>
      <c r="H17" s="562">
        <v>21.357588799999998</v>
      </c>
    </row>
    <row r="18" spans="2:8" ht="15.75" x14ac:dyDescent="0.25">
      <c r="B18" s="252" t="s">
        <v>407</v>
      </c>
      <c r="C18" s="254">
        <v>1.21</v>
      </c>
      <c r="D18" s="563"/>
      <c r="E18" s="563">
        <v>5.5963725199999992</v>
      </c>
      <c r="F18" s="563"/>
      <c r="G18" s="563">
        <v>7.4756125199999994</v>
      </c>
      <c r="H18" s="562">
        <v>11.119612519999999</v>
      </c>
    </row>
    <row r="19" spans="2:8" ht="15.75" x14ac:dyDescent="0.25">
      <c r="B19" s="252" t="s">
        <v>487</v>
      </c>
      <c r="C19" s="254">
        <v>1.28</v>
      </c>
      <c r="D19" s="563"/>
      <c r="E19" s="563">
        <v>10.367708800000001</v>
      </c>
      <c r="F19" s="563">
        <v>130.19999999999999</v>
      </c>
      <c r="G19" s="563">
        <v>12.2469488</v>
      </c>
      <c r="H19" s="562">
        <v>15.890948799999999</v>
      </c>
    </row>
    <row r="20" spans="2:8" ht="15.75" x14ac:dyDescent="0.25">
      <c r="B20" s="252" t="s">
        <v>113</v>
      </c>
      <c r="C20" s="254">
        <v>1.23</v>
      </c>
      <c r="D20" s="563"/>
      <c r="E20" s="563"/>
      <c r="F20" s="563">
        <v>22.3</v>
      </c>
      <c r="G20" s="563">
        <v>12.09417904</v>
      </c>
      <c r="H20" s="562">
        <v>15.738179039999999</v>
      </c>
    </row>
    <row r="21" spans="2:8" ht="15.75" x14ac:dyDescent="0.25">
      <c r="B21" s="252" t="s">
        <v>262</v>
      </c>
      <c r="C21" s="254">
        <v>1.0900000000000001</v>
      </c>
      <c r="D21" s="563"/>
      <c r="E21" s="563">
        <v>2.3136438519379845</v>
      </c>
      <c r="F21" s="563">
        <v>646</v>
      </c>
      <c r="G21" s="563">
        <v>3.9015288131782948</v>
      </c>
      <c r="H21" s="562"/>
    </row>
    <row r="22" spans="2:8" ht="15.75" x14ac:dyDescent="0.25">
      <c r="B22" s="252" t="s">
        <v>213</v>
      </c>
      <c r="C22" s="254">
        <v>1.1599999999999999</v>
      </c>
      <c r="D22" s="563">
        <v>1.3404232</v>
      </c>
      <c r="E22" s="563">
        <v>1.79161823875969</v>
      </c>
      <c r="F22" s="563">
        <v>2.5</v>
      </c>
      <c r="G22" s="563">
        <v>3.4814774635658909</v>
      </c>
      <c r="H22" s="562"/>
    </row>
    <row r="23" spans="2:8" ht="15.75" x14ac:dyDescent="0.25">
      <c r="B23" s="252" t="s">
        <v>241</v>
      </c>
      <c r="C23" s="254">
        <v>1.43</v>
      </c>
      <c r="D23" s="563">
        <v>4.1604379599999994</v>
      </c>
      <c r="E23" s="563">
        <v>4.6621979600000003</v>
      </c>
      <c r="F23" s="563">
        <v>2.5</v>
      </c>
      <c r="G23" s="563">
        <v>6.9062686051612898</v>
      </c>
      <c r="H23" s="562">
        <v>11.108623443870966</v>
      </c>
    </row>
    <row r="24" spans="2:8" ht="15.75" x14ac:dyDescent="0.25">
      <c r="B24" s="252" t="s">
        <v>318</v>
      </c>
      <c r="C24" s="254">
        <v>1.32</v>
      </c>
      <c r="D24" s="563">
        <v>5.5853344000000007</v>
      </c>
      <c r="E24" s="563">
        <v>5.4270944000000005</v>
      </c>
      <c r="F24" s="563"/>
      <c r="G24" s="563">
        <v>7.9663344000000009</v>
      </c>
      <c r="H24" s="562">
        <v>11.610334399999999</v>
      </c>
    </row>
    <row r="25" spans="2:8" ht="15.75" x14ac:dyDescent="0.25">
      <c r="B25" s="252" t="s">
        <v>251</v>
      </c>
      <c r="C25" s="254">
        <v>1.39</v>
      </c>
      <c r="D25" s="563">
        <v>3.2444408600000005</v>
      </c>
      <c r="E25" s="563">
        <v>3.7462008600000005</v>
      </c>
      <c r="F25" s="563"/>
      <c r="G25" s="563">
        <v>5.6254408600000003</v>
      </c>
      <c r="H25" s="562">
        <v>9.2694408600000013</v>
      </c>
    </row>
    <row r="26" spans="2:8" ht="15.75" x14ac:dyDescent="0.25">
      <c r="B26" s="252" t="s">
        <v>459</v>
      </c>
      <c r="C26" s="254">
        <v>1.28</v>
      </c>
      <c r="D26" s="563">
        <v>2.279312</v>
      </c>
      <c r="E26" s="563">
        <v>2.7771823875968993</v>
      </c>
      <c r="F26" s="563">
        <v>3.2921988217054263</v>
      </c>
      <c r="G26" s="563">
        <v>5.0805070600000004</v>
      </c>
      <c r="H26" s="562">
        <v>8.257606573643411</v>
      </c>
    </row>
    <row r="27" spans="2:8" ht="15.75" x14ac:dyDescent="0.25">
      <c r="B27" s="543" t="s">
        <v>486</v>
      </c>
      <c r="C27" s="254">
        <v>1.21</v>
      </c>
      <c r="D27" s="563"/>
      <c r="E27" s="563">
        <v>3.2012670600000002</v>
      </c>
      <c r="F27" s="563">
        <v>3.7203070600000006</v>
      </c>
      <c r="G27" s="563">
        <v>5.0805070600000004</v>
      </c>
      <c r="H27" s="562">
        <v>8.7245070599999988</v>
      </c>
    </row>
    <row r="28" spans="2:8" ht="15.75" x14ac:dyDescent="0.25">
      <c r="B28" s="543" t="s">
        <v>501</v>
      </c>
      <c r="C28" s="254">
        <v>1.18</v>
      </c>
      <c r="D28" s="547"/>
      <c r="E28" s="562">
        <v>3.3581086</v>
      </c>
      <c r="F28" s="562">
        <v>3.8771486000000008</v>
      </c>
      <c r="G28" s="562">
        <v>5.2373485999999998</v>
      </c>
      <c r="H28" s="562">
        <v>8.881348599999999</v>
      </c>
    </row>
    <row r="29" spans="2:8" ht="15.75" x14ac:dyDescent="0.25">
      <c r="B29" s="252" t="s">
        <v>438</v>
      </c>
      <c r="C29" s="254">
        <v>1.31</v>
      </c>
      <c r="D29" s="563">
        <v>2.4806382399999998</v>
      </c>
      <c r="E29" s="563">
        <v>2.9551709531782948</v>
      </c>
      <c r="F29" s="563">
        <v>3.4460459919379844</v>
      </c>
      <c r="G29" s="563">
        <v>4.7324366896124035</v>
      </c>
      <c r="H29" s="562"/>
    </row>
    <row r="30" spans="2:8" ht="15.75" x14ac:dyDescent="0.25">
      <c r="B30" s="251" t="s">
        <v>489</v>
      </c>
      <c r="C30" s="253">
        <v>1.1399999999999999</v>
      </c>
      <c r="D30" s="563">
        <v>2.1769647999999995</v>
      </c>
      <c r="E30" s="563">
        <v>2.6203806139534884</v>
      </c>
      <c r="F30" s="563">
        <v>3.0790671255813948</v>
      </c>
      <c r="G30" s="563">
        <v>4.2811043348837208</v>
      </c>
      <c r="H30" s="562"/>
    </row>
    <row r="31" spans="2:8" ht="15.75" x14ac:dyDescent="0.25">
      <c r="B31" s="252" t="s">
        <v>490</v>
      </c>
      <c r="C31" s="254">
        <v>1.21</v>
      </c>
      <c r="D31" s="563">
        <v>2.1145338305000001</v>
      </c>
      <c r="E31" s="563">
        <v>2.5851769312751935</v>
      </c>
      <c r="F31" s="563">
        <v>3.0720284041434112</v>
      </c>
      <c r="G31" s="563">
        <v>4.3478749157713175</v>
      </c>
      <c r="H31" s="562"/>
    </row>
    <row r="32" spans="2:8" ht="15.75" x14ac:dyDescent="0.25">
      <c r="B32" s="252" t="s">
        <v>402</v>
      </c>
      <c r="C32" s="254">
        <v>1.25</v>
      </c>
      <c r="D32" s="563">
        <v>3.4878900000000006</v>
      </c>
      <c r="E32" s="563">
        <v>3.9740915503875973</v>
      </c>
      <c r="F32" s="563">
        <v>4.4770372868217061</v>
      </c>
      <c r="G32" s="563">
        <v>5.7950605426356594</v>
      </c>
      <c r="H32" s="562">
        <v>17.531208727999999</v>
      </c>
    </row>
    <row r="33" spans="2:8" ht="15.75" x14ac:dyDescent="0.25">
      <c r="B33" s="252" t="s">
        <v>263</v>
      </c>
      <c r="C33" s="255">
        <v>1.29</v>
      </c>
      <c r="D33" s="563">
        <v>11.506208728000001</v>
      </c>
      <c r="E33" s="563">
        <v>12.007968728000002</v>
      </c>
      <c r="F33" s="563">
        <v>12.527008728</v>
      </c>
      <c r="G33" s="563">
        <v>13.887208728000001</v>
      </c>
      <c r="H33" s="562">
        <v>17.531208727999999</v>
      </c>
    </row>
    <row r="34" spans="2:8" ht="15.75" x14ac:dyDescent="0.25">
      <c r="B34" s="252" t="s">
        <v>223</v>
      </c>
      <c r="C34" s="255">
        <v>1.27</v>
      </c>
      <c r="D34" s="563">
        <v>3.6867401420000001</v>
      </c>
      <c r="E34" s="563">
        <v>4.5492494595968997</v>
      </c>
      <c r="F34" s="563">
        <v>4.6917137854108528</v>
      </c>
      <c r="G34" s="563">
        <v>6.0308254133178298</v>
      </c>
      <c r="H34" s="562">
        <v>12.113178294573641</v>
      </c>
    </row>
    <row r="35" spans="2:8" ht="15.75" x14ac:dyDescent="0.25">
      <c r="B35" s="252" t="s">
        <v>224</v>
      </c>
      <c r="C35" s="255">
        <v>1.28</v>
      </c>
      <c r="D35" s="563">
        <v>1.19</v>
      </c>
      <c r="E35" s="563">
        <v>4.5492494595968997</v>
      </c>
      <c r="F35" s="563">
        <v>5.0642658937054268</v>
      </c>
      <c r="G35" s="563">
        <v>6.4139217076589148</v>
      </c>
      <c r="H35" s="562"/>
    </row>
    <row r="36" spans="2:8" ht="15.75" x14ac:dyDescent="0.25">
      <c r="B36" s="252" t="s">
        <v>473</v>
      </c>
      <c r="C36" s="255">
        <v>1.18</v>
      </c>
      <c r="D36" s="563">
        <v>3.4262347920000007</v>
      </c>
      <c r="E36" s="563">
        <v>3.8852090555658925</v>
      </c>
      <c r="F36" s="563">
        <v>5.604203784248063</v>
      </c>
      <c r="G36" s="563">
        <v>5.604203784248063</v>
      </c>
      <c r="H36" s="562">
        <v>8.9374751020775189</v>
      </c>
    </row>
    <row r="37" spans="2:8" ht="15.75" x14ac:dyDescent="0.25">
      <c r="B37" s="252" t="s">
        <v>269</v>
      </c>
      <c r="C37" s="255">
        <v>1.28</v>
      </c>
      <c r="D37" s="563">
        <v>3.5350442240000008</v>
      </c>
      <c r="E37" s="563">
        <v>4.0329146115969001</v>
      </c>
      <c r="F37" s="563">
        <v>4.5479310457054272</v>
      </c>
      <c r="G37" s="563">
        <v>5.897586859658916</v>
      </c>
      <c r="H37" s="562">
        <v>9.5133387976434118</v>
      </c>
    </row>
    <row r="38" spans="2:8" ht="15.75" x14ac:dyDescent="0.25">
      <c r="B38" s="252" t="s">
        <v>186</v>
      </c>
      <c r="C38" s="255">
        <v>1.28</v>
      </c>
      <c r="D38" s="563">
        <v>3.8394786559999994</v>
      </c>
      <c r="E38" s="563">
        <v>4.3412386559999998</v>
      </c>
      <c r="F38" s="563">
        <v>4.8602786559999993</v>
      </c>
      <c r="G38" s="547">
        <v>6.2204786560000001</v>
      </c>
      <c r="H38" s="547"/>
    </row>
    <row r="39" spans="2:8" ht="15.75" x14ac:dyDescent="0.25">
      <c r="B39" s="252"/>
      <c r="C39" s="256"/>
      <c r="D39" s="461"/>
      <c r="E39" s="461"/>
      <c r="F39" s="461"/>
    </row>
    <row r="40" spans="2:8" ht="15.75" x14ac:dyDescent="0.25">
      <c r="B40" s="252"/>
      <c r="C40" s="256"/>
      <c r="D40" s="461"/>
      <c r="E40" s="461"/>
      <c r="F40" s="46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40" zoomScale="78" zoomScaleNormal="78" workbookViewId="0">
      <selection activeCell="E63" sqref="E63"/>
    </sheetView>
  </sheetViews>
  <sheetFormatPr defaultColWidth="11.42578125" defaultRowHeight="12.75" x14ac:dyDescent="0.2"/>
  <cols>
    <col min="1" max="1" width="4.28515625" customWidth="1"/>
    <col min="2" max="3" width="13.85546875" customWidth="1"/>
    <col min="4" max="4" width="14.28515625" customWidth="1"/>
    <col min="5" max="5" width="15.140625" customWidth="1"/>
    <col min="6" max="6" width="17.5703125" customWidth="1"/>
    <col min="7" max="7" width="12.85546875" customWidth="1"/>
    <col min="8" max="8" width="18.42578125" customWidth="1"/>
    <col min="9" max="9" width="7.42578125" customWidth="1"/>
    <col min="10" max="10" width="16" customWidth="1"/>
    <col min="11" max="13" width="11.42578125" customWidth="1"/>
    <col min="14" max="14" width="30.7109375" customWidth="1"/>
    <col min="15" max="15" width="11.85546875" customWidth="1"/>
    <col min="16" max="16" width="9.28515625" customWidth="1"/>
    <col min="17" max="17" width="11.140625" customWidth="1"/>
  </cols>
  <sheetData>
    <row r="1" spans="1:18" hidden="1" x14ac:dyDescent="0.2">
      <c r="A1" t="s">
        <v>507</v>
      </c>
    </row>
    <row r="2" spans="1:18" hidden="1" x14ac:dyDescent="0.2"/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9.5" customHeight="1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497" t="s">
        <v>115</v>
      </c>
      <c r="I7" s="66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7.25" customHeight="1" x14ac:dyDescent="0.25">
      <c r="A8" s="1"/>
      <c r="B8" s="3"/>
      <c r="C8" s="10"/>
      <c r="D8" s="10"/>
      <c r="E8" s="4"/>
      <c r="F8" s="4"/>
      <c r="G8" s="24"/>
      <c r="H8" s="501" t="s">
        <v>248</v>
      </c>
      <c r="I8" s="664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261</v>
      </c>
      <c r="D9" s="9"/>
      <c r="E9" s="9"/>
      <c r="F9" s="9"/>
      <c r="G9" s="666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8" customHeight="1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669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499"/>
      <c r="E11" s="4"/>
      <c r="F11" s="4"/>
      <c r="G11" s="1"/>
      <c r="H11" s="3" t="s">
        <v>47</v>
      </c>
      <c r="I11" s="64" t="s">
        <v>91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ht="13.5" thickBo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ht="6.75" customHeight="1" thickBot="1" x14ac:dyDescent="0.25">
      <c r="A13" s="1"/>
      <c r="B13" s="1"/>
      <c r="C13" s="1"/>
      <c r="D13" s="14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E14" s="1"/>
      <c r="F14" s="101" t="s">
        <v>103</v>
      </c>
      <c r="G14" s="1"/>
      <c r="H14" s="29" t="s">
        <v>72</v>
      </c>
      <c r="I14" s="1"/>
      <c r="J14" s="1"/>
      <c r="K14" s="103"/>
      <c r="L14" s="671" t="s">
        <v>116</v>
      </c>
      <c r="M14" s="672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500" t="s">
        <v>67</v>
      </c>
      <c r="M15" s="500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101" t="s">
        <v>21</v>
      </c>
      <c r="F16" s="3" t="s">
        <v>48</v>
      </c>
      <c r="G16" s="101" t="s">
        <v>124</v>
      </c>
      <c r="H16" s="16" t="s">
        <v>137</v>
      </c>
      <c r="I16" s="101" t="s">
        <v>21</v>
      </c>
      <c r="J16" s="16"/>
      <c r="K16" s="498" t="s">
        <v>121</v>
      </c>
      <c r="L16" s="118">
        <v>1000</v>
      </c>
      <c r="M16" s="116">
        <f>L16*D35</f>
        <v>1290</v>
      </c>
      <c r="N16" s="671"/>
      <c r="O16" s="672"/>
      <c r="P16" s="500" t="s">
        <v>153</v>
      </c>
      <c r="Q16" s="500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101">
        <f>F17/10</f>
        <v>19.130000000000003</v>
      </c>
      <c r="F17" s="614">
        <v>191.3</v>
      </c>
      <c r="G17" s="114" t="s">
        <v>125</v>
      </c>
      <c r="H17" s="156">
        <f>'Base Preços MP'!G10</f>
        <v>0.01</v>
      </c>
      <c r="I17" s="114">
        <f>E20*20/100+E26*7/100</f>
        <v>4.899999999999999E-3</v>
      </c>
      <c r="J17" s="151">
        <f>F17*H17</f>
        <v>1.9130000000000003</v>
      </c>
      <c r="K17" s="111"/>
      <c r="L17" s="676" t="str">
        <f t="shared" ref="L17:L30" si="0">B17</f>
        <v>Agua</v>
      </c>
      <c r="M17" s="677"/>
      <c r="N17" s="678"/>
      <c r="O17" s="117">
        <f>F17*M16/1000</f>
        <v>246.77700000000002</v>
      </c>
      <c r="P17" s="109">
        <v>7.0724400000000003</v>
      </c>
      <c r="Q17" s="94" t="s">
        <v>125</v>
      </c>
      <c r="R17" s="103"/>
      <c r="U17" s="144"/>
      <c r="V17" s="146"/>
    </row>
    <row r="18" spans="1:22" x14ac:dyDescent="0.2">
      <c r="A18" s="1"/>
      <c r="B18" s="682" t="s">
        <v>562</v>
      </c>
      <c r="C18" s="680"/>
      <c r="D18" s="681"/>
      <c r="E18" s="101">
        <f t="shared" ref="E18:E30" si="1">F18/10</f>
        <v>2.83</v>
      </c>
      <c r="F18" s="83">
        <v>28.3</v>
      </c>
      <c r="G18" s="114" t="s">
        <v>69</v>
      </c>
      <c r="H18" s="157">
        <f>'Base Preços MP'!G46</f>
        <v>1.7</v>
      </c>
      <c r="I18" s="114">
        <f>E19*52/100</f>
        <v>0.3276</v>
      </c>
      <c r="J18" s="151">
        <f t="shared" ref="J18:J30" si="2">F18*H18</f>
        <v>48.11</v>
      </c>
      <c r="K18" s="111">
        <f t="shared" ref="K18:K27" si="3">I18*1.34*10</f>
        <v>4.3898400000000004</v>
      </c>
      <c r="L18" s="676" t="str">
        <f t="shared" si="0"/>
        <v>ureia</v>
      </c>
      <c r="M18" s="677"/>
      <c r="N18" s="678"/>
      <c r="O18" s="117">
        <f>F18*M16/1000</f>
        <v>36.506999999999998</v>
      </c>
      <c r="P18" s="109">
        <v>1.7885999999999997</v>
      </c>
      <c r="Q18" s="94" t="s">
        <v>69</v>
      </c>
      <c r="R18" s="103"/>
      <c r="U18" s="144"/>
      <c r="V18" s="146"/>
    </row>
    <row r="19" spans="1:22" x14ac:dyDescent="0.2">
      <c r="A19" s="1"/>
      <c r="B19" s="682" t="s">
        <v>242</v>
      </c>
      <c r="C19" s="680"/>
      <c r="D19" s="681"/>
      <c r="E19" s="101">
        <f t="shared" si="1"/>
        <v>0.63</v>
      </c>
      <c r="F19" s="83">
        <v>6.3</v>
      </c>
      <c r="G19" s="114" t="s">
        <v>110</v>
      </c>
      <c r="H19" s="157">
        <f>'Base Preços MP'!G15</f>
        <v>4.95</v>
      </c>
      <c r="I19" s="114">
        <f>E18*75.5/100+E25*60/100</f>
        <v>2.18465</v>
      </c>
      <c r="J19" s="151">
        <f t="shared" si="2"/>
        <v>31.184999999999999</v>
      </c>
      <c r="K19" s="111">
        <f t="shared" si="3"/>
        <v>29.274310000000003</v>
      </c>
      <c r="L19" s="676" t="str">
        <f t="shared" si="0"/>
        <v>Acido Fosforico</v>
      </c>
      <c r="M19" s="677"/>
      <c r="N19" s="678"/>
      <c r="O19" s="117">
        <f>F19*M16/1000</f>
        <v>8.1270000000000007</v>
      </c>
      <c r="P19" s="109">
        <v>5.9720309999999994</v>
      </c>
      <c r="Q19" s="94" t="s">
        <v>110</v>
      </c>
      <c r="R19" s="103"/>
      <c r="U19" s="144"/>
      <c r="V19" s="146"/>
    </row>
    <row r="20" spans="1:22" x14ac:dyDescent="0.2">
      <c r="A20" s="1"/>
      <c r="B20" s="682" t="s">
        <v>596</v>
      </c>
      <c r="C20" s="680"/>
      <c r="D20" s="681"/>
      <c r="E20" s="101">
        <f t="shared" si="1"/>
        <v>0</v>
      </c>
      <c r="F20" s="83"/>
      <c r="G20" s="114" t="s">
        <v>106</v>
      </c>
      <c r="H20" s="158">
        <f>'Base Preços MP'!G66</f>
        <v>3.05</v>
      </c>
      <c r="I20" s="114">
        <f>E27*27/100</f>
        <v>0</v>
      </c>
      <c r="J20" s="151">
        <f t="shared" si="2"/>
        <v>0</v>
      </c>
      <c r="K20" s="111">
        <f t="shared" si="3"/>
        <v>0</v>
      </c>
      <c r="L20" s="676" t="str">
        <f t="shared" si="0"/>
        <v>NITRATO MAG YARA</v>
      </c>
      <c r="M20" s="677"/>
      <c r="N20" s="678"/>
      <c r="O20" s="117">
        <f>F20*M16/1000</f>
        <v>0</v>
      </c>
      <c r="P20" s="109">
        <v>4.3502400000000003</v>
      </c>
      <c r="Q20" s="94" t="s">
        <v>106</v>
      </c>
      <c r="R20" s="103"/>
      <c r="U20" s="144"/>
      <c r="V20" s="146"/>
    </row>
    <row r="21" spans="1:22" x14ac:dyDescent="0.2">
      <c r="A21" s="1"/>
      <c r="B21" s="683" t="s">
        <v>601</v>
      </c>
      <c r="C21" s="684"/>
      <c r="D21" s="685"/>
      <c r="E21" s="101">
        <f t="shared" si="1"/>
        <v>1.6199999999999999</v>
      </c>
      <c r="F21" s="139">
        <v>16.2</v>
      </c>
      <c r="G21" s="114" t="s">
        <v>107</v>
      </c>
      <c r="H21" s="158">
        <f>'Base Preços MP'!G30</f>
        <v>2.1</v>
      </c>
      <c r="I21" s="114">
        <f>E26*7/100</f>
        <v>4.899999999999999E-3</v>
      </c>
      <c r="J21" s="151">
        <f t="shared" si="2"/>
        <v>34.020000000000003</v>
      </c>
      <c r="K21" s="111">
        <f t="shared" si="3"/>
        <v>6.5659999999999996E-2</v>
      </c>
      <c r="L21" s="686" t="str">
        <f t="shared" si="0"/>
        <v>CLORETO FERRICO LIQUIDO</v>
      </c>
      <c r="M21" s="686"/>
      <c r="N21" s="686"/>
      <c r="O21" s="117">
        <f>F21*M16/1000</f>
        <v>20.898</v>
      </c>
      <c r="P21" s="161">
        <v>0.41426000000000002</v>
      </c>
      <c r="Q21" s="94" t="s">
        <v>107</v>
      </c>
      <c r="R21" s="103"/>
      <c r="U21" s="144"/>
      <c r="V21" s="146"/>
    </row>
    <row r="22" spans="1:22" x14ac:dyDescent="0.2">
      <c r="A22" s="1"/>
      <c r="B22" s="682" t="s">
        <v>602</v>
      </c>
      <c r="C22" s="680"/>
      <c r="D22" s="681"/>
      <c r="E22" s="101">
        <f t="shared" si="1"/>
        <v>10.690000000000001</v>
      </c>
      <c r="F22" s="139">
        <v>106.9</v>
      </c>
      <c r="G22" s="114" t="s">
        <v>108</v>
      </c>
      <c r="H22" s="158">
        <f>'Base Preços MP'!G32</f>
        <v>1.84</v>
      </c>
      <c r="I22" s="114">
        <f>E21*14/100</f>
        <v>0.2268</v>
      </c>
      <c r="J22" s="151">
        <f t="shared" si="2"/>
        <v>196.69600000000003</v>
      </c>
      <c r="K22" s="111">
        <f t="shared" si="3"/>
        <v>3.03912</v>
      </c>
      <c r="L22" s="687" t="str">
        <f t="shared" si="0"/>
        <v>CLORETO DE CALCIO SOLIDO</v>
      </c>
      <c r="M22" s="687"/>
      <c r="N22" s="687"/>
      <c r="O22" s="117">
        <f>F22*M16/1000</f>
        <v>137.90100000000001</v>
      </c>
      <c r="P22" s="161">
        <v>2.198E-2</v>
      </c>
      <c r="Q22" s="94" t="s">
        <v>108</v>
      </c>
      <c r="R22" s="103"/>
      <c r="U22" s="144"/>
      <c r="V22" s="146"/>
    </row>
    <row r="23" spans="1:22" x14ac:dyDescent="0.2">
      <c r="A23" s="1"/>
      <c r="B23" s="682" t="s">
        <v>441</v>
      </c>
      <c r="C23" s="680"/>
      <c r="D23" s="681"/>
      <c r="E23" s="101">
        <f t="shared" si="1"/>
        <v>63.95</v>
      </c>
      <c r="F23" s="83">
        <v>639.5</v>
      </c>
      <c r="G23" s="114" t="s">
        <v>109</v>
      </c>
      <c r="H23" s="158">
        <f>'Base Preços MP'!G49</f>
        <v>0.81399999999999995</v>
      </c>
      <c r="I23" s="101">
        <f>E22*21/100</f>
        <v>2.2449000000000003</v>
      </c>
      <c r="J23" s="151">
        <f t="shared" si="2"/>
        <v>520.553</v>
      </c>
      <c r="K23" s="111">
        <f t="shared" si="3"/>
        <v>30.081660000000007</v>
      </c>
      <c r="L23" s="687" t="str">
        <f t="shared" si="0"/>
        <v>MELAÇO LIQUIDO</v>
      </c>
      <c r="M23" s="687"/>
      <c r="N23" s="687"/>
      <c r="O23" s="117">
        <f>F23*M16/1000</f>
        <v>824.95500000000004</v>
      </c>
      <c r="P23" s="161">
        <v>1.4070000000000001E-2</v>
      </c>
      <c r="Q23" s="94" t="s">
        <v>109</v>
      </c>
      <c r="R23" s="103"/>
      <c r="U23" s="144"/>
      <c r="V23" s="146"/>
    </row>
    <row r="24" spans="1:22" x14ac:dyDescent="0.2">
      <c r="A24" s="1"/>
      <c r="B24" s="682" t="s">
        <v>444</v>
      </c>
      <c r="C24" s="680"/>
      <c r="D24" s="681"/>
      <c r="E24" s="101">
        <f t="shared" si="1"/>
        <v>1</v>
      </c>
      <c r="F24" s="83">
        <v>10</v>
      </c>
      <c r="G24" s="114" t="s">
        <v>111</v>
      </c>
      <c r="H24" s="158">
        <f>'Base Preços MP'!G79</f>
        <v>4.7</v>
      </c>
      <c r="I24" s="101">
        <f>E24*14/100</f>
        <v>0.14000000000000001</v>
      </c>
      <c r="J24" s="151">
        <f t="shared" si="2"/>
        <v>47</v>
      </c>
      <c r="K24" s="111">
        <f t="shared" si="3"/>
        <v>1.8760000000000001</v>
      </c>
      <c r="L24" s="687" t="str">
        <f t="shared" si="0"/>
        <v>Amino acid powder</v>
      </c>
      <c r="M24" s="687"/>
      <c r="N24" s="687"/>
      <c r="O24" s="117">
        <f>F24*M16/1000</f>
        <v>12.9</v>
      </c>
      <c r="P24" s="161">
        <v>7.4200000000000002E-2</v>
      </c>
      <c r="Q24" s="94" t="s">
        <v>111</v>
      </c>
      <c r="R24" s="103"/>
      <c r="U24" s="144"/>
      <c r="V24" s="146"/>
    </row>
    <row r="25" spans="1:22" x14ac:dyDescent="0.2">
      <c r="A25" s="1"/>
      <c r="B25" s="688" t="s">
        <v>603</v>
      </c>
      <c r="C25" s="689"/>
      <c r="D25" s="690"/>
      <c r="E25" s="101">
        <f t="shared" si="1"/>
        <v>0.08</v>
      </c>
      <c r="F25" s="83">
        <v>0.8</v>
      </c>
      <c r="G25" s="114" t="s">
        <v>112</v>
      </c>
      <c r="H25" s="158">
        <f>'Base Preços MP'!G48</f>
        <v>9.8699999999999992</v>
      </c>
      <c r="I25" s="101">
        <f>E23*13/100</f>
        <v>8.3134999999999994</v>
      </c>
      <c r="J25" s="151">
        <f t="shared" si="2"/>
        <v>7.8959999999999999</v>
      </c>
      <c r="K25" s="111">
        <f t="shared" si="3"/>
        <v>111.40090000000001</v>
      </c>
      <c r="L25" s="687" t="str">
        <f t="shared" si="0"/>
        <v>antidispersante</v>
      </c>
      <c r="M25" s="687"/>
      <c r="N25" s="687"/>
      <c r="O25" s="117">
        <f>F25*M16/1000</f>
        <v>1.032</v>
      </c>
      <c r="P25" s="161">
        <v>5.382E-2</v>
      </c>
      <c r="Q25" s="94" t="s">
        <v>112</v>
      </c>
      <c r="R25" s="103"/>
      <c r="U25" s="144"/>
      <c r="V25" s="146"/>
    </row>
    <row r="26" spans="1:22" x14ac:dyDescent="0.2">
      <c r="A26" s="1"/>
      <c r="B26" s="682" t="s">
        <v>176</v>
      </c>
      <c r="C26" s="680"/>
      <c r="D26" s="681"/>
      <c r="E26" s="101">
        <f t="shared" si="1"/>
        <v>6.9999999999999993E-2</v>
      </c>
      <c r="F26" s="83">
        <v>0.7</v>
      </c>
      <c r="G26" s="114" t="s">
        <v>105</v>
      </c>
      <c r="H26" s="159">
        <f>'Base Preços MP'!G47</f>
        <v>20</v>
      </c>
      <c r="I26" s="141">
        <f>E28*17/100</f>
        <v>0</v>
      </c>
      <c r="J26" s="151">
        <f t="shared" si="2"/>
        <v>14</v>
      </c>
      <c r="K26" s="111">
        <f t="shared" si="3"/>
        <v>0</v>
      </c>
      <c r="L26" s="687" t="str">
        <f t="shared" si="0"/>
        <v>antiespumante</v>
      </c>
      <c r="M26" s="687"/>
      <c r="N26" s="687"/>
      <c r="O26" s="117">
        <f>F26*M16/1000</f>
        <v>0.90299999999999991</v>
      </c>
      <c r="P26" s="161">
        <v>9.3500000000000024E-3</v>
      </c>
      <c r="Q26" s="94" t="s">
        <v>105</v>
      </c>
      <c r="R26" s="103"/>
      <c r="U26" s="144"/>
      <c r="V26" s="146"/>
    </row>
    <row r="27" spans="1:22" x14ac:dyDescent="0.2">
      <c r="A27" s="1"/>
      <c r="B27" s="679"/>
      <c r="C27" s="680"/>
      <c r="D27" s="681"/>
      <c r="E27" s="101">
        <f t="shared" si="1"/>
        <v>0</v>
      </c>
      <c r="F27" s="83"/>
      <c r="G27" s="114" t="s">
        <v>122</v>
      </c>
      <c r="H27" s="159">
        <f>'Base Preços MP'!G31</f>
        <v>1.06</v>
      </c>
      <c r="I27" s="141">
        <f>E29*39/100</f>
        <v>0</v>
      </c>
      <c r="J27" s="151">
        <f t="shared" si="2"/>
        <v>0</v>
      </c>
      <c r="K27" s="111">
        <f t="shared" si="3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94" t="s">
        <v>122</v>
      </c>
      <c r="R27" s="103"/>
      <c r="U27" s="144"/>
      <c r="V27" s="146"/>
    </row>
    <row r="28" spans="1:22" x14ac:dyDescent="0.2">
      <c r="A28" s="1"/>
      <c r="B28" s="679"/>
      <c r="C28" s="680"/>
      <c r="D28" s="681"/>
      <c r="E28" s="101">
        <f t="shared" si="1"/>
        <v>0</v>
      </c>
      <c r="F28" s="83"/>
      <c r="G28" s="1"/>
      <c r="H28" s="159">
        <f>'Base Preços MP'!G11</f>
        <v>3.4</v>
      </c>
      <c r="I28" s="1"/>
      <c r="J28" s="151">
        <f t="shared" si="2"/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79"/>
      <c r="C29" s="680"/>
      <c r="D29" s="681"/>
      <c r="E29" s="101">
        <f t="shared" si="1"/>
        <v>0</v>
      </c>
      <c r="F29" s="83"/>
      <c r="G29" s="1"/>
      <c r="H29" s="159">
        <f>'Base Preços MP'!G36</f>
        <v>6.5</v>
      </c>
      <c r="I29" s="1"/>
      <c r="J29" s="151">
        <f t="shared" si="2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79"/>
      <c r="C30" s="680"/>
      <c r="D30" s="681"/>
      <c r="E30" s="101">
        <f t="shared" si="1"/>
        <v>0</v>
      </c>
      <c r="F30" s="83"/>
      <c r="G30" s="1"/>
      <c r="H30" s="159">
        <f>'Base Preços MP'!G34</f>
        <v>7.75</v>
      </c>
      <c r="I30" s="1"/>
      <c r="J30" s="151">
        <f t="shared" si="2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235">
        <f>SUM(F17:F30)</f>
        <v>1000</v>
      </c>
      <c r="G31" s="103"/>
      <c r="H31" s="113"/>
      <c r="I31" s="103"/>
      <c r="J31" s="112"/>
      <c r="K31" s="103"/>
      <c r="L31" s="691" t="s">
        <v>43</v>
      </c>
      <c r="M31" s="692"/>
      <c r="N31" s="692"/>
      <c r="O31" s="193">
        <f>SUM(O17:O30)</f>
        <v>1290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1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491" t="s">
        <v>447</v>
      </c>
      <c r="M34" s="492" t="s">
        <v>448</v>
      </c>
      <c r="N34" s="491"/>
      <c r="O34" s="103"/>
      <c r="P34" s="114"/>
      <c r="Q34" s="103"/>
      <c r="R34" s="103"/>
    </row>
    <row r="35" spans="1:18" ht="15.75" thickBot="1" x14ac:dyDescent="0.3">
      <c r="A35" s="1"/>
      <c r="B35" s="3" t="s">
        <v>2</v>
      </c>
      <c r="C35" s="1"/>
      <c r="D35" s="82">
        <v>1.29</v>
      </c>
      <c r="E35" s="1"/>
      <c r="F35" s="1"/>
      <c r="G35" s="1"/>
      <c r="H35" s="17" t="s">
        <v>1</v>
      </c>
      <c r="I35" s="1"/>
      <c r="J35" s="194">
        <f>SUM(J17:J34)</f>
        <v>901.37300000000005</v>
      </c>
      <c r="K35" s="103"/>
      <c r="L35" s="493" t="s">
        <v>449</v>
      </c>
      <c r="M35" s="494">
        <v>1</v>
      </c>
      <c r="N35" s="103"/>
      <c r="O35" s="103"/>
      <c r="P35" s="114"/>
      <c r="Q35" s="103"/>
      <c r="R35" s="103"/>
    </row>
    <row r="36" spans="1:18" ht="15.75" thickBot="1" x14ac:dyDescent="0.3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493" t="s">
        <v>450</v>
      </c>
      <c r="M36" s="494">
        <v>1</v>
      </c>
      <c r="N36" s="103"/>
      <c r="O36" s="103"/>
      <c r="P36" s="114"/>
      <c r="Q36" s="103"/>
      <c r="R36" s="103"/>
    </row>
    <row r="37" spans="1:18" ht="15" x14ac:dyDescent="0.25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493" t="s">
        <v>451</v>
      </c>
      <c r="M37" s="494">
        <v>1</v>
      </c>
      <c r="N37" s="103"/>
      <c r="O37" s="103"/>
      <c r="P37" s="114"/>
      <c r="Q37" s="103"/>
      <c r="R37" s="103"/>
    </row>
    <row r="38" spans="1:18" ht="15" x14ac:dyDescent="0.25">
      <c r="A38" s="1"/>
      <c r="B38" s="23" t="s">
        <v>15</v>
      </c>
      <c r="C38" s="1"/>
      <c r="D38" s="27"/>
      <c r="E38" s="23" t="s">
        <v>77</v>
      </c>
      <c r="F38" s="101"/>
      <c r="G38" s="1"/>
      <c r="H38" s="23"/>
      <c r="I38" s="27"/>
      <c r="J38" s="29" t="s">
        <v>78</v>
      </c>
      <c r="K38" s="103"/>
      <c r="L38" s="493" t="s">
        <v>452</v>
      </c>
      <c r="M38" s="494">
        <v>3.43</v>
      </c>
      <c r="N38" s="103"/>
      <c r="O38" s="103"/>
      <c r="P38" s="114"/>
      <c r="Q38" s="103"/>
      <c r="R38" s="103"/>
    </row>
    <row r="39" spans="1:18" ht="15" x14ac:dyDescent="0.25">
      <c r="A39" s="1"/>
      <c r="B39" s="3" t="s">
        <v>10</v>
      </c>
      <c r="C39" s="1"/>
      <c r="D39" s="522"/>
      <c r="E39" s="68">
        <f>J35/J36</f>
        <v>0.90137300000000009</v>
      </c>
      <c r="F39" s="102"/>
      <c r="G39" s="3" t="s">
        <v>16</v>
      </c>
      <c r="H39" s="1"/>
      <c r="I39" s="39"/>
      <c r="J39" s="68">
        <f>E39*D35</f>
        <v>1.1627711700000001</v>
      </c>
      <c r="K39" s="103"/>
      <c r="L39" s="493" t="s">
        <v>453</v>
      </c>
      <c r="M39" s="494">
        <v>0.3</v>
      </c>
      <c r="N39" s="103"/>
      <c r="O39" s="103"/>
      <c r="P39" s="114"/>
      <c r="Q39" s="103"/>
      <c r="R39" s="103"/>
    </row>
    <row r="40" spans="1:18" ht="15" x14ac:dyDescent="0.25">
      <c r="A40" s="1"/>
      <c r="B40" s="19" t="s">
        <v>11</v>
      </c>
      <c r="C40" s="4"/>
      <c r="D40" s="522"/>
      <c r="E40" s="68">
        <v>0.1</v>
      </c>
      <c r="F40" s="16"/>
      <c r="G40" s="19" t="s">
        <v>17</v>
      </c>
      <c r="H40" s="4"/>
      <c r="I40" s="39"/>
      <c r="J40" s="68">
        <f>E40*D35</f>
        <v>0.129</v>
      </c>
      <c r="K40" s="103"/>
      <c r="L40" s="493" t="s">
        <v>445</v>
      </c>
      <c r="M40" s="494">
        <v>18</v>
      </c>
      <c r="N40" s="103"/>
      <c r="O40" s="103"/>
      <c r="P40" s="114"/>
      <c r="Q40" s="103"/>
      <c r="R40" s="103"/>
    </row>
    <row r="41" spans="1:18" ht="15" x14ac:dyDescent="0.25">
      <c r="A41" s="1"/>
      <c r="B41" s="3" t="s">
        <v>14</v>
      </c>
      <c r="C41" s="1"/>
      <c r="D41" s="400"/>
      <c r="E41" s="68"/>
      <c r="F41" s="6"/>
      <c r="G41" s="3" t="s">
        <v>18</v>
      </c>
      <c r="H41" s="1"/>
      <c r="I41" s="39"/>
      <c r="J41" s="68">
        <v>0</v>
      </c>
      <c r="K41" s="103"/>
      <c r="L41" s="493" t="s">
        <v>446</v>
      </c>
      <c r="M41" s="494">
        <v>5</v>
      </c>
      <c r="N41" s="103"/>
      <c r="O41" s="103"/>
      <c r="P41" s="114"/>
      <c r="Q41" s="103"/>
      <c r="R41" s="103"/>
    </row>
    <row r="42" spans="1:18" x14ac:dyDescent="0.2">
      <c r="A42" s="1"/>
      <c r="B42" s="3" t="s">
        <v>79</v>
      </c>
      <c r="C42" s="1"/>
      <c r="D42" s="522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14"/>
      <c r="Q42" s="103"/>
      <c r="R42" s="103"/>
    </row>
    <row r="43" spans="1:18" x14ac:dyDescent="0.2">
      <c r="A43" s="1"/>
      <c r="B43" s="3" t="s">
        <v>42</v>
      </c>
      <c r="C43" s="1"/>
      <c r="D43" s="522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495" t="s">
        <v>454</v>
      </c>
      <c r="M43" s="103"/>
      <c r="N43" s="103"/>
      <c r="O43" s="103"/>
      <c r="P43" s="114"/>
      <c r="Q43" s="103"/>
      <c r="R43" s="103"/>
    </row>
    <row r="44" spans="1:18" x14ac:dyDescent="0.2">
      <c r="A44" s="1"/>
      <c r="B44" s="3" t="s">
        <v>12</v>
      </c>
      <c r="C44" s="1"/>
      <c r="D44" s="522"/>
      <c r="E44" s="142">
        <f>E39+E40+E41+E42+E43</f>
        <v>1.0013730000000001</v>
      </c>
      <c r="F44" s="3"/>
      <c r="G44" s="3" t="s">
        <v>19</v>
      </c>
      <c r="H44" s="1"/>
      <c r="I44" s="33"/>
      <c r="J44" s="142">
        <f>J39+J40+J41+J42+J43</f>
        <v>1.2917711700000001</v>
      </c>
      <c r="K44" s="103"/>
      <c r="L44" s="103"/>
      <c r="M44" s="103"/>
      <c r="N44" s="103"/>
      <c r="O44" s="103"/>
      <c r="P44" s="114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103"/>
      <c r="M45" s="246"/>
      <c r="N45" s="246"/>
      <c r="O45" s="246"/>
      <c r="P45" s="246"/>
      <c r="Q45" s="246"/>
      <c r="R45" s="246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/>
      <c r="K46" s="103"/>
      <c r="L46" s="103"/>
      <c r="M46" s="246"/>
      <c r="N46" s="246"/>
      <c r="O46" s="246"/>
      <c r="P46" s="246"/>
      <c r="Q46" s="246"/>
      <c r="R46" s="246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103"/>
      <c r="M47" s="246"/>
      <c r="N47" s="246"/>
      <c r="O47" s="246"/>
      <c r="P47" s="246"/>
      <c r="Q47" s="246"/>
      <c r="R47" s="246"/>
    </row>
    <row r="48" spans="1:18" x14ac:dyDescent="0.2">
      <c r="A48" s="1"/>
      <c r="B48" s="22" t="s">
        <v>22</v>
      </c>
      <c r="C48" s="11"/>
      <c r="D48" s="279" t="s">
        <v>481</v>
      </c>
      <c r="E48" s="36">
        <f>'Base Preços MP'!C83/D35</f>
        <v>0</v>
      </c>
      <c r="F48" s="36">
        <v>0</v>
      </c>
      <c r="G48" s="19"/>
      <c r="H48" s="26"/>
      <c r="I48" s="75"/>
      <c r="J48" s="32"/>
      <c r="K48" s="103"/>
      <c r="L48" s="103"/>
      <c r="M48" s="246"/>
      <c r="N48" s="246"/>
      <c r="O48" s="246"/>
      <c r="P48" s="246"/>
      <c r="Q48" s="246"/>
      <c r="R48" s="246"/>
    </row>
    <row r="49" spans="1:18" x14ac:dyDescent="0.2">
      <c r="A49" s="1"/>
      <c r="B49" s="1"/>
      <c r="C49" s="1"/>
      <c r="D49" s="24" t="s">
        <v>60</v>
      </c>
      <c r="E49" s="36">
        <f>F49/1.29</f>
        <v>0.19448062015503875</v>
      </c>
      <c r="F49" s="36">
        <f>'Base Preços MP'!C85</f>
        <v>0.25087999999999999</v>
      </c>
      <c r="G49" s="4"/>
      <c r="H49" s="4"/>
      <c r="I49" s="6"/>
      <c r="J49" s="20"/>
      <c r="K49" s="103"/>
      <c r="L49" s="103"/>
      <c r="M49" s="246"/>
      <c r="N49" s="246"/>
      <c r="O49" s="246"/>
      <c r="P49" s="246"/>
      <c r="Q49" s="246"/>
      <c r="R49" s="246"/>
    </row>
    <row r="50" spans="1:18" x14ac:dyDescent="0.2">
      <c r="A50" s="1"/>
      <c r="B50" s="1"/>
      <c r="C50" s="1"/>
      <c r="D50" s="24" t="s">
        <v>82</v>
      </c>
      <c r="E50" s="36">
        <f>'Base Preços MP'!C84/D35</f>
        <v>0</v>
      </c>
      <c r="F50" s="36">
        <f>'Base Preços MP'!C84</f>
        <v>0</v>
      </c>
      <c r="G50" s="19" t="s">
        <v>86</v>
      </c>
      <c r="H50" s="4"/>
      <c r="I50" s="6"/>
      <c r="J50" s="20"/>
      <c r="K50" s="103"/>
      <c r="L50" s="103"/>
      <c r="M50" s="246"/>
      <c r="N50" s="246"/>
      <c r="O50" s="246"/>
      <c r="P50" s="246"/>
      <c r="Q50" s="246"/>
      <c r="R50" s="246"/>
    </row>
    <row r="51" spans="1:18" x14ac:dyDescent="0.2">
      <c r="A51" s="1"/>
      <c r="B51" s="1"/>
      <c r="C51" s="1"/>
      <c r="D51" s="24" t="s">
        <v>50</v>
      </c>
      <c r="E51" s="36">
        <f>F51/D35</f>
        <v>0.66852713178294565</v>
      </c>
      <c r="F51" s="36">
        <f>'Base Preços MP'!C88</f>
        <v>0.86239999999999994</v>
      </c>
      <c r="G51" s="19" t="s">
        <v>531</v>
      </c>
      <c r="H51" s="4"/>
      <c r="I51" s="6"/>
      <c r="J51" s="20"/>
      <c r="K51" s="103"/>
      <c r="L51" s="103"/>
      <c r="M51" s="246"/>
      <c r="N51" s="246"/>
      <c r="O51" s="246"/>
      <c r="P51" s="246"/>
      <c r="Q51" s="246"/>
      <c r="R51" s="246"/>
    </row>
    <row r="52" spans="1:18" x14ac:dyDescent="0.2">
      <c r="A52" s="1"/>
      <c r="B52" s="1"/>
      <c r="C52" s="5"/>
      <c r="D52" s="24" t="s">
        <v>50</v>
      </c>
      <c r="E52" s="36">
        <f>F52/1.29</f>
        <v>0.42666666666666675</v>
      </c>
      <c r="F52" s="36">
        <f>'Base Preços MP'!C89</f>
        <v>0.55040000000000011</v>
      </c>
      <c r="G52" s="19" t="s">
        <v>382</v>
      </c>
      <c r="H52" s="4"/>
      <c r="I52" s="6"/>
      <c r="J52" s="20"/>
      <c r="K52" s="103"/>
      <c r="L52" s="103"/>
      <c r="M52" s="246"/>
      <c r="N52" s="246"/>
      <c r="O52" s="246"/>
      <c r="P52" s="246"/>
      <c r="Q52" s="246"/>
      <c r="R52" s="246"/>
    </row>
    <row r="53" spans="1:18" x14ac:dyDescent="0.2">
      <c r="A53" s="1"/>
      <c r="B53" s="1"/>
      <c r="C53" s="5"/>
      <c r="D53" s="24" t="s">
        <v>59</v>
      </c>
      <c r="E53" s="36">
        <f>F53/D35</f>
        <v>1.0251937984496124</v>
      </c>
      <c r="F53" s="36">
        <f>'Base Preços MP'!C91</f>
        <v>1.3225</v>
      </c>
      <c r="G53" s="1"/>
      <c r="H53" s="1"/>
      <c r="I53" s="6"/>
      <c r="J53" s="7"/>
      <c r="K53" s="103"/>
      <c r="L53" s="103"/>
      <c r="M53" s="246"/>
      <c r="N53" s="246"/>
      <c r="O53" s="246"/>
      <c r="P53" s="246"/>
      <c r="Q53" s="246"/>
      <c r="R53" s="246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2.4903100775193798</v>
      </c>
      <c r="F54" s="36">
        <f>'Base Preços MP'!C92</f>
        <v>3.2124999999999999</v>
      </c>
      <c r="G54" s="4"/>
      <c r="H54" s="4"/>
      <c r="I54" s="6"/>
      <c r="J54" s="20"/>
      <c r="K54" s="103"/>
      <c r="L54" s="103"/>
      <c r="M54" s="246"/>
      <c r="N54" s="246"/>
      <c r="O54" s="246"/>
      <c r="P54" s="246"/>
      <c r="Q54" s="246"/>
      <c r="R54" s="246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103"/>
      <c r="M55" s="246"/>
      <c r="N55" s="246"/>
      <c r="O55" s="246"/>
      <c r="P55" s="246"/>
      <c r="Q55" s="246"/>
      <c r="R55" s="246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03"/>
      <c r="M56" s="246"/>
      <c r="N56" s="246"/>
      <c r="O56" s="246"/>
      <c r="P56" s="246"/>
      <c r="Q56" s="246"/>
      <c r="R56" s="246"/>
    </row>
    <row r="57" spans="1:18" ht="13.5" thickBot="1" x14ac:dyDescent="0.25">
      <c r="A57" s="1"/>
      <c r="B57" s="1"/>
      <c r="C57" s="55" t="s">
        <v>468</v>
      </c>
      <c r="D57" s="1"/>
      <c r="E57" s="1"/>
      <c r="F57" s="19"/>
      <c r="G57" s="4"/>
      <c r="H57" s="56"/>
      <c r="I57" s="19"/>
      <c r="J57" s="20"/>
      <c r="K57" s="103"/>
      <c r="L57" s="103"/>
      <c r="M57" s="246"/>
      <c r="N57" s="246"/>
      <c r="O57" s="246"/>
      <c r="P57" s="246"/>
      <c r="Q57" s="246"/>
      <c r="R57" s="246"/>
    </row>
    <row r="58" spans="1:18" ht="15" x14ac:dyDescent="0.25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58"/>
      <c r="H58" s="517" t="s">
        <v>469</v>
      </c>
      <c r="I58" s="420"/>
      <c r="J58" s="307" t="s">
        <v>539</v>
      </c>
      <c r="K58" s="314"/>
      <c r="L58" s="634" t="s">
        <v>566</v>
      </c>
      <c r="M58" s="636" t="s">
        <v>567</v>
      </c>
      <c r="N58" s="246"/>
      <c r="O58" s="636" t="s">
        <v>568</v>
      </c>
      <c r="P58" s="246"/>
      <c r="Q58" s="246"/>
      <c r="R58" s="246"/>
    </row>
    <row r="59" spans="1:18" x14ac:dyDescent="0.2">
      <c r="A59" s="1"/>
      <c r="B59" s="1"/>
      <c r="C59" s="425" t="s">
        <v>464</v>
      </c>
      <c r="D59" s="426">
        <f>(E44/I46)+D41</f>
        <v>1.0013730000000001</v>
      </c>
      <c r="E59" s="426">
        <f>(E44/I46)*D35+D41</f>
        <v>1.2917711700000001</v>
      </c>
      <c r="F59" s="427" t="s">
        <v>88</v>
      </c>
      <c r="G59" s="426"/>
      <c r="H59" s="518"/>
      <c r="I59" s="422"/>
      <c r="J59" s="620">
        <f>E60+0.1</f>
        <v>1.7969162870000006</v>
      </c>
      <c r="K59" s="314"/>
      <c r="L59" s="511"/>
      <c r="M59" s="246"/>
      <c r="N59" s="246"/>
      <c r="O59" s="246"/>
      <c r="P59" s="246"/>
      <c r="Q59" s="246"/>
      <c r="R59" s="246"/>
    </row>
    <row r="60" spans="1:18" x14ac:dyDescent="0.2">
      <c r="A60" s="670" t="str">
        <f>'FUEL BLACK 20% NÃO USAR'!A60:B60</f>
        <v>Contentor Incluido</v>
      </c>
      <c r="B60" s="694"/>
      <c r="C60" s="428">
        <v>1000</v>
      </c>
      <c r="D60" s="426">
        <f>(E44/I46)+D41+E49</f>
        <v>1.1958536201550389</v>
      </c>
      <c r="E60" s="621">
        <f>(D60*D35)*1.1</f>
        <v>1.6969162870000005</v>
      </c>
      <c r="F60" s="429" t="s">
        <v>89</v>
      </c>
      <c r="G60" s="426"/>
      <c r="H60" s="518"/>
      <c r="I60" s="422"/>
      <c r="J60" s="503"/>
      <c r="K60" s="314"/>
      <c r="L60" s="511"/>
      <c r="M60" s="246"/>
      <c r="N60" s="246"/>
      <c r="O60" s="246"/>
      <c r="P60" s="246"/>
      <c r="Q60" s="246"/>
      <c r="R60" s="246"/>
    </row>
    <row r="61" spans="1:18" ht="13.5" thickBot="1" x14ac:dyDescent="0.25">
      <c r="A61" s="1"/>
      <c r="B61" s="1"/>
      <c r="C61" s="425">
        <v>50</v>
      </c>
      <c r="D61" s="426"/>
      <c r="E61" s="426"/>
      <c r="F61" s="429" t="s">
        <v>90</v>
      </c>
      <c r="G61" s="426"/>
      <c r="H61" s="519"/>
      <c r="I61" s="424"/>
      <c r="J61" s="319"/>
      <c r="K61" s="314"/>
      <c r="L61" s="635">
        <f>E62+1.5</f>
        <v>3.6541711699999997</v>
      </c>
      <c r="M61" s="246"/>
      <c r="N61" s="246"/>
      <c r="O61" s="246"/>
      <c r="P61" s="246"/>
      <c r="Q61" s="246"/>
      <c r="R61" s="246"/>
    </row>
    <row r="62" spans="1:18" x14ac:dyDescent="0.2">
      <c r="A62" s="1"/>
      <c r="B62" s="1"/>
      <c r="C62" s="425" t="s">
        <v>554</v>
      </c>
      <c r="D62" s="426">
        <f>(E44/I46)+E51</f>
        <v>1.6699001317829456</v>
      </c>
      <c r="E62" s="426">
        <f>D62*D35</f>
        <v>2.1541711699999997</v>
      </c>
      <c r="F62" s="429" t="s">
        <v>553</v>
      </c>
      <c r="G62" s="571"/>
      <c r="H62" s="628">
        <f>E62/0.92+0.5*D35</f>
        <v>2.9864904021739127</v>
      </c>
      <c r="I62" s="189"/>
      <c r="J62" s="16"/>
      <c r="K62" s="103"/>
      <c r="L62" s="511"/>
      <c r="M62" s="246"/>
      <c r="N62" s="246"/>
      <c r="O62" s="246"/>
      <c r="P62" s="246"/>
      <c r="Q62" s="246"/>
      <c r="R62" s="246"/>
    </row>
    <row r="63" spans="1:18" ht="13.5" thickBot="1" x14ac:dyDescent="0.25">
      <c r="A63" s="1"/>
      <c r="B63" s="1"/>
      <c r="C63" s="425" t="s">
        <v>465</v>
      </c>
      <c r="D63" s="426">
        <f>(E44/I46)+E52+D41</f>
        <v>1.4280396666666668</v>
      </c>
      <c r="E63" s="426">
        <f>D35*D63</f>
        <v>1.8421711700000003</v>
      </c>
      <c r="F63" s="429" t="s">
        <v>371</v>
      </c>
      <c r="G63" s="571"/>
      <c r="H63" s="629">
        <f>E63/0.92+0.5*D35</f>
        <v>2.6473599673913046</v>
      </c>
      <c r="I63" s="189"/>
      <c r="J63" s="16"/>
      <c r="K63" s="103"/>
      <c r="L63" s="511"/>
      <c r="M63" s="246"/>
      <c r="N63" s="246"/>
      <c r="O63" s="246"/>
      <c r="P63" s="246"/>
      <c r="Q63" s="246"/>
      <c r="R63" s="246"/>
    </row>
    <row r="64" spans="1:18" x14ac:dyDescent="0.2">
      <c r="A64" s="1"/>
      <c r="B64" s="1"/>
      <c r="C64" s="425" t="s">
        <v>467</v>
      </c>
      <c r="D64" s="426">
        <f>(E44/I46)+D41+E53</f>
        <v>2.0265667984496125</v>
      </c>
      <c r="E64" s="426">
        <f>(E44/I46)*D35+D41*D35+F53</f>
        <v>2.6142711700000003</v>
      </c>
      <c r="F64" s="429" t="s">
        <v>94</v>
      </c>
      <c r="G64" s="427"/>
      <c r="H64" s="630"/>
      <c r="I64" s="630"/>
      <c r="J64" s="16"/>
      <c r="K64" s="103"/>
      <c r="L64" s="635">
        <f>E64+1.5</f>
        <v>4.1142711700000003</v>
      </c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425" t="s">
        <v>466</v>
      </c>
      <c r="D65" s="426">
        <f>E44/I46+D41+E54</f>
        <v>3.4916830775193799</v>
      </c>
      <c r="E65" s="426">
        <f>D65*D35</f>
        <v>4.50427117</v>
      </c>
      <c r="F65" s="429" t="s">
        <v>95</v>
      </c>
      <c r="G65" s="427"/>
      <c r="H65" s="630"/>
      <c r="I65" s="630"/>
      <c r="J65" s="282"/>
      <c r="K65" s="103"/>
      <c r="L65" s="635">
        <f>E65+1.5</f>
        <v>6.00427117</v>
      </c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88"/>
      <c r="E66" s="86"/>
      <c r="F66" s="86"/>
      <c r="G66" s="86"/>
      <c r="H66" s="504"/>
      <c r="I66" s="282"/>
      <c r="J66" s="1"/>
      <c r="K66" s="103"/>
      <c r="L66" s="314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89"/>
      <c r="D67" s="89"/>
      <c r="E67" s="90"/>
      <c r="F67" s="90"/>
      <c r="G67" s="90"/>
      <c r="H67" s="57"/>
      <c r="I67" s="282"/>
      <c r="J67" s="1"/>
      <c r="K67" s="103"/>
      <c r="L67" s="495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496"/>
      <c r="F68" s="92"/>
      <c r="G68" s="496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496"/>
      <c r="F69" s="92"/>
      <c r="G69" s="496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43">
    <mergeCell ref="A68:B68"/>
    <mergeCell ref="A69:B69"/>
    <mergeCell ref="A60:B60"/>
    <mergeCell ref="A66:B66"/>
    <mergeCell ref="A67:B67"/>
    <mergeCell ref="B31:D31"/>
    <mergeCell ref="L31:N31"/>
    <mergeCell ref="B28:D28"/>
    <mergeCell ref="L28:N28"/>
    <mergeCell ref="B29:D29"/>
    <mergeCell ref="L29:N29"/>
    <mergeCell ref="B30:D30"/>
    <mergeCell ref="L30:N30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2" workbookViewId="0">
      <selection activeCell="C27" sqref="C27"/>
    </sheetView>
  </sheetViews>
  <sheetFormatPr defaultRowHeight="12.75" x14ac:dyDescent="0.2"/>
  <cols>
    <col min="2" max="2" width="24.5703125" customWidth="1"/>
    <col min="3" max="3" width="8" customWidth="1"/>
    <col min="4" max="4" width="12.42578125" customWidth="1"/>
    <col min="5" max="5" width="18.85546875" customWidth="1"/>
    <col min="6" max="6" width="11.5703125" customWidth="1"/>
  </cols>
  <sheetData>
    <row r="1" spans="1:10" x14ac:dyDescent="0.2">
      <c r="A1" t="s">
        <v>507</v>
      </c>
      <c r="B1" s="246"/>
      <c r="C1" s="246"/>
    </row>
    <row r="2" spans="1:10" x14ac:dyDescent="0.2">
      <c r="B2" s="246"/>
      <c r="C2" s="246"/>
      <c r="E2" s="560"/>
      <c r="F2" s="557"/>
      <c r="G2" s="306"/>
      <c r="H2" s="306"/>
      <c r="I2" s="306"/>
      <c r="J2" s="306"/>
    </row>
    <row r="3" spans="1:10" x14ac:dyDescent="0.2">
      <c r="B3" s="246"/>
      <c r="C3" s="246"/>
      <c r="E3" s="556" t="s">
        <v>496</v>
      </c>
      <c r="F3" s="553">
        <v>40</v>
      </c>
      <c r="G3" s="306"/>
      <c r="H3" s="306"/>
      <c r="I3" s="306"/>
      <c r="J3" s="306"/>
    </row>
    <row r="4" spans="1:10" ht="18" x14ac:dyDescent="0.25">
      <c r="B4" s="246"/>
      <c r="C4" s="246"/>
      <c r="D4" s="544" t="s">
        <v>492</v>
      </c>
      <c r="E4" s="561" t="s">
        <v>497</v>
      </c>
      <c r="F4" s="559">
        <v>0.6</v>
      </c>
      <c r="G4" s="555"/>
      <c r="H4" s="555"/>
      <c r="I4" s="306"/>
      <c r="J4" s="306"/>
    </row>
    <row r="5" spans="1:10" x14ac:dyDescent="0.2">
      <c r="B5" s="246"/>
      <c r="C5" s="246"/>
      <c r="D5" s="545" t="s">
        <v>499</v>
      </c>
      <c r="E5" s="561" t="s">
        <v>498</v>
      </c>
      <c r="F5" s="558">
        <v>0.25</v>
      </c>
    </row>
    <row r="6" spans="1:10" x14ac:dyDescent="0.2">
      <c r="B6" s="246"/>
      <c r="C6" s="246"/>
      <c r="D6" s="546" t="s">
        <v>493</v>
      </c>
      <c r="E6" s="554">
        <v>0</v>
      </c>
      <c r="F6" s="201">
        <v>1</v>
      </c>
    </row>
    <row r="7" spans="1:10" ht="18.75" thickBot="1" x14ac:dyDescent="0.3">
      <c r="B7" s="246"/>
      <c r="C7" t="s">
        <v>202</v>
      </c>
      <c r="D7" s="548" t="s">
        <v>494</v>
      </c>
      <c r="E7" s="555"/>
      <c r="F7" s="555"/>
    </row>
    <row r="8" spans="1:10" ht="16.5" thickBot="1" x14ac:dyDescent="0.3">
      <c r="B8" s="246"/>
      <c r="C8" s="246"/>
      <c r="D8" s="549" t="s">
        <v>481</v>
      </c>
      <c r="E8" s="550" t="s">
        <v>226</v>
      </c>
      <c r="F8" s="549" t="s">
        <v>482</v>
      </c>
      <c r="G8" s="550" t="s">
        <v>227</v>
      </c>
      <c r="H8" s="549" t="s">
        <v>228</v>
      </c>
    </row>
    <row r="9" spans="1:10" ht="15.75" x14ac:dyDescent="0.25">
      <c r="B9" s="258" t="s">
        <v>230</v>
      </c>
      <c r="C9" s="259" t="s">
        <v>508</v>
      </c>
      <c r="D9" s="551" t="s">
        <v>225</v>
      </c>
      <c r="E9" s="552" t="s">
        <v>225</v>
      </c>
      <c r="F9" s="552" t="s">
        <v>225</v>
      </c>
      <c r="G9" s="552" t="s">
        <v>225</v>
      </c>
      <c r="H9" s="552" t="s">
        <v>225</v>
      </c>
    </row>
    <row r="10" spans="1:10" ht="15.75" x14ac:dyDescent="0.25">
      <c r="B10" s="251" t="s">
        <v>458</v>
      </c>
      <c r="C10" s="253">
        <v>1.29</v>
      </c>
      <c r="D10" s="563">
        <v>3.4957309450000005</v>
      </c>
      <c r="E10" s="563">
        <v>3.9138642783333331</v>
      </c>
      <c r="F10" s="563">
        <v>4.3463976116666672</v>
      </c>
      <c r="G10" s="563">
        <v>5.4798976116666669</v>
      </c>
      <c r="H10" s="562">
        <v>8.516564278333334</v>
      </c>
    </row>
    <row r="11" spans="1:10" ht="15.75" x14ac:dyDescent="0.25">
      <c r="B11" s="251" t="s">
        <v>483</v>
      </c>
      <c r="C11" s="253">
        <v>43118</v>
      </c>
      <c r="D11" s="563">
        <v>2.5928958500000006</v>
      </c>
      <c r="E11" s="563">
        <v>3.011029183333334</v>
      </c>
      <c r="F11" s="564">
        <v>3.4435625166666677</v>
      </c>
      <c r="G11" s="563">
        <v>4.5770625166666674</v>
      </c>
      <c r="H11" s="562">
        <v>7.6137291833333336</v>
      </c>
    </row>
    <row r="12" spans="1:10" ht="15.75" x14ac:dyDescent="0.25">
      <c r="B12" s="251" t="s">
        <v>484</v>
      </c>
      <c r="C12" s="253">
        <v>1.3</v>
      </c>
      <c r="D12" s="563">
        <v>3.0608990000000005</v>
      </c>
      <c r="E12" s="563">
        <v>3.4822736770025839</v>
      </c>
      <c r="F12" s="563">
        <v>3.9181599819121455</v>
      </c>
      <c r="G12" s="563">
        <v>5.0604468036175714</v>
      </c>
      <c r="H12" s="562">
        <v>8.1206535219638241</v>
      </c>
    </row>
    <row r="13" spans="1:10" ht="15.75" x14ac:dyDescent="0.25">
      <c r="B13" s="251" t="s">
        <v>252</v>
      </c>
      <c r="C13" s="253">
        <v>1.25</v>
      </c>
      <c r="D13" s="563">
        <v>2.5503666666666667</v>
      </c>
      <c r="E13" s="563">
        <v>2.9587000000000003</v>
      </c>
      <c r="F13" s="563">
        <v>3.3810958333333336</v>
      </c>
      <c r="G13" s="563">
        <v>4.4880294270833341</v>
      </c>
      <c r="H13" s="562"/>
    </row>
    <row r="14" spans="1:10" ht="15.75" x14ac:dyDescent="0.25">
      <c r="B14" s="251" t="s">
        <v>214</v>
      </c>
      <c r="C14" s="253">
        <v>1.28</v>
      </c>
      <c r="D14" s="563">
        <v>2.4843029333333337</v>
      </c>
      <c r="E14" s="563">
        <v>2.8991949229974163</v>
      </c>
      <c r="F14" s="563">
        <v>3.328375284754522</v>
      </c>
      <c r="G14" s="563">
        <v>3.328375284754522</v>
      </c>
      <c r="H14" s="562"/>
    </row>
    <row r="15" spans="1:10" ht="15.75" x14ac:dyDescent="0.25">
      <c r="B15" s="251" t="s">
        <v>488</v>
      </c>
      <c r="C15" s="253">
        <v>1.1399999999999999</v>
      </c>
      <c r="D15" s="563">
        <v>1.9283184499999992</v>
      </c>
      <c r="E15" s="563">
        <v>2.2978316282945737</v>
      </c>
      <c r="F15" s="563">
        <v>2.6800703879844954</v>
      </c>
      <c r="G15" s="563">
        <v>3.6817680624031</v>
      </c>
      <c r="H15" s="562"/>
    </row>
    <row r="16" spans="1:10" ht="15.75" x14ac:dyDescent="0.25">
      <c r="B16" s="251" t="s">
        <v>413</v>
      </c>
      <c r="C16" s="253">
        <v>1.3</v>
      </c>
      <c r="D16" s="563">
        <v>2.9748281666666672</v>
      </c>
      <c r="E16" s="563">
        <v>3.3962028436692515</v>
      </c>
      <c r="F16" s="563">
        <v>3.8320891485788118</v>
      </c>
      <c r="G16" s="563">
        <v>4.9743759702842381</v>
      </c>
      <c r="H16" s="562">
        <v>8.0345826886304916</v>
      </c>
    </row>
    <row r="17" spans="2:8" ht="15.75" x14ac:dyDescent="0.25">
      <c r="B17" s="252" t="s">
        <v>485</v>
      </c>
      <c r="C17" s="254">
        <v>1.8</v>
      </c>
      <c r="D17" s="563"/>
      <c r="E17" s="563"/>
      <c r="F17" s="563">
        <v>196.5</v>
      </c>
      <c r="G17" s="563">
        <v>14.802990666666668</v>
      </c>
      <c r="H17" s="562">
        <v>17.839657333333331</v>
      </c>
    </row>
    <row r="18" spans="2:8" ht="15.75" x14ac:dyDescent="0.25">
      <c r="B18" s="252" t="s">
        <v>407</v>
      </c>
      <c r="C18" s="254">
        <v>1.21</v>
      </c>
      <c r="D18" s="563"/>
      <c r="E18" s="563">
        <v>4.7053104333333327</v>
      </c>
      <c r="F18" s="563"/>
      <c r="G18" s="563">
        <v>6.271343766666666</v>
      </c>
      <c r="H18" s="562">
        <v>9.3080104333333331</v>
      </c>
    </row>
    <row r="19" spans="2:8" ht="15.75" x14ac:dyDescent="0.25">
      <c r="B19" s="252" t="s">
        <v>487</v>
      </c>
      <c r="C19" s="254">
        <v>1.28</v>
      </c>
      <c r="D19" s="563"/>
      <c r="E19" s="563">
        <v>8.6814240000000016</v>
      </c>
      <c r="F19" s="563">
        <v>130.19999999999999</v>
      </c>
      <c r="G19" s="563">
        <v>10.247457333333333</v>
      </c>
      <c r="H19" s="562">
        <v>13.284123999999998</v>
      </c>
    </row>
    <row r="20" spans="2:8" ht="15.75" x14ac:dyDescent="0.25">
      <c r="B20" s="252" t="s">
        <v>113</v>
      </c>
      <c r="C20" s="254">
        <v>1.23</v>
      </c>
      <c r="D20" s="563"/>
      <c r="E20" s="563"/>
      <c r="F20" s="563">
        <v>22.3</v>
      </c>
      <c r="G20" s="563">
        <v>10.1201492</v>
      </c>
      <c r="H20" s="562">
        <v>13.156815866666665</v>
      </c>
    </row>
    <row r="21" spans="2:8" ht="15.75" x14ac:dyDescent="0.25">
      <c r="B21" s="252" t="s">
        <v>262</v>
      </c>
      <c r="C21" s="254">
        <v>1.0900000000000001</v>
      </c>
      <c r="D21" s="563"/>
      <c r="E21" s="563">
        <v>1.9697032099483205</v>
      </c>
      <c r="F21" s="563">
        <v>646</v>
      </c>
      <c r="G21" s="563">
        <v>3.2929406776485792</v>
      </c>
      <c r="H21" s="562"/>
    </row>
    <row r="22" spans="2:8" ht="15.75" x14ac:dyDescent="0.25">
      <c r="B22" s="252" t="s">
        <v>213</v>
      </c>
      <c r="C22" s="254">
        <v>1.1599999999999999</v>
      </c>
      <c r="D22" s="563">
        <v>1.1586860000000001</v>
      </c>
      <c r="E22" s="563">
        <v>1.534681865633075</v>
      </c>
      <c r="F22" s="563">
        <v>2.5</v>
      </c>
      <c r="G22" s="563">
        <v>2.9428978863049093</v>
      </c>
      <c r="H22" s="562"/>
    </row>
    <row r="23" spans="2:8" ht="15.75" x14ac:dyDescent="0.25">
      <c r="B23" s="252" t="s">
        <v>241</v>
      </c>
      <c r="C23" s="254">
        <v>1.43</v>
      </c>
      <c r="D23" s="563">
        <v>3.5086982999999998</v>
      </c>
      <c r="E23" s="563">
        <v>3.9268316333333337</v>
      </c>
      <c r="F23" s="563">
        <v>2.5</v>
      </c>
      <c r="G23" s="563">
        <v>5.796890504301075</v>
      </c>
      <c r="H23" s="562">
        <v>9.2988528698924728</v>
      </c>
    </row>
    <row r="24" spans="2:8" ht="15.75" x14ac:dyDescent="0.25">
      <c r="B24" s="252" t="s">
        <v>318</v>
      </c>
      <c r="C24" s="254">
        <v>1.32</v>
      </c>
      <c r="D24" s="563">
        <v>4.6961120000000012</v>
      </c>
      <c r="E24" s="563">
        <v>4.5642453333333339</v>
      </c>
      <c r="F24" s="563"/>
      <c r="G24" s="563">
        <v>6.680278666666668</v>
      </c>
      <c r="H24" s="562">
        <v>9.7169453333333333</v>
      </c>
    </row>
    <row r="25" spans="2:8" ht="15.75" x14ac:dyDescent="0.25">
      <c r="B25" s="252" t="s">
        <v>251</v>
      </c>
      <c r="C25" s="254">
        <v>1.39</v>
      </c>
      <c r="D25" s="563">
        <v>2.7453673833333339</v>
      </c>
      <c r="E25" s="563">
        <v>3.1635007166666673</v>
      </c>
      <c r="F25" s="563"/>
      <c r="G25" s="563">
        <v>4.7295340500000007</v>
      </c>
      <c r="H25" s="562">
        <v>7.7662007166666678</v>
      </c>
    </row>
    <row r="26" spans="2:8" ht="15.75" x14ac:dyDescent="0.25">
      <c r="B26" s="252" t="s">
        <v>459</v>
      </c>
      <c r="C26" s="254">
        <v>1.28</v>
      </c>
      <c r="D26" s="563">
        <v>1.9410933333333333</v>
      </c>
      <c r="E26" s="563">
        <v>2.3559853229974164</v>
      </c>
      <c r="F26" s="563">
        <v>2.7851656847545221</v>
      </c>
      <c r="G26" s="563">
        <v>4.2754225500000009</v>
      </c>
      <c r="H26" s="562">
        <v>6.9230054780361758</v>
      </c>
    </row>
    <row r="27" spans="2:8" ht="15.75" x14ac:dyDescent="0.25">
      <c r="B27" s="543" t="s">
        <v>486</v>
      </c>
      <c r="C27" s="254">
        <v>1.21</v>
      </c>
      <c r="D27" s="563"/>
      <c r="E27" s="563">
        <v>2.7093892166666671</v>
      </c>
      <c r="F27" s="563">
        <v>3.1419225500000008</v>
      </c>
      <c r="G27" s="563">
        <v>4.2754225500000009</v>
      </c>
      <c r="H27" s="562">
        <v>7.3120892166666662</v>
      </c>
    </row>
    <row r="28" spans="2:8" ht="15.75" x14ac:dyDescent="0.25">
      <c r="B28" s="543" t="s">
        <v>501</v>
      </c>
      <c r="C28" s="254">
        <v>1.18</v>
      </c>
      <c r="D28" s="547"/>
      <c r="E28" s="562">
        <v>2.8400905000000001</v>
      </c>
      <c r="F28" s="562">
        <v>3.2726238333333342</v>
      </c>
      <c r="G28" s="562">
        <v>4.406123833333333</v>
      </c>
      <c r="H28" s="562">
        <v>7.4427904999999992</v>
      </c>
    </row>
    <row r="29" spans="2:8" ht="15.75" x14ac:dyDescent="0.25">
      <c r="B29" s="252" t="s">
        <v>438</v>
      </c>
      <c r="C29" s="254">
        <v>1.31</v>
      </c>
      <c r="D29" s="563">
        <v>2.1088651999999999</v>
      </c>
      <c r="E29" s="563">
        <v>2.5043091276485789</v>
      </c>
      <c r="F29" s="563">
        <v>2.9133716599483206</v>
      </c>
      <c r="G29" s="563">
        <v>3.9853639080103362</v>
      </c>
      <c r="H29" s="562"/>
    </row>
    <row r="30" spans="2:8" ht="15.75" x14ac:dyDescent="0.25">
      <c r="B30" s="251" t="s">
        <v>489</v>
      </c>
      <c r="C30" s="253">
        <v>1.1399999999999999</v>
      </c>
      <c r="D30" s="563">
        <v>1.8558039999999998</v>
      </c>
      <c r="E30" s="563">
        <v>2.2253171782945738</v>
      </c>
      <c r="F30" s="563">
        <v>2.6075559379844959</v>
      </c>
      <c r="G30" s="563">
        <v>3.6092536124031009</v>
      </c>
      <c r="H30" s="562"/>
    </row>
    <row r="31" spans="2:8" ht="15.75" x14ac:dyDescent="0.25">
      <c r="B31" s="252" t="s">
        <v>490</v>
      </c>
      <c r="C31" s="254">
        <v>1.21</v>
      </c>
      <c r="D31" s="563">
        <v>1.8037781920833333</v>
      </c>
      <c r="E31" s="563">
        <v>2.1959807760626613</v>
      </c>
      <c r="F31" s="563">
        <v>2.6016903367861759</v>
      </c>
      <c r="G31" s="563">
        <v>3.6648957631427646</v>
      </c>
      <c r="H31" s="562"/>
    </row>
    <row r="32" spans="2:8" ht="15.75" x14ac:dyDescent="0.25">
      <c r="B32" s="252" t="s">
        <v>402</v>
      </c>
      <c r="C32" s="254">
        <v>1.25</v>
      </c>
      <c r="D32" s="563">
        <v>2.9482416666666671</v>
      </c>
      <c r="E32" s="563">
        <v>3.3534096253229979</v>
      </c>
      <c r="F32" s="563">
        <v>3.772531072351422</v>
      </c>
      <c r="G32" s="563">
        <v>4.870883785529716</v>
      </c>
      <c r="H32" s="562">
        <v>14.651007273333333</v>
      </c>
    </row>
    <row r="33" spans="2:8" ht="15.75" x14ac:dyDescent="0.25">
      <c r="B33" s="252" t="s">
        <v>263</v>
      </c>
      <c r="C33" s="255">
        <v>1.29</v>
      </c>
      <c r="D33" s="563">
        <v>9.6301739400000006</v>
      </c>
      <c r="E33" s="563">
        <v>10.048307273333336</v>
      </c>
      <c r="F33" s="563">
        <v>10.480840606666668</v>
      </c>
      <c r="G33" s="563">
        <v>11.614340606666667</v>
      </c>
      <c r="H33" s="562">
        <v>14.651007273333333</v>
      </c>
    </row>
    <row r="34" spans="2:8" ht="15.75" x14ac:dyDescent="0.25">
      <c r="B34" s="252" t="s">
        <v>223</v>
      </c>
      <c r="C34" s="255">
        <v>1.27</v>
      </c>
      <c r="D34" s="563">
        <v>3.1139501183333334</v>
      </c>
      <c r="E34" s="563">
        <v>3.8327078829974166</v>
      </c>
      <c r="F34" s="563">
        <v>3.9514281545090442</v>
      </c>
      <c r="G34" s="563">
        <v>5.0673545110981921</v>
      </c>
      <c r="H34" s="562">
        <v>10.135981912144702</v>
      </c>
    </row>
    <row r="35" spans="2:8" ht="15.75" x14ac:dyDescent="0.25">
      <c r="B35" s="252" t="s">
        <v>224</v>
      </c>
      <c r="C35" s="255">
        <v>1.28</v>
      </c>
      <c r="D35" s="563">
        <v>1.19</v>
      </c>
      <c r="E35" s="563">
        <v>3.8327078829974166</v>
      </c>
      <c r="F35" s="563">
        <v>4.2618882447545223</v>
      </c>
      <c r="G35" s="563">
        <v>5.3866014230490959</v>
      </c>
      <c r="H35" s="562"/>
    </row>
    <row r="36" spans="2:8" ht="15.75" x14ac:dyDescent="0.25">
      <c r="B36" s="252" t="s">
        <v>473</v>
      </c>
      <c r="C36" s="255">
        <v>1.18</v>
      </c>
      <c r="D36" s="563">
        <v>2.8968623266666675</v>
      </c>
      <c r="E36" s="563">
        <v>3.2793408796382439</v>
      </c>
      <c r="F36" s="563">
        <v>4.711836486873386</v>
      </c>
      <c r="G36" s="563">
        <v>4.711836486873386</v>
      </c>
      <c r="H36" s="562">
        <v>7.4895625850645997</v>
      </c>
    </row>
    <row r="37" spans="2:8" ht="15.75" x14ac:dyDescent="0.25">
      <c r="B37" s="252" t="s">
        <v>269</v>
      </c>
      <c r="C37" s="255">
        <v>1.28</v>
      </c>
      <c r="D37" s="563">
        <v>2.9875368533333342</v>
      </c>
      <c r="E37" s="563">
        <v>3.4024288429974168</v>
      </c>
      <c r="F37" s="563">
        <v>3.8316092047545229</v>
      </c>
      <c r="G37" s="563">
        <v>4.9563223830490966</v>
      </c>
      <c r="H37" s="562">
        <v>7.9694489980361771</v>
      </c>
    </row>
    <row r="38" spans="2:8" ht="15.75" x14ac:dyDescent="0.25">
      <c r="B38" s="252" t="s">
        <v>186</v>
      </c>
      <c r="C38" s="255">
        <v>1.28</v>
      </c>
      <c r="D38" s="563">
        <v>3.2412322133333329</v>
      </c>
      <c r="E38" s="563">
        <v>3.6593655466666668</v>
      </c>
      <c r="F38" s="563">
        <v>4.0918988799999996</v>
      </c>
      <c r="G38" s="547">
        <v>5.2253988800000002</v>
      </c>
      <c r="H38" s="547"/>
    </row>
    <row r="39" spans="2:8" ht="15.75" x14ac:dyDescent="0.25">
      <c r="B39" s="252"/>
      <c r="C39" s="256"/>
      <c r="D39" s="461"/>
      <c r="E39" s="461"/>
      <c r="F39" s="461"/>
    </row>
    <row r="40" spans="2:8" ht="15.75" x14ac:dyDescent="0.25">
      <c r="B40" s="252"/>
      <c r="C40" s="256"/>
      <c r="D40" s="461"/>
      <c r="E40" s="461"/>
      <c r="F40" s="46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04"/>
  <sheetViews>
    <sheetView topLeftCell="A79" zoomScale="90" zoomScaleNormal="90" workbookViewId="0">
      <selection activeCell="I83" sqref="A83:I92"/>
    </sheetView>
  </sheetViews>
  <sheetFormatPr defaultColWidth="11.42578125" defaultRowHeight="12.75" x14ac:dyDescent="0.2"/>
  <cols>
    <col min="1" max="1" width="30.42578125" customWidth="1"/>
    <col min="2" max="2" width="33.28515625" customWidth="1"/>
    <col min="3" max="4" width="11.42578125" customWidth="1"/>
    <col min="5" max="5" width="12.85546875" customWidth="1"/>
    <col min="6" max="6" width="11.42578125" customWidth="1"/>
    <col min="7" max="7" width="15.7109375" customWidth="1"/>
  </cols>
  <sheetData>
    <row r="1" spans="1:13" x14ac:dyDescent="0.2">
      <c r="A1" s="1" t="s">
        <v>507</v>
      </c>
      <c r="B1" s="1"/>
      <c r="C1" s="1"/>
      <c r="D1" s="1"/>
      <c r="E1" s="1"/>
      <c r="F1" s="1"/>
      <c r="G1" s="1"/>
    </row>
    <row r="2" spans="1:13" x14ac:dyDescent="0.2">
      <c r="A2" s="1"/>
      <c r="B2" s="1"/>
      <c r="C2" s="1"/>
      <c r="D2" s="1"/>
      <c r="E2" s="1"/>
      <c r="F2" s="1"/>
      <c r="G2" s="1"/>
    </row>
    <row r="3" spans="1:13" ht="18" x14ac:dyDescent="0.25">
      <c r="A3" s="1"/>
      <c r="B3" s="84" t="s">
        <v>171</v>
      </c>
      <c r="C3" s="3"/>
      <c r="D3" s="3"/>
      <c r="E3" s="1"/>
      <c r="F3" s="1"/>
      <c r="G3" s="1"/>
    </row>
    <row r="4" spans="1:13" x14ac:dyDescent="0.2">
      <c r="A4" s="1"/>
      <c r="B4" s="1"/>
      <c r="C4" s="1"/>
      <c r="D4" s="1"/>
      <c r="E4" s="1"/>
      <c r="F4" s="1"/>
      <c r="G4" s="1"/>
      <c r="H4" s="273" t="s">
        <v>427</v>
      </c>
    </row>
    <row r="5" spans="1:13" ht="15" customHeight="1" x14ac:dyDescent="0.25">
      <c r="A5" s="2" t="s">
        <v>140</v>
      </c>
      <c r="B5" s="3"/>
      <c r="C5" s="3"/>
      <c r="D5" s="3"/>
      <c r="E5" s="2"/>
      <c r="F5" s="3"/>
      <c r="G5" s="3"/>
      <c r="I5" s="42"/>
    </row>
    <row r="6" spans="1:13" x14ac:dyDescent="0.2">
      <c r="A6" s="1" t="s">
        <v>372</v>
      </c>
      <c r="B6" s="1"/>
      <c r="C6" s="1"/>
      <c r="D6" s="1"/>
      <c r="E6" s="1"/>
      <c r="F6" s="1"/>
      <c r="G6" s="1"/>
    </row>
    <row r="7" spans="1:13" ht="13.5" thickBot="1" x14ac:dyDescent="0.25">
      <c r="A7" s="1"/>
      <c r="B7" s="1"/>
      <c r="C7" s="1" t="s">
        <v>202</v>
      </c>
      <c r="D7" s="1"/>
      <c r="E7" s="1"/>
      <c r="F7" s="1"/>
      <c r="G7" s="1"/>
    </row>
    <row r="8" spans="1:13" x14ac:dyDescent="0.2">
      <c r="A8" s="44"/>
      <c r="B8" s="45"/>
      <c r="C8" s="46"/>
      <c r="D8" s="45"/>
      <c r="E8" s="45"/>
      <c r="F8" s="45"/>
      <c r="G8" s="46" t="s">
        <v>24</v>
      </c>
    </row>
    <row r="9" spans="1:13" ht="13.5" thickBot="1" x14ac:dyDescent="0.25">
      <c r="A9" s="47"/>
      <c r="B9" s="48" t="s">
        <v>32</v>
      </c>
      <c r="C9" s="49" t="s">
        <v>612</v>
      </c>
      <c r="D9" s="50" t="s">
        <v>33</v>
      </c>
      <c r="E9" s="50"/>
      <c r="F9" s="50"/>
      <c r="G9" s="54" t="s">
        <v>148</v>
      </c>
      <c r="H9" s="95" t="s">
        <v>101</v>
      </c>
      <c r="I9" s="96" t="s">
        <v>180</v>
      </c>
      <c r="J9">
        <v>2013</v>
      </c>
    </row>
    <row r="10" spans="1:13" x14ac:dyDescent="0.2">
      <c r="A10" s="212" t="s">
        <v>49</v>
      </c>
      <c r="B10" s="38"/>
      <c r="C10" s="81"/>
      <c r="D10" s="37"/>
      <c r="E10" s="37"/>
      <c r="F10" s="37"/>
      <c r="G10" s="19">
        <v>0.01</v>
      </c>
      <c r="I10">
        <v>13</v>
      </c>
    </row>
    <row r="11" spans="1:13" x14ac:dyDescent="0.2">
      <c r="A11" s="77" t="s">
        <v>30</v>
      </c>
      <c r="B11" s="322" t="s">
        <v>141</v>
      </c>
      <c r="C11" s="577"/>
      <c r="D11" s="733"/>
      <c r="E11" s="734"/>
      <c r="F11" s="735"/>
      <c r="G11" s="97">
        <v>3.4</v>
      </c>
      <c r="H11" s="190">
        <v>6</v>
      </c>
      <c r="I11" s="127">
        <v>2018</v>
      </c>
    </row>
    <row r="12" spans="1:13" x14ac:dyDescent="0.2">
      <c r="A12" s="79" t="s">
        <v>41</v>
      </c>
      <c r="B12" s="321" t="s">
        <v>321</v>
      </c>
      <c r="C12" s="418" t="s">
        <v>350</v>
      </c>
      <c r="D12" s="736"/>
      <c r="E12" s="737"/>
      <c r="F12" s="738"/>
      <c r="G12" s="656">
        <v>5.0999999999999996</v>
      </c>
      <c r="H12" s="128">
        <v>6</v>
      </c>
      <c r="I12" s="127">
        <v>18</v>
      </c>
      <c r="J12" s="203" t="s">
        <v>435</v>
      </c>
      <c r="K12" t="s">
        <v>437</v>
      </c>
    </row>
    <row r="13" spans="1:13" x14ac:dyDescent="0.2">
      <c r="A13" s="77" t="s">
        <v>27</v>
      </c>
      <c r="B13" s="152" t="s">
        <v>35</v>
      </c>
      <c r="C13" s="78" t="s">
        <v>350</v>
      </c>
      <c r="D13" s="736"/>
      <c r="E13" s="737"/>
      <c r="F13" s="738"/>
      <c r="G13" s="98">
        <v>7.1</v>
      </c>
      <c r="H13" s="119">
        <v>7</v>
      </c>
      <c r="I13" s="129">
        <v>2016</v>
      </c>
      <c r="J13" t="s">
        <v>352</v>
      </c>
      <c r="L13">
        <v>5.6</v>
      </c>
      <c r="M13" s="278">
        <v>41760</v>
      </c>
    </row>
    <row r="14" spans="1:13" x14ac:dyDescent="0.2">
      <c r="A14" s="77" t="s">
        <v>474</v>
      </c>
      <c r="B14" s="152" t="s">
        <v>475</v>
      </c>
      <c r="C14" s="78" t="s">
        <v>232</v>
      </c>
      <c r="D14" s="649"/>
      <c r="E14" s="650"/>
      <c r="F14" s="651"/>
      <c r="G14" s="97">
        <v>3.15</v>
      </c>
      <c r="H14" s="119">
        <v>11</v>
      </c>
      <c r="I14" s="129">
        <v>2017</v>
      </c>
      <c r="M14" s="278"/>
    </row>
    <row r="15" spans="1:13" x14ac:dyDescent="0.2">
      <c r="A15" s="80" t="s">
        <v>83</v>
      </c>
      <c r="B15" s="323" t="s">
        <v>368</v>
      </c>
      <c r="C15" s="277" t="s">
        <v>350</v>
      </c>
      <c r="D15" s="649"/>
      <c r="E15" s="650"/>
      <c r="F15" s="651"/>
      <c r="G15" s="99">
        <v>4.95</v>
      </c>
      <c r="H15" s="128">
        <v>6</v>
      </c>
      <c r="I15" s="127">
        <v>2018</v>
      </c>
      <c r="J15" s="203" t="s">
        <v>435</v>
      </c>
      <c r="K15" s="203" t="s">
        <v>436</v>
      </c>
    </row>
    <row r="16" spans="1:13" x14ac:dyDescent="0.2">
      <c r="A16" s="324" t="s">
        <v>367</v>
      </c>
      <c r="B16" s="323"/>
      <c r="C16" s="277" t="s">
        <v>182</v>
      </c>
      <c r="D16" s="649"/>
      <c r="E16" s="650"/>
      <c r="F16" s="651"/>
      <c r="G16" s="99">
        <v>5.77</v>
      </c>
      <c r="H16" s="488">
        <v>7</v>
      </c>
      <c r="I16" s="127">
        <v>2018</v>
      </c>
      <c r="J16" s="273"/>
      <c r="K16" s="203"/>
    </row>
    <row r="17" spans="1:12" x14ac:dyDescent="0.2">
      <c r="A17" s="324" t="s">
        <v>191</v>
      </c>
      <c r="B17" s="323" t="s">
        <v>192</v>
      </c>
      <c r="C17" s="277" t="s">
        <v>350</v>
      </c>
      <c r="D17" s="649"/>
      <c r="E17" s="650"/>
      <c r="F17" s="651">
        <v>196.5</v>
      </c>
      <c r="G17" s="99">
        <v>6.9</v>
      </c>
      <c r="H17" s="488">
        <v>6</v>
      </c>
      <c r="I17" s="127">
        <v>2018</v>
      </c>
      <c r="J17" s="328">
        <v>43279</v>
      </c>
    </row>
    <row r="18" spans="1:12" x14ac:dyDescent="0.2">
      <c r="A18" s="324" t="s">
        <v>386</v>
      </c>
      <c r="B18" s="323" t="s">
        <v>387</v>
      </c>
      <c r="C18" s="277" t="s">
        <v>339</v>
      </c>
      <c r="D18" s="649"/>
      <c r="E18" s="650"/>
      <c r="F18" s="651"/>
      <c r="G18" s="99">
        <v>1.63</v>
      </c>
      <c r="H18" s="488">
        <v>8</v>
      </c>
      <c r="I18" s="127">
        <v>2016</v>
      </c>
      <c r="J18" s="328"/>
    </row>
    <row r="19" spans="1:12" x14ac:dyDescent="0.2">
      <c r="A19" s="324" t="s">
        <v>428</v>
      </c>
      <c r="B19" s="323"/>
      <c r="C19" s="277" t="s">
        <v>363</v>
      </c>
      <c r="D19" s="649"/>
      <c r="E19" s="650"/>
      <c r="F19" s="651">
        <v>130.19999999999999</v>
      </c>
      <c r="G19" s="99">
        <v>3.5</v>
      </c>
      <c r="H19" s="488">
        <v>4</v>
      </c>
      <c r="I19" s="127">
        <v>18</v>
      </c>
      <c r="J19" s="328"/>
    </row>
    <row r="20" spans="1:12" x14ac:dyDescent="0.2">
      <c r="A20" s="324" t="s">
        <v>407</v>
      </c>
      <c r="B20" s="323" t="s">
        <v>113</v>
      </c>
      <c r="C20" s="277" t="s">
        <v>182</v>
      </c>
      <c r="D20" s="649"/>
      <c r="E20" s="650"/>
      <c r="F20" s="651">
        <v>22.3</v>
      </c>
      <c r="G20" s="99">
        <v>2.82</v>
      </c>
      <c r="H20" s="488">
        <v>1</v>
      </c>
      <c r="I20" s="127">
        <v>2018</v>
      </c>
      <c r="J20" s="328"/>
    </row>
    <row r="21" spans="1:12" x14ac:dyDescent="0.2">
      <c r="A21" s="80" t="s">
        <v>397</v>
      </c>
      <c r="B21" s="153"/>
      <c r="C21" s="78" t="s">
        <v>363</v>
      </c>
      <c r="D21" s="649"/>
      <c r="E21" s="650"/>
      <c r="F21" s="651">
        <v>646</v>
      </c>
      <c r="G21" s="97">
        <v>4.34</v>
      </c>
      <c r="H21" s="119">
        <v>1</v>
      </c>
      <c r="I21" s="129">
        <v>17</v>
      </c>
    </row>
    <row r="22" spans="1:12" x14ac:dyDescent="0.2">
      <c r="A22" s="80" t="s">
        <v>398</v>
      </c>
      <c r="B22" s="153"/>
      <c r="C22" s="78"/>
      <c r="D22" s="649"/>
      <c r="E22" s="650"/>
      <c r="F22" s="651">
        <v>2.5</v>
      </c>
      <c r="G22" s="97">
        <v>3.64</v>
      </c>
      <c r="H22" s="119">
        <v>8</v>
      </c>
      <c r="I22" s="129">
        <v>2016</v>
      </c>
    </row>
    <row r="23" spans="1:12" x14ac:dyDescent="0.2">
      <c r="A23" s="80" t="s">
        <v>40</v>
      </c>
      <c r="B23" s="325" t="s">
        <v>102</v>
      </c>
      <c r="C23" s="277"/>
      <c r="D23" s="736"/>
      <c r="E23" s="737"/>
      <c r="F23" s="738"/>
      <c r="G23" s="100">
        <v>3.2</v>
      </c>
      <c r="H23" s="326"/>
      <c r="I23" s="327"/>
    </row>
    <row r="24" spans="1:12" x14ac:dyDescent="0.2">
      <c r="A24" s="175" t="s">
        <v>31</v>
      </c>
      <c r="B24" s="208">
        <v>0.11799999999999999</v>
      </c>
      <c r="C24" s="274" t="s">
        <v>315</v>
      </c>
      <c r="D24" s="739"/>
      <c r="E24" s="740"/>
      <c r="F24" s="741"/>
      <c r="G24" s="178">
        <v>4.3</v>
      </c>
      <c r="H24" s="128">
        <v>6</v>
      </c>
      <c r="I24" s="190">
        <v>2018</v>
      </c>
      <c r="J24" s="728" t="s">
        <v>351</v>
      </c>
      <c r="K24" s="729"/>
      <c r="L24" s="729"/>
    </row>
    <row r="25" spans="1:12" x14ac:dyDescent="0.2">
      <c r="A25" s="289" t="s">
        <v>165</v>
      </c>
      <c r="B25" s="275" t="s">
        <v>307</v>
      </c>
      <c r="C25" s="274" t="s">
        <v>306</v>
      </c>
      <c r="D25" s="179"/>
      <c r="E25" s="180"/>
      <c r="F25" s="181"/>
      <c r="G25" s="178">
        <v>1.64</v>
      </c>
      <c r="H25" s="131">
        <v>6</v>
      </c>
      <c r="I25" s="132">
        <v>2018</v>
      </c>
    </row>
    <row r="26" spans="1:12" x14ac:dyDescent="0.2">
      <c r="A26" s="289" t="s">
        <v>166</v>
      </c>
      <c r="B26" s="176">
        <v>0.15</v>
      </c>
      <c r="C26" s="177" t="s">
        <v>253</v>
      </c>
      <c r="D26" s="179"/>
      <c r="E26" s="180"/>
      <c r="F26" s="181"/>
      <c r="G26" s="209">
        <v>0.53</v>
      </c>
      <c r="H26" s="174">
        <v>6</v>
      </c>
      <c r="I26" s="132">
        <v>2018</v>
      </c>
    </row>
    <row r="27" spans="1:12" x14ac:dyDescent="0.2">
      <c r="A27" s="175" t="s">
        <v>54</v>
      </c>
      <c r="B27" s="176">
        <v>0.14000000000000001</v>
      </c>
      <c r="C27" s="177" t="s">
        <v>156</v>
      </c>
      <c r="D27" s="179"/>
      <c r="E27" s="180"/>
      <c r="F27" s="181"/>
      <c r="G27" s="178">
        <v>2.1110000000000002</v>
      </c>
      <c r="H27" s="119">
        <v>5</v>
      </c>
      <c r="I27" s="129">
        <v>2014</v>
      </c>
    </row>
    <row r="28" spans="1:12" x14ac:dyDescent="0.2">
      <c r="A28" s="175" t="s">
        <v>53</v>
      </c>
      <c r="B28" s="208">
        <v>8.5000000000000006E-2</v>
      </c>
      <c r="C28" s="177" t="s">
        <v>51</v>
      </c>
      <c r="D28" s="179"/>
      <c r="E28" s="180"/>
      <c r="F28" s="181"/>
      <c r="G28" s="178">
        <v>1.7</v>
      </c>
      <c r="H28" s="608">
        <v>10</v>
      </c>
      <c r="I28" s="189">
        <v>13</v>
      </c>
    </row>
    <row r="29" spans="1:12" x14ac:dyDescent="0.2">
      <c r="A29" s="175" t="s">
        <v>55</v>
      </c>
      <c r="B29" s="176">
        <v>0.14000000000000001</v>
      </c>
      <c r="C29" s="177" t="s">
        <v>58</v>
      </c>
      <c r="D29" s="179"/>
      <c r="E29" s="180"/>
      <c r="F29" s="181"/>
      <c r="G29" s="178">
        <v>10.3</v>
      </c>
      <c r="H29" s="119">
        <v>6</v>
      </c>
      <c r="I29" s="657" t="s">
        <v>592</v>
      </c>
    </row>
    <row r="30" spans="1:12" x14ac:dyDescent="0.2">
      <c r="A30" s="175" t="s">
        <v>52</v>
      </c>
      <c r="B30" s="176">
        <v>0.13</v>
      </c>
      <c r="C30" s="274" t="s">
        <v>157</v>
      </c>
      <c r="D30" s="179"/>
      <c r="E30" s="180"/>
      <c r="F30" s="181"/>
      <c r="G30" s="178">
        <v>2.1</v>
      </c>
      <c r="H30" s="119">
        <v>6</v>
      </c>
      <c r="I30" s="129">
        <v>2018</v>
      </c>
      <c r="J30" s="273" t="s">
        <v>362</v>
      </c>
    </row>
    <row r="31" spans="1:12" x14ac:dyDescent="0.2">
      <c r="A31" s="175" t="s">
        <v>155</v>
      </c>
      <c r="B31" s="176">
        <v>0.14000000000000001</v>
      </c>
      <c r="C31" s="274" t="s">
        <v>253</v>
      </c>
      <c r="D31" s="179"/>
      <c r="E31" s="180"/>
      <c r="F31" s="181"/>
      <c r="G31" s="178">
        <v>1.06</v>
      </c>
      <c r="H31" s="190">
        <v>6</v>
      </c>
      <c r="I31" s="129">
        <v>2018</v>
      </c>
    </row>
    <row r="32" spans="1:12" x14ac:dyDescent="0.2">
      <c r="A32" s="289" t="s">
        <v>57</v>
      </c>
      <c r="B32" s="176">
        <v>0.27</v>
      </c>
      <c r="C32" s="274" t="s">
        <v>350</v>
      </c>
      <c r="D32" s="179"/>
      <c r="E32" s="180"/>
      <c r="F32" s="181"/>
      <c r="G32" s="178">
        <v>1.84</v>
      </c>
      <c r="H32" s="119">
        <v>6</v>
      </c>
      <c r="I32" s="129">
        <v>18</v>
      </c>
      <c r="J32" s="203">
        <v>43279</v>
      </c>
    </row>
    <row r="33" spans="1:12" x14ac:dyDescent="0.2">
      <c r="A33" s="175" t="s">
        <v>56</v>
      </c>
      <c r="B33" s="176">
        <v>0.21</v>
      </c>
      <c r="C33" s="177" t="s">
        <v>156</v>
      </c>
      <c r="D33" s="742"/>
      <c r="E33" s="743"/>
      <c r="F33" s="744"/>
      <c r="G33" s="178">
        <v>2.89</v>
      </c>
      <c r="H33" s="119">
        <v>7</v>
      </c>
      <c r="I33" s="129">
        <v>2015</v>
      </c>
    </row>
    <row r="34" spans="1:12" x14ac:dyDescent="0.2">
      <c r="A34" s="175" t="s">
        <v>205</v>
      </c>
      <c r="B34" s="655" t="s">
        <v>118</v>
      </c>
      <c r="C34" s="177" t="s">
        <v>278</v>
      </c>
      <c r="D34" s="179"/>
      <c r="E34" s="180"/>
      <c r="F34" s="181"/>
      <c r="G34" s="178">
        <v>7.75</v>
      </c>
      <c r="H34" s="130">
        <v>6</v>
      </c>
      <c r="I34" s="129">
        <v>2018</v>
      </c>
      <c r="J34" s="203"/>
    </row>
    <row r="35" spans="1:12" x14ac:dyDescent="0.2">
      <c r="A35" s="289" t="s">
        <v>197</v>
      </c>
      <c r="B35" s="275" t="s">
        <v>198</v>
      </c>
      <c r="C35" s="274" t="s">
        <v>199</v>
      </c>
      <c r="D35" s="742">
        <v>1.19</v>
      </c>
      <c r="E35" s="743"/>
      <c r="F35" s="744"/>
      <c r="G35" s="178">
        <v>3</v>
      </c>
      <c r="H35" s="119">
        <v>10</v>
      </c>
      <c r="I35" s="129">
        <v>2016</v>
      </c>
      <c r="J35" s="328"/>
    </row>
    <row r="36" spans="1:12" x14ac:dyDescent="0.2">
      <c r="A36" s="289" t="s">
        <v>160</v>
      </c>
      <c r="B36" s="275" t="s">
        <v>161</v>
      </c>
      <c r="C36" s="274" t="s">
        <v>278</v>
      </c>
      <c r="D36" s="295"/>
      <c r="E36" s="652"/>
      <c r="F36" s="653"/>
      <c r="G36" s="178">
        <v>6.5</v>
      </c>
      <c r="H36" s="119">
        <v>4</v>
      </c>
      <c r="I36" s="129">
        <v>2018</v>
      </c>
    </row>
    <row r="37" spans="1:12" x14ac:dyDescent="0.2">
      <c r="A37" s="175" t="s">
        <v>36</v>
      </c>
      <c r="B37" s="176">
        <v>0.39</v>
      </c>
      <c r="C37" s="177" t="s">
        <v>350</v>
      </c>
      <c r="D37" s="329"/>
      <c r="E37" s="180"/>
      <c r="F37" s="181"/>
      <c r="G37" s="178">
        <v>52</v>
      </c>
      <c r="H37" s="128">
        <v>6</v>
      </c>
      <c r="I37" s="190">
        <v>18</v>
      </c>
      <c r="J37" s="729" t="s">
        <v>352</v>
      </c>
      <c r="K37" s="729"/>
      <c r="L37" s="729"/>
    </row>
    <row r="38" spans="1:12" x14ac:dyDescent="0.2">
      <c r="A38" s="289" t="s">
        <v>71</v>
      </c>
      <c r="B38" s="312">
        <v>0.2</v>
      </c>
      <c r="C38" s="274" t="s">
        <v>253</v>
      </c>
      <c r="D38" s="179"/>
      <c r="E38" s="180"/>
      <c r="F38" s="181"/>
      <c r="G38" s="178">
        <v>0.9</v>
      </c>
      <c r="H38" s="119">
        <v>6</v>
      </c>
      <c r="I38" s="129">
        <v>2018</v>
      </c>
    </row>
    <row r="39" spans="1:12" x14ac:dyDescent="0.2">
      <c r="A39" s="289" t="s">
        <v>338</v>
      </c>
      <c r="B39" s="312">
        <v>0.33</v>
      </c>
      <c r="C39" s="274" t="s">
        <v>306</v>
      </c>
      <c r="D39" s="179"/>
      <c r="E39" s="180"/>
      <c r="F39" s="181"/>
      <c r="G39" s="178">
        <v>1.28</v>
      </c>
      <c r="H39" s="119">
        <v>6</v>
      </c>
      <c r="I39" s="129">
        <v>2018</v>
      </c>
      <c r="J39" s="203">
        <v>2</v>
      </c>
    </row>
    <row r="40" spans="1:12" x14ac:dyDescent="0.2">
      <c r="A40" s="289" t="s">
        <v>37</v>
      </c>
      <c r="B40" s="312" t="s">
        <v>312</v>
      </c>
      <c r="C40" s="274" t="s">
        <v>182</v>
      </c>
      <c r="D40" s="182"/>
      <c r="E40" s="183"/>
      <c r="F40" s="184"/>
      <c r="G40" s="178">
        <v>1.4</v>
      </c>
      <c r="H40" s="119">
        <v>7</v>
      </c>
      <c r="I40" s="129">
        <v>2018</v>
      </c>
      <c r="J40" s="273"/>
    </row>
    <row r="41" spans="1:12" x14ac:dyDescent="0.2">
      <c r="A41" s="289" t="s">
        <v>38</v>
      </c>
      <c r="B41" s="312" t="s">
        <v>303</v>
      </c>
      <c r="C41" s="274" t="s">
        <v>182</v>
      </c>
      <c r="D41" s="182"/>
      <c r="E41" s="183"/>
      <c r="F41" s="184"/>
      <c r="G41" s="178">
        <v>1.76</v>
      </c>
      <c r="H41" s="119">
        <v>7</v>
      </c>
      <c r="I41" s="119">
        <v>2018</v>
      </c>
    </row>
    <row r="42" spans="1:12" x14ac:dyDescent="0.2">
      <c r="A42" s="289" t="s">
        <v>142</v>
      </c>
      <c r="B42" s="312">
        <v>0.15</v>
      </c>
      <c r="C42" s="274" t="s">
        <v>182</v>
      </c>
      <c r="D42" s="182"/>
      <c r="E42" s="183"/>
      <c r="F42" s="184"/>
      <c r="G42" s="178">
        <v>4.25</v>
      </c>
      <c r="H42" s="119">
        <v>8</v>
      </c>
      <c r="I42" s="129">
        <v>2017</v>
      </c>
      <c r="J42" s="273" t="s">
        <v>425</v>
      </c>
    </row>
    <row r="43" spans="1:12" x14ac:dyDescent="0.2">
      <c r="A43" s="289" t="s">
        <v>44</v>
      </c>
      <c r="B43" s="330" t="s">
        <v>45</v>
      </c>
      <c r="C43" s="274" t="s">
        <v>39</v>
      </c>
      <c r="D43" s="182"/>
      <c r="E43" s="183"/>
      <c r="F43" s="184"/>
      <c r="G43" s="178">
        <v>2.7</v>
      </c>
      <c r="H43" s="119">
        <v>8</v>
      </c>
      <c r="I43" s="129">
        <v>2017</v>
      </c>
    </row>
    <row r="44" spans="1:12" ht="13.5" thickBot="1" x14ac:dyDescent="0.25">
      <c r="A44" s="175" t="s">
        <v>582</v>
      </c>
      <c r="B44" s="655" t="s">
        <v>204</v>
      </c>
      <c r="C44" s="512" t="s">
        <v>182</v>
      </c>
      <c r="D44" s="179"/>
      <c r="E44" s="180"/>
      <c r="F44" s="181"/>
      <c r="G44" s="331">
        <v>1.31</v>
      </c>
      <c r="H44" s="119">
        <v>7</v>
      </c>
      <c r="I44" s="129">
        <v>2018</v>
      </c>
    </row>
    <row r="45" spans="1:12" x14ac:dyDescent="0.2">
      <c r="A45" s="186" t="s">
        <v>305</v>
      </c>
      <c r="B45" s="655"/>
      <c r="C45" s="187" t="s">
        <v>306</v>
      </c>
      <c r="D45" s="745"/>
      <c r="E45" s="745"/>
      <c r="F45" s="730"/>
      <c r="G45" s="188">
        <v>1.81</v>
      </c>
      <c r="H45" s="119">
        <v>6</v>
      </c>
      <c r="I45" s="129">
        <v>2018</v>
      </c>
    </row>
    <row r="46" spans="1:12" x14ac:dyDescent="0.2">
      <c r="A46" s="186" t="s">
        <v>172</v>
      </c>
      <c r="B46" s="655" t="s">
        <v>177</v>
      </c>
      <c r="C46" s="276" t="s">
        <v>339</v>
      </c>
      <c r="D46" s="654"/>
      <c r="E46" s="654"/>
      <c r="F46" s="647"/>
      <c r="G46" s="489">
        <v>1.7</v>
      </c>
      <c r="H46" s="119">
        <v>7</v>
      </c>
      <c r="I46" s="129">
        <v>18</v>
      </c>
      <c r="J46" s="203"/>
    </row>
    <row r="47" spans="1:12" x14ac:dyDescent="0.2">
      <c r="A47" s="186" t="s">
        <v>175</v>
      </c>
      <c r="B47" s="655"/>
      <c r="C47" s="648"/>
      <c r="D47" s="654"/>
      <c r="E47" s="654"/>
      <c r="F47" s="647"/>
      <c r="G47" s="207">
        <v>20</v>
      </c>
      <c r="H47" s="119"/>
      <c r="I47" s="129"/>
    </row>
    <row r="48" spans="1:12" x14ac:dyDescent="0.2">
      <c r="A48" s="186" t="s">
        <v>173</v>
      </c>
      <c r="B48" s="655"/>
      <c r="C48" s="648"/>
      <c r="D48" s="654"/>
      <c r="E48" s="654"/>
      <c r="F48" s="647"/>
      <c r="G48" s="188">
        <v>9.8699999999999992</v>
      </c>
      <c r="H48" s="119"/>
      <c r="I48" s="129"/>
      <c r="J48" t="s">
        <v>381</v>
      </c>
    </row>
    <row r="49" spans="1:12" x14ac:dyDescent="0.2">
      <c r="A49" s="332" t="s">
        <v>441</v>
      </c>
      <c r="B49" s="333" t="s">
        <v>202</v>
      </c>
      <c r="C49" s="185"/>
      <c r="D49" s="730"/>
      <c r="E49" s="731"/>
      <c r="F49" s="731"/>
      <c r="G49" s="607">
        <v>0.81399999999999995</v>
      </c>
      <c r="H49" s="119">
        <v>7</v>
      </c>
      <c r="I49" s="129">
        <v>2018</v>
      </c>
      <c r="J49">
        <v>1.4219999999999999</v>
      </c>
      <c r="K49" s="203">
        <v>42887</v>
      </c>
    </row>
    <row r="50" spans="1:12" x14ac:dyDescent="0.2">
      <c r="A50" s="332" t="s">
        <v>163</v>
      </c>
      <c r="B50" s="333" t="s">
        <v>164</v>
      </c>
      <c r="C50" s="185"/>
      <c r="D50" s="730"/>
      <c r="E50" s="731"/>
      <c r="F50" s="731"/>
      <c r="G50" s="210">
        <v>1.49</v>
      </c>
      <c r="H50" s="119">
        <v>10</v>
      </c>
      <c r="I50" s="129">
        <v>2016</v>
      </c>
      <c r="J50">
        <v>1.4219999999999999</v>
      </c>
      <c r="K50" s="203">
        <v>42887</v>
      </c>
    </row>
    <row r="51" spans="1:12" x14ac:dyDescent="0.2">
      <c r="A51" s="313" t="s">
        <v>178</v>
      </c>
      <c r="B51" s="276" t="s">
        <v>181</v>
      </c>
      <c r="C51" s="648" t="s">
        <v>182</v>
      </c>
      <c r="D51" s="654"/>
      <c r="E51" s="654"/>
      <c r="F51" s="647"/>
      <c r="G51" s="178">
        <v>2.0299999999999998</v>
      </c>
      <c r="H51" s="119">
        <v>5</v>
      </c>
      <c r="I51" s="129">
        <v>2016</v>
      </c>
    </row>
    <row r="52" spans="1:12" x14ac:dyDescent="0.2">
      <c r="A52" s="313" t="s">
        <v>185</v>
      </c>
      <c r="B52" s="276" t="s">
        <v>340</v>
      </c>
      <c r="C52" s="648" t="s">
        <v>182</v>
      </c>
      <c r="D52" s="730"/>
      <c r="E52" s="731"/>
      <c r="F52" s="731"/>
      <c r="G52" s="178">
        <v>1.37</v>
      </c>
      <c r="H52" s="119">
        <v>5</v>
      </c>
      <c r="I52" s="129">
        <v>2016</v>
      </c>
    </row>
    <row r="53" spans="1:12" x14ac:dyDescent="0.2">
      <c r="A53" s="313" t="s">
        <v>187</v>
      </c>
      <c r="B53" s="276" t="s">
        <v>188</v>
      </c>
      <c r="C53" s="648" t="s">
        <v>182</v>
      </c>
      <c r="D53" s="654"/>
      <c r="E53" s="654"/>
      <c r="F53" s="647"/>
      <c r="G53" s="178">
        <v>3.84</v>
      </c>
      <c r="H53" s="119">
        <v>3</v>
      </c>
      <c r="I53" s="129">
        <v>2016</v>
      </c>
    </row>
    <row r="54" spans="1:12" x14ac:dyDescent="0.2">
      <c r="A54" s="313" t="s">
        <v>206</v>
      </c>
      <c r="B54" s="276"/>
      <c r="C54" s="276" t="s">
        <v>350</v>
      </c>
      <c r="D54" s="654"/>
      <c r="E54" s="654"/>
      <c r="F54" s="647"/>
      <c r="G54" s="178">
        <v>4.18</v>
      </c>
      <c r="H54" s="119">
        <v>5</v>
      </c>
      <c r="I54" s="129">
        <v>2017</v>
      </c>
      <c r="L54" t="s">
        <v>348</v>
      </c>
    </row>
    <row r="55" spans="1:12" x14ac:dyDescent="0.2">
      <c r="A55" s="313" t="s">
        <v>207</v>
      </c>
      <c r="B55" s="276"/>
      <c r="C55" s="276"/>
      <c r="D55" s="730"/>
      <c r="E55" s="731"/>
      <c r="F55" s="731"/>
      <c r="G55" s="178">
        <v>2.74</v>
      </c>
      <c r="H55" s="119">
        <v>4</v>
      </c>
      <c r="I55" s="129">
        <v>2016</v>
      </c>
    </row>
    <row r="56" spans="1:12" x14ac:dyDescent="0.2">
      <c r="A56" s="313" t="s">
        <v>311</v>
      </c>
      <c r="B56" s="276" t="s">
        <v>208</v>
      </c>
      <c r="C56" s="276" t="s">
        <v>350</v>
      </c>
      <c r="D56" s="654"/>
      <c r="E56" s="654"/>
      <c r="F56" s="647"/>
      <c r="G56" s="178">
        <v>1.5</v>
      </c>
      <c r="H56" s="119">
        <v>6</v>
      </c>
      <c r="I56" s="129">
        <v>17</v>
      </c>
      <c r="J56" s="203"/>
    </row>
    <row r="57" spans="1:12" x14ac:dyDescent="0.2">
      <c r="A57" s="313" t="s">
        <v>373</v>
      </c>
      <c r="B57" s="276" t="s">
        <v>249</v>
      </c>
      <c r="C57" s="276" t="s">
        <v>156</v>
      </c>
      <c r="D57" s="730"/>
      <c r="E57" s="731"/>
      <c r="F57" s="731"/>
      <c r="G57" s="178">
        <v>3.8</v>
      </c>
      <c r="H57" s="119">
        <v>2</v>
      </c>
      <c r="I57" s="129">
        <v>2017</v>
      </c>
    </row>
    <row r="58" spans="1:12" x14ac:dyDescent="0.2">
      <c r="A58" s="313" t="s">
        <v>355</v>
      </c>
      <c r="B58" s="276" t="s">
        <v>356</v>
      </c>
      <c r="C58" s="276" t="s">
        <v>354</v>
      </c>
      <c r="D58" s="654"/>
      <c r="E58" s="654"/>
      <c r="F58" s="647"/>
      <c r="G58" s="178">
        <v>2.13</v>
      </c>
      <c r="H58" s="119">
        <v>2</v>
      </c>
      <c r="I58" s="129">
        <v>2016</v>
      </c>
    </row>
    <row r="59" spans="1:12" x14ac:dyDescent="0.2">
      <c r="A59" s="313" t="s">
        <v>374</v>
      </c>
      <c r="B59" s="276" t="s">
        <v>209</v>
      </c>
      <c r="C59" s="276" t="s">
        <v>363</v>
      </c>
      <c r="D59" s="654"/>
      <c r="E59" s="654"/>
      <c r="F59" s="647"/>
      <c r="G59" s="178">
        <v>3.8</v>
      </c>
      <c r="H59" s="119">
        <v>4</v>
      </c>
      <c r="I59" s="129">
        <v>2018</v>
      </c>
    </row>
    <row r="60" spans="1:12" x14ac:dyDescent="0.2">
      <c r="A60" s="313" t="s">
        <v>210</v>
      </c>
      <c r="B60" s="276" t="s">
        <v>250</v>
      </c>
      <c r="C60" s="276" t="s">
        <v>350</v>
      </c>
      <c r="D60" s="654"/>
      <c r="E60" s="654"/>
      <c r="F60" s="647"/>
      <c r="G60" s="178">
        <v>7.2</v>
      </c>
      <c r="H60" s="119">
        <v>1</v>
      </c>
      <c r="I60" s="129">
        <v>17</v>
      </c>
    </row>
    <row r="61" spans="1:12" x14ac:dyDescent="0.2">
      <c r="A61" s="313" t="s">
        <v>357</v>
      </c>
      <c r="B61" s="276" t="s">
        <v>358</v>
      </c>
      <c r="C61" s="276" t="s">
        <v>354</v>
      </c>
      <c r="D61" s="654"/>
      <c r="E61" s="654"/>
      <c r="F61" s="647"/>
      <c r="G61" s="178">
        <v>2.36</v>
      </c>
      <c r="H61" s="119">
        <v>10</v>
      </c>
      <c r="I61" s="129">
        <v>2016</v>
      </c>
    </row>
    <row r="62" spans="1:12" x14ac:dyDescent="0.2">
      <c r="A62" s="313" t="s">
        <v>405</v>
      </c>
      <c r="B62" s="276" t="s">
        <v>375</v>
      </c>
      <c r="C62" s="276" t="s">
        <v>354</v>
      </c>
      <c r="D62" s="732"/>
      <c r="E62" s="732"/>
      <c r="F62" s="732"/>
      <c r="G62" s="178">
        <v>1.98</v>
      </c>
      <c r="H62" s="119">
        <v>10</v>
      </c>
      <c r="I62" s="129">
        <v>2016</v>
      </c>
    </row>
    <row r="63" spans="1:12" x14ac:dyDescent="0.2">
      <c r="A63" s="313" t="s">
        <v>376</v>
      </c>
      <c r="B63" s="276"/>
      <c r="C63" s="276" t="s">
        <v>58</v>
      </c>
      <c r="D63" s="732"/>
      <c r="E63" s="732"/>
      <c r="F63" s="732"/>
      <c r="G63" s="178">
        <v>18.239999999999998</v>
      </c>
      <c r="H63" s="119">
        <v>8.5</v>
      </c>
      <c r="I63" s="129">
        <v>2016</v>
      </c>
    </row>
    <row r="64" spans="1:12" x14ac:dyDescent="0.2">
      <c r="A64" s="313" t="s">
        <v>231</v>
      </c>
      <c r="B64" s="276"/>
      <c r="C64" s="276"/>
      <c r="D64" s="732"/>
      <c r="E64" s="732"/>
      <c r="F64" s="732"/>
      <c r="G64" s="178">
        <v>0.1</v>
      </c>
      <c r="H64" s="119"/>
      <c r="I64" s="129"/>
    </row>
    <row r="65" spans="1:13" x14ac:dyDescent="0.2">
      <c r="A65" s="313" t="s">
        <v>211</v>
      </c>
      <c r="B65" s="276"/>
      <c r="C65" s="276"/>
      <c r="D65" s="732"/>
      <c r="E65" s="732"/>
      <c r="F65" s="732"/>
      <c r="G65" s="178">
        <v>0.1</v>
      </c>
      <c r="H65" s="119"/>
      <c r="I65" s="129"/>
    </row>
    <row r="66" spans="1:13" x14ac:dyDescent="0.2">
      <c r="A66" s="305" t="s">
        <v>314</v>
      </c>
      <c r="B66" s="276"/>
      <c r="C66" s="276" t="s">
        <v>306</v>
      </c>
      <c r="D66" s="732"/>
      <c r="E66" s="732"/>
      <c r="F66" s="732"/>
      <c r="G66" s="178">
        <v>3.05</v>
      </c>
      <c r="H66" s="119">
        <v>6</v>
      </c>
      <c r="I66" s="129">
        <v>2018</v>
      </c>
      <c r="J66" s="203"/>
    </row>
    <row r="67" spans="1:13" x14ac:dyDescent="0.2">
      <c r="A67" s="305" t="s">
        <v>404</v>
      </c>
      <c r="B67" s="276" t="s">
        <v>164</v>
      </c>
      <c r="C67" s="276"/>
      <c r="D67" s="732"/>
      <c r="E67" s="732"/>
      <c r="F67" s="732"/>
      <c r="G67" s="178">
        <v>2.06</v>
      </c>
      <c r="H67" s="119">
        <v>10</v>
      </c>
      <c r="I67" s="129">
        <v>2016</v>
      </c>
    </row>
    <row r="68" spans="1:13" x14ac:dyDescent="0.2">
      <c r="A68" s="305" t="s">
        <v>290</v>
      </c>
      <c r="B68" s="276"/>
      <c r="C68" s="276" t="s">
        <v>232</v>
      </c>
      <c r="D68" s="732"/>
      <c r="E68" s="732"/>
      <c r="F68" s="732"/>
      <c r="G68" s="178">
        <v>2.4500000000000002</v>
      </c>
      <c r="H68" s="119">
        <v>6</v>
      </c>
      <c r="I68" s="129">
        <v>2015</v>
      </c>
    </row>
    <row r="69" spans="1:13" x14ac:dyDescent="0.2">
      <c r="A69" s="305" t="s">
        <v>302</v>
      </c>
      <c r="B69" s="395"/>
      <c r="C69" s="395"/>
      <c r="D69" s="732"/>
      <c r="E69" s="732"/>
      <c r="F69" s="732"/>
      <c r="G69" s="210">
        <v>6</v>
      </c>
      <c r="H69" s="119"/>
      <c r="I69" s="129"/>
      <c r="K69" s="203">
        <v>41969</v>
      </c>
    </row>
    <row r="70" spans="1:13" x14ac:dyDescent="0.2">
      <c r="A70" s="313" t="s">
        <v>316</v>
      </c>
      <c r="B70" s="276"/>
      <c r="C70" s="275" t="s">
        <v>317</v>
      </c>
      <c r="D70" s="732"/>
      <c r="E70" s="732"/>
      <c r="F70" s="732"/>
      <c r="G70" s="178">
        <v>2</v>
      </c>
      <c r="H70" s="119">
        <v>8</v>
      </c>
      <c r="I70" s="129">
        <v>2017</v>
      </c>
      <c r="K70" s="203"/>
    </row>
    <row r="71" spans="1:13" x14ac:dyDescent="0.2">
      <c r="A71" s="313" t="s">
        <v>342</v>
      </c>
      <c r="B71" s="276"/>
      <c r="C71" s="275" t="s">
        <v>343</v>
      </c>
      <c r="D71" s="732"/>
      <c r="E71" s="732"/>
      <c r="F71" s="732"/>
      <c r="G71" s="178">
        <v>10</v>
      </c>
      <c r="H71" s="119">
        <v>7</v>
      </c>
      <c r="I71" s="129">
        <v>2015</v>
      </c>
      <c r="K71" s="203"/>
    </row>
    <row r="72" spans="1:13" x14ac:dyDescent="0.2">
      <c r="A72" s="313" t="s">
        <v>349</v>
      </c>
      <c r="B72" s="276"/>
      <c r="C72" s="275" t="s">
        <v>350</v>
      </c>
      <c r="D72" s="732"/>
      <c r="E72" s="732"/>
      <c r="F72" s="732"/>
      <c r="G72" s="398">
        <v>58.9</v>
      </c>
      <c r="H72" s="119">
        <v>11</v>
      </c>
      <c r="I72" s="129">
        <v>17</v>
      </c>
      <c r="K72" s="203"/>
    </row>
    <row r="73" spans="1:13" x14ac:dyDescent="0.2">
      <c r="A73" s="313" t="s">
        <v>336</v>
      </c>
      <c r="B73" s="276" t="s">
        <v>337</v>
      </c>
      <c r="C73" s="275" t="s">
        <v>253</v>
      </c>
      <c r="D73" s="732"/>
      <c r="E73" s="732"/>
      <c r="F73" s="732"/>
      <c r="G73" s="398">
        <v>6</v>
      </c>
      <c r="H73" s="119">
        <v>5</v>
      </c>
      <c r="I73" s="129">
        <v>2015</v>
      </c>
      <c r="K73" s="203"/>
    </row>
    <row r="74" spans="1:13" x14ac:dyDescent="0.2">
      <c r="A74" s="313" t="s">
        <v>364</v>
      </c>
      <c r="B74" s="276" t="s">
        <v>365</v>
      </c>
      <c r="C74" s="275" t="s">
        <v>366</v>
      </c>
      <c r="D74" s="732"/>
      <c r="E74" s="732"/>
      <c r="F74" s="732"/>
      <c r="G74" s="398">
        <v>1.83</v>
      </c>
      <c r="H74" s="119">
        <v>10</v>
      </c>
      <c r="I74" s="129">
        <v>2016</v>
      </c>
      <c r="J74" s="273" t="s">
        <v>410</v>
      </c>
      <c r="K74" s="203"/>
      <c r="M74" t="s">
        <v>409</v>
      </c>
    </row>
    <row r="75" spans="1:13" x14ac:dyDescent="0.2">
      <c r="A75" s="313" t="s">
        <v>394</v>
      </c>
      <c r="B75" s="276"/>
      <c r="C75" s="275" t="s">
        <v>395</v>
      </c>
      <c r="D75" s="732"/>
      <c r="E75" s="732"/>
      <c r="F75" s="732"/>
      <c r="G75" s="178">
        <v>24.1</v>
      </c>
      <c r="H75" s="119">
        <v>9</v>
      </c>
      <c r="I75" s="129">
        <v>2016</v>
      </c>
      <c r="K75" s="203"/>
    </row>
    <row r="76" spans="1:13" x14ac:dyDescent="0.2">
      <c r="A76" s="313" t="s">
        <v>392</v>
      </c>
      <c r="B76" s="276"/>
      <c r="C76" s="275" t="s">
        <v>393</v>
      </c>
      <c r="D76" s="732"/>
      <c r="E76" s="732"/>
      <c r="F76" s="732"/>
      <c r="G76" s="178">
        <v>53.78</v>
      </c>
      <c r="H76" s="119">
        <v>10</v>
      </c>
      <c r="I76" s="129">
        <v>2017</v>
      </c>
      <c r="K76" s="203"/>
    </row>
    <row r="77" spans="1:13" x14ac:dyDescent="0.2">
      <c r="A77" s="313" t="s">
        <v>390</v>
      </c>
      <c r="B77" s="276"/>
      <c r="C77" s="275" t="s">
        <v>503</v>
      </c>
      <c r="D77" s="746"/>
      <c r="E77" s="743"/>
      <c r="F77" s="744"/>
      <c r="G77" s="178">
        <v>13.9</v>
      </c>
      <c r="H77" s="119">
        <v>6</v>
      </c>
      <c r="I77" s="129">
        <v>2018</v>
      </c>
      <c r="J77" t="s">
        <v>440</v>
      </c>
      <c r="K77" s="203"/>
    </row>
    <row r="78" spans="1:13" x14ac:dyDescent="0.2">
      <c r="A78" s="313" t="s">
        <v>391</v>
      </c>
      <c r="B78" s="276" t="s">
        <v>430</v>
      </c>
      <c r="C78" s="275" t="s">
        <v>429</v>
      </c>
      <c r="D78" s="732"/>
      <c r="E78" s="732"/>
      <c r="F78" s="732"/>
      <c r="G78" s="178">
        <v>3.52</v>
      </c>
      <c r="H78" s="119">
        <v>6</v>
      </c>
      <c r="I78" s="129">
        <v>2017</v>
      </c>
      <c r="K78" s="203"/>
    </row>
    <row r="79" spans="1:13" x14ac:dyDescent="0.2">
      <c r="A79" s="313" t="s">
        <v>442</v>
      </c>
      <c r="B79" s="490">
        <v>0.5</v>
      </c>
      <c r="C79" s="275" t="s">
        <v>350</v>
      </c>
      <c r="D79" s="648"/>
      <c r="E79" s="648"/>
      <c r="F79" s="648"/>
      <c r="G79" s="178">
        <v>4.7</v>
      </c>
      <c r="H79" s="119">
        <v>4</v>
      </c>
      <c r="I79" s="129">
        <v>2018</v>
      </c>
      <c r="K79" s="203"/>
    </row>
    <row r="80" spans="1:13" x14ac:dyDescent="0.2">
      <c r="A80" s="313" t="s">
        <v>347</v>
      </c>
      <c r="B80" s="276"/>
      <c r="C80" s="275" t="s">
        <v>434</v>
      </c>
      <c r="D80" s="732"/>
      <c r="E80" s="732"/>
      <c r="F80" s="732"/>
      <c r="G80" s="178">
        <v>5.0999999999999996</v>
      </c>
      <c r="H80" s="119">
        <v>5</v>
      </c>
      <c r="I80" s="129">
        <v>2017</v>
      </c>
      <c r="K80" s="203"/>
    </row>
    <row r="81" spans="1:12" x14ac:dyDescent="0.2">
      <c r="A81" s="313" t="s">
        <v>476</v>
      </c>
      <c r="B81" s="276"/>
      <c r="C81" s="275" t="s">
        <v>477</v>
      </c>
      <c r="D81" s="648"/>
      <c r="E81" s="648"/>
      <c r="F81" s="648"/>
      <c r="G81" s="178">
        <v>35</v>
      </c>
      <c r="H81" s="119">
        <v>11</v>
      </c>
      <c r="I81" s="129">
        <v>2017</v>
      </c>
      <c r="K81" s="203"/>
    </row>
    <row r="82" spans="1:12" x14ac:dyDescent="0.2">
      <c r="A82" s="313" t="s">
        <v>459</v>
      </c>
      <c r="B82" s="276"/>
      <c r="C82" s="275" t="s">
        <v>182</v>
      </c>
      <c r="D82" s="732"/>
      <c r="E82" s="732"/>
      <c r="F82" s="732"/>
      <c r="G82" s="178">
        <v>0.99</v>
      </c>
      <c r="H82" s="119">
        <v>7</v>
      </c>
      <c r="I82" s="129">
        <v>2018</v>
      </c>
      <c r="K82" s="203"/>
    </row>
    <row r="83" spans="1:12" x14ac:dyDescent="0.2">
      <c r="A83" s="53"/>
      <c r="B83" s="396" t="s">
        <v>74</v>
      </c>
      <c r="C83" s="397"/>
      <c r="D83" s="52"/>
      <c r="E83" s="52"/>
      <c r="F83" s="52"/>
      <c r="G83" s="52"/>
      <c r="H83" s="42" t="s">
        <v>189</v>
      </c>
      <c r="I83" s="42"/>
      <c r="K83" t="s">
        <v>291</v>
      </c>
    </row>
    <row r="84" spans="1:12" x14ac:dyDescent="0.2">
      <c r="A84" s="53"/>
      <c r="B84" s="43" t="s">
        <v>75</v>
      </c>
      <c r="C84" s="283">
        <v>0</v>
      </c>
      <c r="D84" s="52"/>
      <c r="E84" s="59" t="s">
        <v>190</v>
      </c>
      <c r="F84" s="52"/>
      <c r="G84" s="52"/>
      <c r="H84" s="42"/>
      <c r="I84" s="42"/>
      <c r="K84" t="s">
        <v>292</v>
      </c>
    </row>
    <row r="85" spans="1:12" x14ac:dyDescent="0.2">
      <c r="A85" s="52"/>
      <c r="B85" s="43" t="s">
        <v>62</v>
      </c>
      <c r="C85" s="284">
        <f>G85</f>
        <v>0.25087999999999999</v>
      </c>
      <c r="D85" s="52" t="s">
        <v>93</v>
      </c>
      <c r="E85" s="201">
        <v>250</v>
      </c>
      <c r="F85" s="211">
        <v>41584</v>
      </c>
      <c r="G85" s="52">
        <f>(E85+F88)/1000</f>
        <v>0.25087999999999999</v>
      </c>
      <c r="H85" s="334" t="s">
        <v>194</v>
      </c>
      <c r="I85" s="42"/>
    </row>
    <row r="86" spans="1:12" x14ac:dyDescent="0.2">
      <c r="A86" s="52"/>
      <c r="B86" s="43" t="s">
        <v>63</v>
      </c>
      <c r="C86" s="283">
        <f>G86</f>
        <v>0.55500000000000005</v>
      </c>
      <c r="D86" s="52"/>
      <c r="E86" s="201">
        <v>110</v>
      </c>
      <c r="F86" s="52">
        <v>1</v>
      </c>
      <c r="G86" s="52">
        <f>(E86+F86)/200</f>
        <v>0.55500000000000005</v>
      </c>
      <c r="H86" s="42"/>
      <c r="I86" s="42"/>
    </row>
    <row r="87" spans="1:12" x14ac:dyDescent="0.2">
      <c r="A87" s="52"/>
      <c r="B87" s="43" t="s">
        <v>76</v>
      </c>
      <c r="C87" s="285">
        <f t="shared" ref="C87:C92" si="0">G87</f>
        <v>0.69620000000000004</v>
      </c>
      <c r="D87" s="52"/>
      <c r="E87" s="201">
        <v>33.93</v>
      </c>
      <c r="F87" s="341">
        <v>0.88</v>
      </c>
      <c r="G87" s="52">
        <f>(E87+F87)/50</f>
        <v>0.69620000000000004</v>
      </c>
      <c r="H87" s="42"/>
      <c r="I87" s="42"/>
    </row>
    <row r="88" spans="1:12" x14ac:dyDescent="0.2">
      <c r="A88" s="52"/>
      <c r="B88" s="43" t="s">
        <v>530</v>
      </c>
      <c r="C88" s="286">
        <f t="shared" si="0"/>
        <v>0.86239999999999994</v>
      </c>
      <c r="D88" s="52" t="s">
        <v>96</v>
      </c>
      <c r="E88" s="201">
        <v>20.68</v>
      </c>
      <c r="F88" s="341">
        <v>0.88</v>
      </c>
      <c r="G88" s="126">
        <f>(E88+F88)/25</f>
        <v>0.86239999999999994</v>
      </c>
      <c r="H88" s="335" t="s">
        <v>34</v>
      </c>
      <c r="I88" s="336">
        <v>41848</v>
      </c>
    </row>
    <row r="89" spans="1:12" x14ac:dyDescent="0.2">
      <c r="A89" s="52"/>
      <c r="B89" s="43" t="s">
        <v>92</v>
      </c>
      <c r="C89" s="286">
        <f t="shared" si="0"/>
        <v>0.55040000000000011</v>
      </c>
      <c r="D89" s="52" t="s">
        <v>353</v>
      </c>
      <c r="E89" s="340">
        <v>12.88</v>
      </c>
      <c r="F89" s="341">
        <v>0.88</v>
      </c>
      <c r="G89" s="126">
        <f>(E89+F89)/25</f>
        <v>0.55040000000000011</v>
      </c>
      <c r="H89" s="337">
        <v>42795</v>
      </c>
      <c r="I89" s="338"/>
    </row>
    <row r="90" spans="1:12" x14ac:dyDescent="0.2">
      <c r="A90" s="52"/>
      <c r="B90" s="43" t="s">
        <v>265</v>
      </c>
      <c r="C90" s="286">
        <f t="shared" si="0"/>
        <v>0.71900000000000008</v>
      </c>
      <c r="D90" s="52"/>
      <c r="E90" s="201">
        <v>13.5</v>
      </c>
      <c r="F90" s="341">
        <v>0.88</v>
      </c>
      <c r="G90" s="502">
        <f>(E90+F90)/20</f>
        <v>0.71900000000000008</v>
      </c>
      <c r="L90" t="s">
        <v>369</v>
      </c>
    </row>
    <row r="91" spans="1:12" x14ac:dyDescent="0.2">
      <c r="A91" s="59"/>
      <c r="B91" s="60" t="s">
        <v>97</v>
      </c>
      <c r="C91" s="339">
        <f>G91</f>
        <v>1.3225</v>
      </c>
      <c r="D91" s="59" t="s">
        <v>99</v>
      </c>
      <c r="E91" s="340">
        <v>5.0599999999999996</v>
      </c>
      <c r="F91" s="341">
        <v>0.88</v>
      </c>
      <c r="G91" s="341">
        <f>((E91+F91)/5)+L91</f>
        <v>1.3225</v>
      </c>
      <c r="H91" s="338" t="s">
        <v>370</v>
      </c>
      <c r="I91" s="124"/>
      <c r="J91" s="124">
        <f>I91/20</f>
        <v>0</v>
      </c>
      <c r="K91" s="125"/>
      <c r="L91" s="335">
        <v>0.13450000000000001</v>
      </c>
    </row>
    <row r="92" spans="1:12" x14ac:dyDescent="0.2">
      <c r="A92" s="59"/>
      <c r="B92" s="60" t="s">
        <v>98</v>
      </c>
      <c r="C92" s="287">
        <f t="shared" si="0"/>
        <v>3.2124999999999999</v>
      </c>
      <c r="D92" s="59" t="s">
        <v>100</v>
      </c>
      <c r="E92" s="202">
        <v>2.2000000000000002</v>
      </c>
      <c r="F92" s="122">
        <v>0.88</v>
      </c>
      <c r="G92" s="417">
        <f>(E92+F92)+L92</f>
        <v>3.2124999999999999</v>
      </c>
      <c r="H92" s="123"/>
      <c r="I92" s="123"/>
      <c r="L92" s="306">
        <v>0.13250000000000001</v>
      </c>
    </row>
    <row r="95" spans="1:12" x14ac:dyDescent="0.2">
      <c r="A95" s="463">
        <v>42644</v>
      </c>
      <c r="B95" s="273" t="s">
        <v>424</v>
      </c>
      <c r="E95" t="s">
        <v>416</v>
      </c>
      <c r="F95" s="461">
        <v>3.66</v>
      </c>
    </row>
    <row r="96" spans="1:12" x14ac:dyDescent="0.2">
      <c r="A96" s="278">
        <v>42370</v>
      </c>
      <c r="B96" s="464" t="s">
        <v>426</v>
      </c>
      <c r="E96" t="s">
        <v>417</v>
      </c>
      <c r="F96" s="461">
        <v>2.36</v>
      </c>
    </row>
    <row r="98" spans="5:6" x14ac:dyDescent="0.2">
      <c r="E98" t="s">
        <v>418</v>
      </c>
    </row>
    <row r="100" spans="5:6" x14ac:dyDescent="0.2">
      <c r="E100" s="462" t="s">
        <v>419</v>
      </c>
      <c r="F100" s="462"/>
    </row>
    <row r="101" spans="5:6" x14ac:dyDescent="0.2">
      <c r="E101" t="s">
        <v>420</v>
      </c>
    </row>
    <row r="102" spans="5:6" x14ac:dyDescent="0.2">
      <c r="E102" t="s">
        <v>421</v>
      </c>
    </row>
    <row r="103" spans="5:6" x14ac:dyDescent="0.2">
      <c r="E103" t="s">
        <v>422</v>
      </c>
    </row>
    <row r="104" spans="5:6" x14ac:dyDescent="0.2">
      <c r="E104" s="273" t="s">
        <v>423</v>
      </c>
    </row>
  </sheetData>
  <mergeCells count="34">
    <mergeCell ref="D67:F67"/>
    <mergeCell ref="D68:F68"/>
    <mergeCell ref="D69:F69"/>
    <mergeCell ref="D70:F70"/>
    <mergeCell ref="D71:F71"/>
    <mergeCell ref="D78:F78"/>
    <mergeCell ref="D82:F82"/>
    <mergeCell ref="D72:F72"/>
    <mergeCell ref="D73:F73"/>
    <mergeCell ref="D80:F80"/>
    <mergeCell ref="D76:F76"/>
    <mergeCell ref="D77:F77"/>
    <mergeCell ref="D75:F75"/>
    <mergeCell ref="D74:F74"/>
    <mergeCell ref="D65:F65"/>
    <mergeCell ref="D66:F66"/>
    <mergeCell ref="D11:F11"/>
    <mergeCell ref="D12:F12"/>
    <mergeCell ref="D13:F13"/>
    <mergeCell ref="D23:F23"/>
    <mergeCell ref="D49:F49"/>
    <mergeCell ref="D24:F24"/>
    <mergeCell ref="D33:F33"/>
    <mergeCell ref="D35:F35"/>
    <mergeCell ref="D45:F45"/>
    <mergeCell ref="D50:F50"/>
    <mergeCell ref="D52:F52"/>
    <mergeCell ref="D57:F57"/>
    <mergeCell ref="D62:F62"/>
    <mergeCell ref="J24:L24"/>
    <mergeCell ref="J37:L37"/>
    <mergeCell ref="D55:F55"/>
    <mergeCell ref="D63:F63"/>
    <mergeCell ref="D64:F64"/>
  </mergeCells>
  <phoneticPr fontId="10" type="noConversion"/>
  <pageMargins left="0.78740157480314965" right="0.78740157480314965" top="0.98425196850393704" bottom="0.98425196850393704" header="0" footer="0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V69"/>
  <sheetViews>
    <sheetView tabSelected="1" topLeftCell="A5" workbookViewId="0">
      <selection activeCell="F52" sqref="F52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541</v>
      </c>
      <c r="D7" s="63"/>
      <c r="E7" s="63"/>
      <c r="F7" s="63" t="s">
        <v>34</v>
      </c>
      <c r="G7" s="24"/>
      <c r="H7" s="622" t="s">
        <v>331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511" t="s">
        <v>229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557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42558</v>
      </c>
      <c r="D11" s="507"/>
      <c r="E11" s="4"/>
      <c r="F11" s="4"/>
      <c r="G11" s="1"/>
      <c r="H11" s="3" t="s">
        <v>47</v>
      </c>
      <c r="I11" s="64" t="s">
        <v>196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625" t="s">
        <v>67</v>
      </c>
      <c r="M15" s="625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624" t="s">
        <v>121</v>
      </c>
      <c r="L16" s="118">
        <v>1000</v>
      </c>
      <c r="M16" s="116">
        <f>L16*D35</f>
        <v>1300</v>
      </c>
      <c r="N16" s="714"/>
      <c r="O16" s="715"/>
      <c r="P16" s="626" t="s">
        <v>153</v>
      </c>
      <c r="Q16" s="366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40.75</v>
      </c>
      <c r="F17" s="367">
        <v>407.5</v>
      </c>
      <c r="G17" s="357" t="s">
        <v>125</v>
      </c>
      <c r="H17" s="358">
        <f>'[3]Base Preços MP'!G10</f>
        <v>0.01</v>
      </c>
      <c r="I17" s="170">
        <f>E20*20/100+E26*7/100</f>
        <v>2E-3</v>
      </c>
      <c r="J17" s="359">
        <f>F17*H17</f>
        <v>4.0750000000000002</v>
      </c>
      <c r="K17" s="111">
        <f>I17*1.34*10</f>
        <v>2.6800000000000001E-2</v>
      </c>
      <c r="L17" s="676" t="str">
        <f t="shared" ref="L17:L30" si="0">B17</f>
        <v>Agua</v>
      </c>
      <c r="M17" s="677"/>
      <c r="N17" s="678"/>
      <c r="O17" s="117">
        <f>F17*M16/1000</f>
        <v>529.75</v>
      </c>
      <c r="P17" s="109">
        <v>7.0724400000000003</v>
      </c>
      <c r="Q17" s="626" t="s">
        <v>125</v>
      </c>
      <c r="R17" s="103"/>
      <c r="U17" s="144"/>
      <c r="V17" s="146"/>
    </row>
    <row r="18" spans="1:22" x14ac:dyDescent="0.2">
      <c r="A18" s="1"/>
      <c r="B18" s="682" t="s">
        <v>555</v>
      </c>
      <c r="C18" s="724"/>
      <c r="D18" s="725"/>
      <c r="E18" s="315">
        <f t="shared" ref="E18:E30" si="1">F18/10</f>
        <v>0.39</v>
      </c>
      <c r="F18" s="83">
        <v>3.9</v>
      </c>
      <c r="G18" s="357" t="s">
        <v>69</v>
      </c>
      <c r="H18" s="358">
        <f>'[3]Base Preços MP'!G31</f>
        <v>0.95</v>
      </c>
      <c r="I18" s="357">
        <f>E19*52/100</f>
        <v>2.6</v>
      </c>
      <c r="J18" s="359">
        <f>F18*H18</f>
        <v>3.7049999999999996</v>
      </c>
      <c r="K18" s="111">
        <f t="shared" ref="K18:K27" si="2">I18*1.34*10</f>
        <v>34.840000000000003</v>
      </c>
      <c r="L18" s="676" t="str">
        <f t="shared" si="0"/>
        <v>Calcium 14</v>
      </c>
      <c r="M18" s="677"/>
      <c r="N18" s="678"/>
      <c r="O18" s="117">
        <f>F18*M16/1000</f>
        <v>5.07</v>
      </c>
      <c r="P18" s="109">
        <v>1.7885999999999997</v>
      </c>
      <c r="Q18" s="626" t="s">
        <v>69</v>
      </c>
      <c r="R18" s="103"/>
      <c r="U18" s="144"/>
      <c r="V18" s="146"/>
    </row>
    <row r="19" spans="1:22" x14ac:dyDescent="0.2">
      <c r="A19" s="1"/>
      <c r="B19" s="682" t="s">
        <v>332</v>
      </c>
      <c r="C19" s="724"/>
      <c r="D19" s="725"/>
      <c r="E19" s="315">
        <f t="shared" si="1"/>
        <v>5</v>
      </c>
      <c r="F19" s="83">
        <v>50</v>
      </c>
      <c r="G19" s="357" t="s">
        <v>110</v>
      </c>
      <c r="H19" s="358">
        <f>'[3]Base Preços MP'!G17</f>
        <v>6.6</v>
      </c>
      <c r="I19" s="357">
        <f>E18*75.5/100+E25*60/100</f>
        <v>0.30044999999999999</v>
      </c>
      <c r="J19" s="359">
        <f t="shared" ref="J19:J30" si="3">F19*H19</f>
        <v>330</v>
      </c>
      <c r="K19" s="111">
        <f t="shared" si="2"/>
        <v>4.0260300000000004</v>
      </c>
      <c r="L19" s="676" t="str">
        <f t="shared" si="0"/>
        <v>Acido fosforoso</v>
      </c>
      <c r="M19" s="677"/>
      <c r="N19" s="678"/>
      <c r="O19" s="117">
        <f>F19*M16/1000</f>
        <v>65</v>
      </c>
      <c r="P19" s="109">
        <v>5.9720309999999994</v>
      </c>
      <c r="Q19" s="626" t="s">
        <v>110</v>
      </c>
      <c r="R19" s="103"/>
      <c r="U19" s="144"/>
      <c r="V19" s="146"/>
    </row>
    <row r="20" spans="1:22" x14ac:dyDescent="0.2">
      <c r="A20" s="1"/>
      <c r="B20" s="688" t="s">
        <v>197</v>
      </c>
      <c r="C20" s="689"/>
      <c r="D20" s="690"/>
      <c r="E20" s="315">
        <f t="shared" si="1"/>
        <v>0.01</v>
      </c>
      <c r="F20" s="83">
        <v>0.1</v>
      </c>
      <c r="G20" s="357" t="s">
        <v>106</v>
      </c>
      <c r="H20" s="358">
        <f>'[3]Base Preços MP'!G75</f>
        <v>24.1</v>
      </c>
      <c r="I20" s="170">
        <f>E27*27/100</f>
        <v>0</v>
      </c>
      <c r="J20" s="359">
        <f>H20*F20</f>
        <v>2.41</v>
      </c>
      <c r="K20" s="111">
        <f t="shared" si="2"/>
        <v>0</v>
      </c>
      <c r="L20" s="676" t="str">
        <f t="shared" si="0"/>
        <v>Acidos Fulvicos</v>
      </c>
      <c r="M20" s="677"/>
      <c r="N20" s="678"/>
      <c r="O20" s="117">
        <f>F20*M16/1000</f>
        <v>0.13</v>
      </c>
      <c r="P20" s="109">
        <v>4.3502400000000003</v>
      </c>
      <c r="Q20" s="626" t="s">
        <v>106</v>
      </c>
      <c r="R20" s="103"/>
      <c r="U20" s="144"/>
      <c r="V20" s="146"/>
    </row>
    <row r="21" spans="1:22" x14ac:dyDescent="0.2">
      <c r="A21" s="1"/>
      <c r="B21" s="683" t="s">
        <v>517</v>
      </c>
      <c r="C21" s="726"/>
      <c r="D21" s="727"/>
      <c r="E21" s="315">
        <f t="shared" si="1"/>
        <v>37.65</v>
      </c>
      <c r="F21" s="368">
        <v>376.5</v>
      </c>
      <c r="G21" s="357" t="s">
        <v>107</v>
      </c>
      <c r="H21" s="358">
        <f>'Base Preços MP'!G49</f>
        <v>0.81399999999999995</v>
      </c>
      <c r="I21" s="369">
        <f>E26*7/100</f>
        <v>0</v>
      </c>
      <c r="J21" s="359">
        <f t="shared" si="3"/>
        <v>306.471</v>
      </c>
      <c r="K21" s="111">
        <f t="shared" si="2"/>
        <v>0</v>
      </c>
      <c r="L21" s="686" t="str">
        <f t="shared" si="0"/>
        <v>melaço liquido</v>
      </c>
      <c r="M21" s="686"/>
      <c r="N21" s="686"/>
      <c r="O21" s="117">
        <f>F21*M16/1000</f>
        <v>489.45</v>
      </c>
      <c r="P21" s="161">
        <v>0.41426000000000002</v>
      </c>
      <c r="Q21" s="626" t="s">
        <v>107</v>
      </c>
      <c r="R21" s="103"/>
      <c r="U21" s="144"/>
      <c r="V21" s="146"/>
    </row>
    <row r="22" spans="1:22" x14ac:dyDescent="0.2">
      <c r="A22" s="1"/>
      <c r="B22" s="682" t="s">
        <v>542</v>
      </c>
      <c r="C22" s="724"/>
      <c r="D22" s="725"/>
      <c r="E22" s="315">
        <f t="shared" si="1"/>
        <v>8.73</v>
      </c>
      <c r="F22" s="368">
        <v>87.3</v>
      </c>
      <c r="G22" s="357" t="s">
        <v>108</v>
      </c>
      <c r="H22" s="358">
        <f>'[3]Base Preços MP'!G25</f>
        <v>1.38</v>
      </c>
      <c r="I22" s="369">
        <f>E21*14/100</f>
        <v>5.2709999999999999</v>
      </c>
      <c r="J22" s="359">
        <f>F22*H22</f>
        <v>120.47399999999999</v>
      </c>
      <c r="K22" s="111">
        <f t="shared" si="2"/>
        <v>70.631400000000014</v>
      </c>
      <c r="L22" s="687" t="str">
        <f t="shared" si="0"/>
        <v>Cloreto de Potassio 60%</v>
      </c>
      <c r="M22" s="687"/>
      <c r="N22" s="687"/>
      <c r="O22" s="117">
        <f>F22*M16/1000</f>
        <v>113.49</v>
      </c>
      <c r="P22" s="161">
        <v>2.198E-2</v>
      </c>
      <c r="Q22" s="626" t="s">
        <v>108</v>
      </c>
      <c r="R22" s="103"/>
      <c r="U22" s="144"/>
      <c r="V22" s="146"/>
    </row>
    <row r="23" spans="1:22" x14ac:dyDescent="0.2">
      <c r="A23" s="1"/>
      <c r="B23" s="682" t="s">
        <v>543</v>
      </c>
      <c r="C23" s="724"/>
      <c r="D23" s="725"/>
      <c r="E23" s="315">
        <f t="shared" si="1"/>
        <v>3</v>
      </c>
      <c r="F23" s="83">
        <v>30</v>
      </c>
      <c r="G23" s="357" t="s">
        <v>109</v>
      </c>
      <c r="H23" s="358">
        <f>'[3]Base Preços MP'!G12</f>
        <v>3.8</v>
      </c>
      <c r="I23" s="369">
        <f>E22*21/100</f>
        <v>1.8333000000000002</v>
      </c>
      <c r="J23" s="359">
        <f t="shared" si="3"/>
        <v>114</v>
      </c>
      <c r="K23" s="111">
        <f t="shared" si="2"/>
        <v>24.566220000000001</v>
      </c>
      <c r="L23" s="687" t="str">
        <f t="shared" si="0"/>
        <v>Potassa Caustica</v>
      </c>
      <c r="M23" s="687"/>
      <c r="N23" s="687"/>
      <c r="O23" s="117">
        <f>F23*M16/1000</f>
        <v>39</v>
      </c>
      <c r="P23" s="161">
        <v>1.4070000000000001E-2</v>
      </c>
      <c r="Q23" s="626" t="s">
        <v>109</v>
      </c>
      <c r="R23" s="103"/>
      <c r="U23" s="144"/>
      <c r="V23" s="146"/>
    </row>
    <row r="24" spans="1:22" x14ac:dyDescent="0.2">
      <c r="A24" s="1"/>
      <c r="B24" s="682" t="s">
        <v>172</v>
      </c>
      <c r="C24" s="724"/>
      <c r="D24" s="725"/>
      <c r="E24" s="315">
        <f t="shared" si="1"/>
        <v>4.41</v>
      </c>
      <c r="F24" s="83">
        <v>44.1</v>
      </c>
      <c r="G24" s="357" t="s">
        <v>111</v>
      </c>
      <c r="H24" s="358">
        <f>'[3]Base Preços MP'!G46</f>
        <v>1.6</v>
      </c>
      <c r="I24" s="315">
        <f>E24*14/100</f>
        <v>0.61740000000000006</v>
      </c>
      <c r="J24" s="359">
        <f>F24*H24</f>
        <v>70.56</v>
      </c>
      <c r="K24" s="111">
        <f t="shared" si="2"/>
        <v>8.2731600000000007</v>
      </c>
      <c r="L24" s="687" t="str">
        <f t="shared" si="0"/>
        <v>Ureia</v>
      </c>
      <c r="M24" s="687"/>
      <c r="N24" s="687"/>
      <c r="O24" s="117">
        <f>F24*M16/1000</f>
        <v>57.33</v>
      </c>
      <c r="P24" s="161">
        <v>7.4200000000000002E-2</v>
      </c>
      <c r="Q24" s="626" t="s">
        <v>111</v>
      </c>
      <c r="R24" s="103"/>
      <c r="U24" s="144"/>
      <c r="V24" s="146"/>
    </row>
    <row r="25" spans="1:22" x14ac:dyDescent="0.2">
      <c r="A25" s="1"/>
      <c r="B25" s="688" t="s">
        <v>544</v>
      </c>
      <c r="C25" s="689"/>
      <c r="D25" s="690"/>
      <c r="E25" s="315">
        <f t="shared" si="1"/>
        <v>0.01</v>
      </c>
      <c r="F25" s="83">
        <v>0.1</v>
      </c>
      <c r="G25" s="357" t="s">
        <v>112</v>
      </c>
      <c r="H25" s="358">
        <f>'[3]Base Preços MP'!G76</f>
        <v>53.78</v>
      </c>
      <c r="I25" s="315">
        <f>E23*13/100</f>
        <v>0.39</v>
      </c>
      <c r="J25" s="359">
        <f>F25*H25</f>
        <v>5.3780000000000001</v>
      </c>
      <c r="K25" s="111">
        <f t="shared" si="2"/>
        <v>5.2260000000000009</v>
      </c>
      <c r="L25" s="687" t="str">
        <f t="shared" si="0"/>
        <v>Algas Marinhas</v>
      </c>
      <c r="M25" s="687"/>
      <c r="N25" s="687"/>
      <c r="O25" s="117">
        <f>F25*M16/1000</f>
        <v>0.13</v>
      </c>
      <c r="P25" s="161">
        <v>5.382E-2</v>
      </c>
      <c r="Q25" s="626" t="s">
        <v>112</v>
      </c>
      <c r="R25" s="103"/>
      <c r="U25" s="144"/>
      <c r="V25" s="146"/>
    </row>
    <row r="26" spans="1:22" x14ac:dyDescent="0.2">
      <c r="A26" s="1"/>
      <c r="B26" s="682"/>
      <c r="C26" s="724"/>
      <c r="D26" s="725"/>
      <c r="E26" s="315">
        <f t="shared" si="1"/>
        <v>0</v>
      </c>
      <c r="F26" s="83"/>
      <c r="G26" s="357" t="s">
        <v>105</v>
      </c>
      <c r="H26" s="358">
        <f>'[4]Base Preços MP'!C69</f>
        <v>1</v>
      </c>
      <c r="I26" s="369">
        <f>E28*17/100</f>
        <v>0</v>
      </c>
      <c r="J26" s="359">
        <f t="shared" si="3"/>
        <v>0</v>
      </c>
      <c r="K26" s="111">
        <f t="shared" si="2"/>
        <v>0</v>
      </c>
      <c r="L26" s="687">
        <f t="shared" si="0"/>
        <v>0</v>
      </c>
      <c r="M26" s="687"/>
      <c r="N26" s="687"/>
      <c r="O26" s="117">
        <f>F26*M16/1000</f>
        <v>0</v>
      </c>
      <c r="P26" s="161">
        <v>9.3500000000000024E-3</v>
      </c>
      <c r="Q26" s="626" t="s">
        <v>105</v>
      </c>
      <c r="R26" s="103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58">
        <f>'[4]Base Preços MP'!C70</f>
        <v>2.5</v>
      </c>
      <c r="I27" s="369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626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58">
        <v>0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"/>
      <c r="H29" s="358">
        <v>0</v>
      </c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58">
        <v>0</v>
      </c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99.95</v>
      </c>
      <c r="F31" s="140">
        <f>SUM(F17:F30)</f>
        <v>999.5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383">
        <f>SUM(O17:O30)</f>
        <v>1299.3500000000001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</v>
      </c>
      <c r="E35" s="1"/>
      <c r="F35" s="1"/>
      <c r="G35" s="1"/>
      <c r="H35" s="17" t="s">
        <v>1</v>
      </c>
      <c r="I35" s="1"/>
      <c r="J35" s="25">
        <f>SUM(J17:J34)</f>
        <v>957.07299999999998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255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75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28"/>
      <c r="E39" s="68">
        <f>J35/J36</f>
        <v>0.95707299999999995</v>
      </c>
      <c r="F39" s="364"/>
      <c r="G39" s="3" t="s">
        <v>16</v>
      </c>
      <c r="H39" s="1"/>
      <c r="I39" s="39"/>
      <c r="J39" s="68">
        <f>E39*D35</f>
        <v>1.2441948999999999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71"/>
      <c r="E40" s="68">
        <v>0.1</v>
      </c>
      <c r="F40" s="16"/>
      <c r="G40" s="19" t="s">
        <v>17</v>
      </c>
      <c r="H40" s="4"/>
      <c r="I40" s="39"/>
      <c r="J40" s="68">
        <f>E40*D35</f>
        <v>0.13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7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28"/>
      <c r="E44" s="142">
        <f>E39+E40+E41+E42+E43</f>
        <v>1.0570729999999999</v>
      </c>
      <c r="F44" s="3"/>
      <c r="G44" s="3" t="s">
        <v>19</v>
      </c>
      <c r="H44" s="1"/>
      <c r="I44" s="33"/>
      <c r="J44" s="142">
        <f>J39+J40+J41+J42+J43</f>
        <v>1.3741949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>
        <v>0</v>
      </c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0.42000000000000004</v>
      </c>
      <c r="F49" s="36">
        <f>'[4]Base Preços MP'!C63</f>
        <v>0.54600000000000004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'[4]Base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0.66338461538461535</v>
      </c>
      <c r="F51" s="36">
        <f>'Base Preços MP'!C88</f>
        <v>0.86239999999999994</v>
      </c>
      <c r="G51" s="4" t="s">
        <v>590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0.42338461538461547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0.94653846153846144</v>
      </c>
      <c r="F53" s="36">
        <f>'[3]Base Preços MP'!C91</f>
        <v>1.2304999999999999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2.3173076923076921</v>
      </c>
      <c r="F54" s="36">
        <f>'[3]Base Preços MP'!C92</f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556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558</v>
      </c>
      <c r="H58" s="56"/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</f>
        <v>1.0570729999999999</v>
      </c>
      <c r="E59" s="67">
        <f>J44/I46</f>
        <v>1.3741949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'[4]FUEL BLACK 20%'!A60:B60</f>
        <v>Contentor Incluido</v>
      </c>
      <c r="B60" s="694"/>
      <c r="C60" s="74">
        <v>1000</v>
      </c>
      <c r="D60" s="70">
        <f>(E44+E49)/I46</f>
        <v>1.4770729999999999</v>
      </c>
      <c r="E60" s="70">
        <f>(J44+F49)/I46</f>
        <v>1.9201949</v>
      </c>
      <c r="F60" s="61" t="s">
        <v>89</v>
      </c>
      <c r="G60" s="438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 t="e">
        <f>(E44+E50)/I46</f>
        <v>#REF!</v>
      </c>
      <c r="E61" s="70" t="e">
        <f>(J44+F50)/I46</f>
        <v>#REF!</v>
      </c>
      <c r="F61" s="51" t="s">
        <v>90</v>
      </c>
      <c r="G61" s="438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(E44+E51)/I46</f>
        <v>1.7204576153846154</v>
      </c>
      <c r="E62" s="70">
        <f>(J44+F51)/I46</f>
        <v>2.2365949000000001</v>
      </c>
      <c r="F62" s="61" t="s">
        <v>559</v>
      </c>
      <c r="G62" s="438">
        <f>E62/0.92+0.5*D35</f>
        <v>3.0810814130434783</v>
      </c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(E44+E52)/I46</f>
        <v>1.4804576153846154</v>
      </c>
      <c r="E63" s="70">
        <f>(J44+F52)/I46</f>
        <v>1.9245949000000002</v>
      </c>
      <c r="F63" s="51" t="s">
        <v>90</v>
      </c>
      <c r="G63" s="438">
        <f>E63/0.92+0.5*D35</f>
        <v>2.7419509782608698</v>
      </c>
      <c r="H63" s="4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(E44+E53)/I46</f>
        <v>2.0036114615384615</v>
      </c>
      <c r="E64" s="70">
        <f>D64*D35</f>
        <v>2.6046949000000001</v>
      </c>
      <c r="F64" s="61" t="s">
        <v>94</v>
      </c>
      <c r="G64" s="627"/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(E54+E44)/I46</f>
        <v>3.374380692307692</v>
      </c>
      <c r="E65" s="70">
        <f>D65*D35</f>
        <v>4.3866949000000002</v>
      </c>
      <c r="F65" s="61" t="s">
        <v>95</v>
      </c>
      <c r="G65" s="627"/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623"/>
      <c r="F68" s="92"/>
      <c r="G68" s="623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623"/>
      <c r="F69" s="92"/>
      <c r="G69" s="623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9"/>
  <sheetViews>
    <sheetView topLeftCell="A16" workbookViewId="0">
      <selection activeCell="J46" sqref="J46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1" spans="1:18" x14ac:dyDescent="0.2">
      <c r="A1" t="s">
        <v>507</v>
      </c>
    </row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202</v>
      </c>
      <c r="D7" s="63"/>
      <c r="E7" s="63"/>
      <c r="F7" s="63" t="s">
        <v>34</v>
      </c>
      <c r="G7" s="24"/>
      <c r="H7" s="468" t="s">
        <v>331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474" t="s">
        <v>229</v>
      </c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484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43118</v>
      </c>
      <c r="D11" s="471"/>
      <c r="E11" s="4"/>
      <c r="F11" s="4"/>
      <c r="G11" s="1"/>
      <c r="H11" s="3" t="s">
        <v>47</v>
      </c>
      <c r="I11" s="64" t="s">
        <v>196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472" t="s">
        <v>67</v>
      </c>
      <c r="M15" s="472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470" t="s">
        <v>121</v>
      </c>
      <c r="L16" s="118">
        <v>1000</v>
      </c>
      <c r="M16" s="116">
        <f>L16*D35</f>
        <v>1300</v>
      </c>
      <c r="N16" s="714"/>
      <c r="O16" s="715"/>
      <c r="P16" s="473" t="s">
        <v>153</v>
      </c>
      <c r="Q16" s="366" t="s">
        <v>124</v>
      </c>
      <c r="R16" s="103"/>
    </row>
    <row r="17" spans="1:22" x14ac:dyDescent="0.2">
      <c r="A17" s="1"/>
      <c r="B17" s="673" t="s">
        <v>478</v>
      </c>
      <c r="C17" s="674"/>
      <c r="D17" s="675"/>
      <c r="E17" s="315">
        <f>F17/10</f>
        <v>35.619999999999997</v>
      </c>
      <c r="F17" s="367">
        <v>356.2</v>
      </c>
      <c r="G17" s="357" t="s">
        <v>125</v>
      </c>
      <c r="H17" s="358">
        <f>'Base Preços MP'!G10</f>
        <v>0.01</v>
      </c>
      <c r="I17" s="170">
        <f>E20*20/100+E26*7/100</f>
        <v>0.21900000000000003</v>
      </c>
      <c r="J17" s="359">
        <f>F17*H17</f>
        <v>3.5619999999999998</v>
      </c>
      <c r="K17" s="111">
        <f>I17*1.34*10</f>
        <v>2.9346000000000005</v>
      </c>
      <c r="L17" s="676" t="str">
        <f t="shared" ref="L17:L30" si="0">B17</f>
        <v>agua</v>
      </c>
      <c r="M17" s="677"/>
      <c r="N17" s="678"/>
      <c r="O17" s="117">
        <f>F17*M16/1000</f>
        <v>463.06</v>
      </c>
      <c r="P17" s="109">
        <v>7.0724400000000003</v>
      </c>
      <c r="Q17" s="473" t="s">
        <v>125</v>
      </c>
      <c r="R17" s="103"/>
      <c r="U17" s="144"/>
      <c r="V17" s="146"/>
    </row>
    <row r="18" spans="1:22" x14ac:dyDescent="0.2">
      <c r="A18" s="1"/>
      <c r="B18" s="682" t="s">
        <v>172</v>
      </c>
      <c r="C18" s="724"/>
      <c r="D18" s="725"/>
      <c r="E18" s="315">
        <f t="shared" ref="E18:E30" si="1">F18/10</f>
        <v>0</v>
      </c>
      <c r="F18" s="83"/>
      <c r="G18" s="357" t="s">
        <v>69</v>
      </c>
      <c r="H18" s="358">
        <f>'Base Preços MP'!G46</f>
        <v>1.7</v>
      </c>
      <c r="I18" s="357">
        <f>E19*52/100</f>
        <v>0</v>
      </c>
      <c r="J18" s="359">
        <f>F18*H18</f>
        <v>0</v>
      </c>
      <c r="K18" s="111">
        <f t="shared" ref="K18:K27" si="2">I18*1.34*10</f>
        <v>0</v>
      </c>
      <c r="L18" s="676" t="str">
        <f t="shared" si="0"/>
        <v>Ureia</v>
      </c>
      <c r="M18" s="677"/>
      <c r="N18" s="678"/>
      <c r="O18" s="117">
        <f>F18*M16/1000</f>
        <v>0</v>
      </c>
      <c r="P18" s="109">
        <v>1.7885999999999997</v>
      </c>
      <c r="Q18" s="473" t="s">
        <v>69</v>
      </c>
      <c r="R18" s="103"/>
      <c r="U18" s="144"/>
      <c r="V18" s="146"/>
    </row>
    <row r="19" spans="1:22" x14ac:dyDescent="0.2">
      <c r="A19" s="1"/>
      <c r="B19" s="682" t="s">
        <v>174</v>
      </c>
      <c r="C19" s="724"/>
      <c r="D19" s="725"/>
      <c r="E19" s="315">
        <f t="shared" si="1"/>
        <v>0</v>
      </c>
      <c r="F19" s="83"/>
      <c r="G19" s="357" t="s">
        <v>110</v>
      </c>
      <c r="H19" s="358">
        <f>'Base Preços MP'!G24</f>
        <v>4.3</v>
      </c>
      <c r="I19" s="357">
        <f>E18*75.5/100+E25*60/100</f>
        <v>3.3</v>
      </c>
      <c r="J19" s="359">
        <f t="shared" ref="J19:J30" si="3">F19*H19</f>
        <v>0</v>
      </c>
      <c r="K19" s="111">
        <f t="shared" si="2"/>
        <v>44.22</v>
      </c>
      <c r="L19" s="676" t="str">
        <f t="shared" si="0"/>
        <v>acido Nitrico</v>
      </c>
      <c r="M19" s="677"/>
      <c r="N19" s="678"/>
      <c r="O19" s="117">
        <f>F19*M16/1000</f>
        <v>0</v>
      </c>
      <c r="P19" s="109">
        <v>5.9720309999999994</v>
      </c>
      <c r="Q19" s="473" t="s">
        <v>110</v>
      </c>
      <c r="R19" s="103"/>
      <c r="U19" s="144"/>
      <c r="V19" s="146"/>
    </row>
    <row r="20" spans="1:22" x14ac:dyDescent="0.2">
      <c r="A20" s="1"/>
      <c r="B20" s="688" t="s">
        <v>113</v>
      </c>
      <c r="C20" s="689"/>
      <c r="D20" s="690"/>
      <c r="E20" s="315">
        <f t="shared" si="1"/>
        <v>0.39500000000000002</v>
      </c>
      <c r="F20" s="83">
        <v>3.95</v>
      </c>
      <c r="G20" s="357" t="s">
        <v>106</v>
      </c>
      <c r="H20" s="358">
        <f>'Base Preços MP'!G25</f>
        <v>1.64</v>
      </c>
      <c r="I20" s="170">
        <f>E27*27/100</f>
        <v>0</v>
      </c>
      <c r="J20" s="359">
        <f>H20*F20</f>
        <v>6.4779999999999998</v>
      </c>
      <c r="K20" s="111">
        <f t="shared" si="2"/>
        <v>0</v>
      </c>
      <c r="L20" s="676" t="str">
        <f t="shared" si="0"/>
        <v>UREIA</v>
      </c>
      <c r="M20" s="677"/>
      <c r="N20" s="678"/>
      <c r="O20" s="117">
        <f>F20*M16/1000</f>
        <v>5.1349999999999998</v>
      </c>
      <c r="P20" s="109">
        <v>4.3502400000000003</v>
      </c>
      <c r="Q20" s="473" t="s">
        <v>106</v>
      </c>
      <c r="R20" s="103"/>
      <c r="U20" s="144"/>
      <c r="V20" s="146"/>
    </row>
    <row r="21" spans="1:22" x14ac:dyDescent="0.2">
      <c r="A21" s="1"/>
      <c r="B21" s="683" t="s">
        <v>443</v>
      </c>
      <c r="C21" s="726"/>
      <c r="D21" s="727"/>
      <c r="E21" s="315">
        <f t="shared" si="1"/>
        <v>55</v>
      </c>
      <c r="F21" s="368">
        <v>550</v>
      </c>
      <c r="G21" s="357" t="s">
        <v>107</v>
      </c>
      <c r="H21" s="358">
        <f>'Base Preços MP'!G49</f>
        <v>0.81399999999999995</v>
      </c>
      <c r="I21" s="369">
        <f>E26*7/100</f>
        <v>0.14000000000000001</v>
      </c>
      <c r="J21" s="359">
        <f t="shared" si="3"/>
        <v>447.7</v>
      </c>
      <c r="K21" s="111">
        <f t="shared" si="2"/>
        <v>1.8760000000000001</v>
      </c>
      <c r="L21" s="686" t="str">
        <f t="shared" si="0"/>
        <v>Melaço liquido</v>
      </c>
      <c r="M21" s="686"/>
      <c r="N21" s="686"/>
      <c r="O21" s="117">
        <f>F21*M16/1000</f>
        <v>715</v>
      </c>
      <c r="P21" s="161">
        <v>0.41426000000000002</v>
      </c>
      <c r="Q21" s="473" t="s">
        <v>107</v>
      </c>
      <c r="R21" s="103"/>
      <c r="U21" s="144"/>
      <c r="V21" s="146"/>
    </row>
    <row r="22" spans="1:22" x14ac:dyDescent="0.2">
      <c r="A22" s="1"/>
      <c r="B22" s="682" t="s">
        <v>175</v>
      </c>
      <c r="C22" s="724"/>
      <c r="D22" s="725"/>
      <c r="E22" s="315">
        <f t="shared" si="1"/>
        <v>0.15</v>
      </c>
      <c r="F22" s="368">
        <v>1.5</v>
      </c>
      <c r="G22" s="357" t="s">
        <v>108</v>
      </c>
      <c r="H22" s="358">
        <f>'Base Preços MP'!G47</f>
        <v>20</v>
      </c>
      <c r="I22" s="369">
        <f>E21*14/100</f>
        <v>7.7</v>
      </c>
      <c r="J22" s="359">
        <f>F22*H22</f>
        <v>30</v>
      </c>
      <c r="K22" s="111">
        <f t="shared" si="2"/>
        <v>103.18</v>
      </c>
      <c r="L22" s="687" t="str">
        <f t="shared" si="0"/>
        <v>Biomix</v>
      </c>
      <c r="M22" s="687"/>
      <c r="N22" s="687"/>
      <c r="O22" s="117">
        <f>F22*M16/1000</f>
        <v>1.95</v>
      </c>
      <c r="P22" s="161">
        <v>2.198E-2</v>
      </c>
      <c r="Q22" s="473" t="s">
        <v>108</v>
      </c>
      <c r="R22" s="103"/>
      <c r="U22" s="144"/>
      <c r="V22" s="146"/>
    </row>
    <row r="23" spans="1:22" x14ac:dyDescent="0.2">
      <c r="A23" s="1"/>
      <c r="B23" s="682" t="s">
        <v>176</v>
      </c>
      <c r="C23" s="724"/>
      <c r="D23" s="725"/>
      <c r="E23" s="315">
        <f t="shared" si="1"/>
        <v>0</v>
      </c>
      <c r="F23" s="83"/>
      <c r="G23" s="357" t="s">
        <v>109</v>
      </c>
      <c r="H23" s="358">
        <f>'[4]Base Preços MP'!G42</f>
        <v>9.8699999999999992</v>
      </c>
      <c r="I23" s="369">
        <f>E22*21/100</f>
        <v>3.15E-2</v>
      </c>
      <c r="J23" s="359">
        <f t="shared" si="3"/>
        <v>0</v>
      </c>
      <c r="K23" s="111">
        <f t="shared" si="2"/>
        <v>0.42210000000000003</v>
      </c>
      <c r="L23" s="687" t="str">
        <f t="shared" si="0"/>
        <v>antiespumante</v>
      </c>
      <c r="M23" s="687"/>
      <c r="N23" s="687"/>
      <c r="O23" s="117">
        <f>F23*M16/1000</f>
        <v>0</v>
      </c>
      <c r="P23" s="161">
        <v>1.4070000000000001E-2</v>
      </c>
      <c r="Q23" s="473" t="s">
        <v>109</v>
      </c>
      <c r="R23" s="103"/>
      <c r="U23" s="144"/>
      <c r="V23" s="146"/>
    </row>
    <row r="24" spans="1:22" x14ac:dyDescent="0.2">
      <c r="A24" s="1"/>
      <c r="B24" s="682" t="s">
        <v>549</v>
      </c>
      <c r="C24" s="724"/>
      <c r="D24" s="725"/>
      <c r="E24" s="315">
        <f t="shared" si="1"/>
        <v>1.34</v>
      </c>
      <c r="F24" s="83">
        <v>13.4</v>
      </c>
      <c r="G24" s="357" t="s">
        <v>111</v>
      </c>
      <c r="H24" s="358">
        <f>'Base Preços MP'!G17</f>
        <v>6.9</v>
      </c>
      <c r="I24" s="315">
        <f>E24*14/100</f>
        <v>0.18760000000000002</v>
      </c>
      <c r="J24" s="359">
        <f>F24*H24</f>
        <v>92.460000000000008</v>
      </c>
      <c r="K24" s="111">
        <f t="shared" si="2"/>
        <v>2.5138400000000005</v>
      </c>
      <c r="L24" s="687" t="str">
        <f t="shared" si="0"/>
        <v>Acido fosfoRICO</v>
      </c>
      <c r="M24" s="687"/>
      <c r="N24" s="687"/>
      <c r="O24" s="117">
        <f>F24*M16/1000</f>
        <v>17.420000000000002</v>
      </c>
      <c r="P24" s="161">
        <v>7.4200000000000002E-2</v>
      </c>
      <c r="Q24" s="473" t="s">
        <v>111</v>
      </c>
      <c r="R24" s="103"/>
      <c r="U24" s="144"/>
      <c r="V24" s="146"/>
    </row>
    <row r="25" spans="1:22" x14ac:dyDescent="0.2">
      <c r="A25" s="1"/>
      <c r="B25" s="688" t="s">
        <v>550</v>
      </c>
      <c r="C25" s="689"/>
      <c r="D25" s="690"/>
      <c r="E25" s="315">
        <f t="shared" si="1"/>
        <v>5.5</v>
      </c>
      <c r="F25" s="83">
        <v>55</v>
      </c>
      <c r="G25" s="357" t="s">
        <v>112</v>
      </c>
      <c r="H25" s="358">
        <f>'Base Preços MP'!G32</f>
        <v>1.84</v>
      </c>
      <c r="I25" s="315">
        <f>E23*13/100</f>
        <v>0</v>
      </c>
      <c r="J25" s="359">
        <f>F25*H25</f>
        <v>101.2</v>
      </c>
      <c r="K25" s="111">
        <f t="shared" si="2"/>
        <v>0</v>
      </c>
      <c r="L25" s="687" t="str">
        <f t="shared" si="0"/>
        <v>Cloreto de Calcio SOLIDO</v>
      </c>
      <c r="M25" s="687"/>
      <c r="N25" s="687"/>
      <c r="O25" s="117">
        <f>F25*M16/1000</f>
        <v>71.5</v>
      </c>
      <c r="P25" s="161">
        <v>5.382E-2</v>
      </c>
      <c r="Q25" s="473" t="s">
        <v>112</v>
      </c>
      <c r="R25" s="103"/>
      <c r="U25" s="144"/>
      <c r="V25" s="146"/>
    </row>
    <row r="26" spans="1:22" x14ac:dyDescent="0.2">
      <c r="A26" s="1"/>
      <c r="B26" s="682" t="s">
        <v>479</v>
      </c>
      <c r="C26" s="724"/>
      <c r="D26" s="725"/>
      <c r="E26" s="315">
        <f t="shared" si="1"/>
        <v>2</v>
      </c>
      <c r="F26" s="83">
        <v>20</v>
      </c>
      <c r="G26" s="357" t="s">
        <v>105</v>
      </c>
      <c r="H26" s="358">
        <f>'Base Preços MP'!G79</f>
        <v>4.7</v>
      </c>
      <c r="I26" s="369">
        <f>E28*17/100</f>
        <v>0</v>
      </c>
      <c r="J26" s="359">
        <f t="shared" si="3"/>
        <v>94</v>
      </c>
      <c r="K26" s="111">
        <f t="shared" si="2"/>
        <v>0</v>
      </c>
      <c r="L26" s="687" t="str">
        <f t="shared" si="0"/>
        <v>aminoacidos</v>
      </c>
      <c r="M26" s="687"/>
      <c r="N26" s="687"/>
      <c r="O26" s="117">
        <f>F26*M16/1000</f>
        <v>26</v>
      </c>
      <c r="P26" s="161">
        <v>9.3500000000000024E-3</v>
      </c>
      <c r="Q26" s="473" t="s">
        <v>105</v>
      </c>
      <c r="R26" s="103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58">
        <f>'[4]Base Preços MP'!C70</f>
        <v>2.5</v>
      </c>
      <c r="I27" s="369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473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58"/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"/>
      <c r="H29" s="358"/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58"/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100.00500000000001</v>
      </c>
      <c r="F31" s="140">
        <f>SUM(F17:F30)</f>
        <v>1000.05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383">
        <f>SUM(O17:O30)</f>
        <v>1300.0650000000001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</v>
      </c>
      <c r="E35" s="1"/>
      <c r="F35" s="1"/>
      <c r="G35" s="1"/>
      <c r="H35" s="17" t="s">
        <v>1</v>
      </c>
      <c r="I35" s="1"/>
      <c r="J35" s="25">
        <f>SUM(J17:J34)</f>
        <v>775.40000000000009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255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75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520"/>
      <c r="E39" s="68">
        <f>J35/J36</f>
        <v>0.77540000000000009</v>
      </c>
      <c r="F39" s="364"/>
      <c r="G39" s="3" t="s">
        <v>16</v>
      </c>
      <c r="H39" s="1"/>
      <c r="I39" s="39"/>
      <c r="J39" s="68">
        <f>E39*D35</f>
        <v>1.0080200000000001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521"/>
      <c r="E40" s="68">
        <v>0.1</v>
      </c>
      <c r="F40" s="16"/>
      <c r="G40" s="19" t="s">
        <v>17</v>
      </c>
      <c r="H40" s="4"/>
      <c r="I40" s="39"/>
      <c r="J40" s="68">
        <f>E40*D35</f>
        <v>0.13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521"/>
      <c r="E41" s="68">
        <v>0.2</v>
      </c>
      <c r="F41" s="6"/>
      <c r="G41" s="3" t="s">
        <v>18</v>
      </c>
      <c r="H41" s="1"/>
      <c r="I41" s="39"/>
      <c r="J41" s="68">
        <f>E41*D35</f>
        <v>0.26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52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52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520"/>
      <c r="E44" s="142">
        <f>E39+E40+E41+E42+E43</f>
        <v>1.0754000000000001</v>
      </c>
      <c r="F44" s="3"/>
      <c r="G44" s="3" t="s">
        <v>19</v>
      </c>
      <c r="H44" s="1"/>
      <c r="I44" s="33"/>
      <c r="J44" s="142">
        <f>J39+J40+J41+J42+J43</f>
        <v>1.39802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/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471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v>0.19448062015503875</v>
      </c>
      <c r="F49" s="36"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>
        <v>0</v>
      </c>
      <c r="F50" s="36">
        <v>0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v>0.43023255813953493</v>
      </c>
      <c r="F51" s="36">
        <f>'Base Preços MP'!C88</f>
        <v>0.86239999999999994</v>
      </c>
      <c r="G51" s="4"/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v>0.3956589147286822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v>0.92286821705426358</v>
      </c>
      <c r="F53" s="36">
        <v>1.1905000000000001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v>2.3352713178294571</v>
      </c>
      <c r="F54" s="36"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318" t="s">
        <v>571</v>
      </c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551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569</v>
      </c>
      <c r="H58" s="56"/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240" t="s">
        <v>23</v>
      </c>
      <c r="D59" s="241">
        <f>E44/I46+D41</f>
        <v>1.0754000000000001</v>
      </c>
      <c r="E59" s="241">
        <f>D59*D35</f>
        <v>1.3980200000000003</v>
      </c>
      <c r="F59" s="280" t="s">
        <v>88</v>
      </c>
      <c r="G59" s="33"/>
      <c r="H59" s="33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'[4]FUEL BLACK 20%'!A60:B60</f>
        <v>Contentor Incluido</v>
      </c>
      <c r="B60" s="694"/>
      <c r="C60" s="74">
        <v>1000</v>
      </c>
      <c r="D60" s="70">
        <f>E44/I46+D41+E49</f>
        <v>1.269880620155039</v>
      </c>
      <c r="E60" s="70">
        <f>D60*D35</f>
        <v>1.6508448062015508</v>
      </c>
      <c r="F60" s="61" t="s">
        <v>89</v>
      </c>
      <c r="G60" s="33"/>
      <c r="H60" s="33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/>
      <c r="E61" s="70"/>
      <c r="F61" s="51" t="s">
        <v>90</v>
      </c>
      <c r="G61" s="33"/>
      <c r="H61" s="33"/>
      <c r="I61" s="16" t="s">
        <v>570</v>
      </c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E44/I46+E41+E51</f>
        <v>1.7056325581395351</v>
      </c>
      <c r="E62" s="70">
        <f>D62*D35</f>
        <v>2.2173223255813959</v>
      </c>
      <c r="F62" s="61" t="s">
        <v>552</v>
      </c>
      <c r="G62" s="438">
        <f>E62/0.88+0.5*D35</f>
        <v>3.1696844608879498</v>
      </c>
      <c r="H62" s="39">
        <f>E62+1.5</f>
        <v>3.7173223255813959</v>
      </c>
      <c r="I62" s="319">
        <f>H62/3.7</f>
        <v>1.0046817096165934</v>
      </c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(E44/I46)+D41+E52</f>
        <v>1.4710589147286823</v>
      </c>
      <c r="E63" s="70">
        <f>D63*D35</f>
        <v>1.912376589147287</v>
      </c>
      <c r="F63" s="51" t="s">
        <v>90</v>
      </c>
      <c r="G63" s="438">
        <f>E63/0.92+0.5*D35</f>
        <v>2.7286702055948768</v>
      </c>
      <c r="H63" s="33"/>
      <c r="I63" s="319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E44/I46+D41+E53</f>
        <v>1.9982682170542638</v>
      </c>
      <c r="E64" s="70">
        <f>D64*D35</f>
        <v>2.5977486821705429</v>
      </c>
      <c r="F64" s="61" t="s">
        <v>94</v>
      </c>
      <c r="G64" s="627"/>
      <c r="H64" s="39">
        <f>E64+1.5</f>
        <v>4.0977486821705433</v>
      </c>
      <c r="I64" s="33">
        <f>H64/3.7</f>
        <v>1.1074996438298765</v>
      </c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E44/I46+D41+E54</f>
        <v>3.4106713178294572</v>
      </c>
      <c r="E65" s="70">
        <f>D65*D35</f>
        <v>4.4338727131782942</v>
      </c>
      <c r="F65" s="61" t="s">
        <v>95</v>
      </c>
      <c r="G65" s="87"/>
      <c r="H65" s="39">
        <f>E65+1.5</f>
        <v>5.9338727131782942</v>
      </c>
      <c r="I65" s="33">
        <f>H65/3.7</f>
        <v>1.6037493819400794</v>
      </c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631"/>
      <c r="I66" s="3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3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469"/>
      <c r="F68" s="92"/>
      <c r="G68" s="469"/>
      <c r="H68" s="73"/>
      <c r="I68" s="3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469"/>
      <c r="F69" s="92"/>
      <c r="G69" s="469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I10:J10"/>
    <mergeCell ref="I6:K6"/>
    <mergeCell ref="I7:J7"/>
    <mergeCell ref="I8:J8"/>
    <mergeCell ref="G9:H9"/>
    <mergeCell ref="I9:J9"/>
    <mergeCell ref="L14:M14"/>
    <mergeCell ref="N16:O16"/>
    <mergeCell ref="B17:D17"/>
    <mergeCell ref="L17:N17"/>
    <mergeCell ref="B18:D18"/>
    <mergeCell ref="L18:N18"/>
    <mergeCell ref="B19:D19"/>
    <mergeCell ref="L19:N19"/>
    <mergeCell ref="B20:D20"/>
    <mergeCell ref="L20:N20"/>
    <mergeCell ref="B21:D21"/>
    <mergeCell ref="L21:N21"/>
    <mergeCell ref="B22:D22"/>
    <mergeCell ref="L22:N22"/>
    <mergeCell ref="B23:D23"/>
    <mergeCell ref="L23:N23"/>
    <mergeCell ref="B24:D24"/>
    <mergeCell ref="L24:N24"/>
    <mergeCell ref="B25:D25"/>
    <mergeCell ref="L25:N25"/>
    <mergeCell ref="B26:D26"/>
    <mergeCell ref="L26:N26"/>
    <mergeCell ref="B27:D27"/>
    <mergeCell ref="L27:N27"/>
    <mergeCell ref="B28:D28"/>
    <mergeCell ref="L28:N28"/>
    <mergeCell ref="B29:D29"/>
    <mergeCell ref="L29:N29"/>
    <mergeCell ref="B30:D30"/>
    <mergeCell ref="L30:N30"/>
    <mergeCell ref="B31:D31"/>
    <mergeCell ref="L31:N31"/>
    <mergeCell ref="L45:Q45"/>
    <mergeCell ref="L46:M46"/>
    <mergeCell ref="N46:O46"/>
    <mergeCell ref="P46:Q46"/>
    <mergeCell ref="L47:M47"/>
    <mergeCell ref="N47:O47"/>
    <mergeCell ref="P47:Q47"/>
    <mergeCell ref="L48:M48"/>
    <mergeCell ref="N48:O48"/>
    <mergeCell ref="P48:Q48"/>
    <mergeCell ref="L49:M49"/>
    <mergeCell ref="N49:O49"/>
    <mergeCell ref="P49:Q49"/>
    <mergeCell ref="L50:M50"/>
    <mergeCell ref="N50:O50"/>
    <mergeCell ref="P50:Q50"/>
    <mergeCell ref="L51:M51"/>
    <mergeCell ref="N51:O51"/>
    <mergeCell ref="P51:Q51"/>
    <mergeCell ref="L52:M52"/>
    <mergeCell ref="N52:O52"/>
    <mergeCell ref="P52:Q52"/>
    <mergeCell ref="L53:M53"/>
    <mergeCell ref="N53:O53"/>
    <mergeCell ref="P53:Q53"/>
    <mergeCell ref="L54:M54"/>
    <mergeCell ref="N54:O54"/>
    <mergeCell ref="P54:Q54"/>
    <mergeCell ref="A68:B68"/>
    <mergeCell ref="A69:B69"/>
    <mergeCell ref="L55:M55"/>
    <mergeCell ref="N55:O55"/>
    <mergeCell ref="P55:Q55"/>
    <mergeCell ref="A60:B60"/>
    <mergeCell ref="A66:B66"/>
    <mergeCell ref="A67:B6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9"/>
  <sheetViews>
    <sheetView topLeftCell="A25" workbookViewId="0">
      <selection activeCell="J61" sqref="J61"/>
    </sheetView>
  </sheetViews>
  <sheetFormatPr defaultColWidth="11.42578125" defaultRowHeight="12.75" x14ac:dyDescent="0.2"/>
  <cols>
    <col min="1" max="1" width="4.28515625" customWidth="1"/>
    <col min="2" max="2" width="13.42578125" customWidth="1"/>
    <col min="3" max="3" width="13.85546875" customWidth="1"/>
    <col min="4" max="4" width="14.28515625" customWidth="1"/>
    <col min="5" max="5" width="15.140625" customWidth="1"/>
    <col min="6" max="6" width="13.5703125" customWidth="1"/>
    <col min="7" max="7" width="12.85546875" customWidth="1"/>
    <col min="8" max="8" width="18.42578125" customWidth="1"/>
    <col min="9" max="9" width="7.42578125" customWidth="1"/>
    <col min="10" max="10" width="12.28515625" customWidth="1"/>
    <col min="11" max="13" width="11.42578125" customWidth="1"/>
    <col min="14" max="14" width="18.42578125" customWidth="1"/>
    <col min="15" max="15" width="11.85546875" customWidth="1"/>
  </cols>
  <sheetData>
    <row r="3" spans="1:18" x14ac:dyDescent="0.2">
      <c r="A3" s="148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">
      <c r="A4" s="148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">
      <c r="A5" s="148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</row>
    <row r="6" spans="1:18" ht="15.75" x14ac:dyDescent="0.25">
      <c r="A6" s="1"/>
      <c r="B6" s="2" t="s">
        <v>29</v>
      </c>
      <c r="C6" s="1"/>
      <c r="D6" s="1"/>
      <c r="E6" s="1"/>
      <c r="F6" s="1"/>
      <c r="G6" s="24"/>
      <c r="H6" s="103" t="s">
        <v>114</v>
      </c>
      <c r="I6" s="659"/>
      <c r="J6" s="660"/>
      <c r="K6" s="661"/>
      <c r="L6" s="103"/>
      <c r="M6" s="103"/>
      <c r="N6" s="103"/>
      <c r="O6" s="103"/>
      <c r="P6" s="103"/>
      <c r="Q6" s="103"/>
      <c r="R6" s="103"/>
    </row>
    <row r="7" spans="1:18" ht="15.75" x14ac:dyDescent="0.25">
      <c r="A7" s="1"/>
      <c r="B7" s="3" t="s">
        <v>0</v>
      </c>
      <c r="C7" s="63" t="s">
        <v>541</v>
      </c>
      <c r="D7" s="63"/>
      <c r="E7" s="63"/>
      <c r="F7" s="63" t="s">
        <v>34</v>
      </c>
      <c r="G7" s="24"/>
      <c r="H7" s="616" t="s">
        <v>331</v>
      </c>
      <c r="I7" s="722"/>
      <c r="J7" s="663"/>
      <c r="K7" s="1"/>
      <c r="L7" s="103"/>
      <c r="M7" s="103"/>
      <c r="N7" s="103"/>
      <c r="O7" s="103"/>
      <c r="P7" s="103"/>
      <c r="Q7" s="103"/>
      <c r="R7" s="103"/>
    </row>
    <row r="8" spans="1:18" ht="15.75" x14ac:dyDescent="0.25">
      <c r="A8" s="1"/>
      <c r="B8" s="3"/>
      <c r="C8" s="10"/>
      <c r="D8" s="10"/>
      <c r="E8" s="4"/>
      <c r="F8" s="4"/>
      <c r="G8" s="24"/>
      <c r="H8" s="511"/>
      <c r="I8" s="723"/>
      <c r="J8" s="665"/>
      <c r="K8" s="103"/>
      <c r="L8" s="103"/>
      <c r="M8" s="103"/>
      <c r="N8" s="103"/>
      <c r="O8" s="103"/>
      <c r="P8" s="103"/>
      <c r="Q8" s="103"/>
      <c r="R8" s="103"/>
    </row>
    <row r="9" spans="1:18" ht="15.75" x14ac:dyDescent="0.25">
      <c r="A9" s="1"/>
      <c r="B9" s="3" t="s">
        <v>3</v>
      </c>
      <c r="C9" s="8" t="s">
        <v>545</v>
      </c>
      <c r="D9" s="9"/>
      <c r="E9" s="9"/>
      <c r="F9" s="9"/>
      <c r="G9" s="709" t="s">
        <v>136</v>
      </c>
      <c r="H9" s="667"/>
      <c r="I9" s="668"/>
      <c r="J9" s="663"/>
      <c r="K9" s="103"/>
      <c r="L9" s="103"/>
      <c r="M9" s="103"/>
      <c r="N9" s="103"/>
      <c r="O9" s="103"/>
      <c r="P9" s="103"/>
      <c r="Q9" s="103"/>
      <c r="R9" s="103"/>
    </row>
    <row r="10" spans="1:18" ht="15.75" x14ac:dyDescent="0.25">
      <c r="A10" s="1"/>
      <c r="B10" s="3"/>
      <c r="C10" s="10"/>
      <c r="D10" s="4"/>
      <c r="E10" s="4"/>
      <c r="F10" s="4"/>
      <c r="G10" s="24"/>
      <c r="H10" s="3" t="s">
        <v>119</v>
      </c>
      <c r="I10" s="713" t="s">
        <v>123</v>
      </c>
      <c r="J10" s="670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">
      <c r="A11" s="1"/>
      <c r="B11" s="3" t="s">
        <v>46</v>
      </c>
      <c r="C11" s="62">
        <v>42558</v>
      </c>
      <c r="D11" s="507"/>
      <c r="E11" s="4"/>
      <c r="F11" s="4"/>
      <c r="G11" s="1"/>
      <c r="H11" s="3" t="s">
        <v>47</v>
      </c>
      <c r="I11" s="64" t="s">
        <v>196</v>
      </c>
      <c r="J11" s="64"/>
      <c r="K11" s="103"/>
      <c r="L11" s="103"/>
      <c r="M11" s="103"/>
      <c r="N11" s="103"/>
      <c r="O11" s="103"/>
      <c r="P11" s="103"/>
      <c r="Q11" s="103"/>
      <c r="R11" s="103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03"/>
      <c r="L13" s="103"/>
      <c r="M13" s="103"/>
      <c r="N13" s="103"/>
      <c r="O13" s="103"/>
      <c r="P13" s="103"/>
      <c r="Q13" s="103"/>
      <c r="R13" s="103"/>
    </row>
    <row r="14" spans="1:18" ht="13.5" thickBot="1" x14ac:dyDescent="0.25">
      <c r="A14" s="1"/>
      <c r="B14" s="1"/>
      <c r="C14" s="1"/>
      <c r="D14" s="1"/>
      <c r="E14" s="1"/>
      <c r="F14" s="315" t="s">
        <v>103</v>
      </c>
      <c r="G14" s="1"/>
      <c r="H14" s="29" t="s">
        <v>72</v>
      </c>
      <c r="I14" s="1"/>
      <c r="J14" s="1"/>
      <c r="K14" s="103"/>
      <c r="L14" s="714" t="s">
        <v>116</v>
      </c>
      <c r="M14" s="715"/>
      <c r="N14" s="1"/>
      <c r="O14" s="1"/>
      <c r="P14" s="103"/>
      <c r="Q14" s="103"/>
      <c r="R14" s="103"/>
    </row>
    <row r="15" spans="1:18" ht="13.5" thickBot="1" x14ac:dyDescent="0.25">
      <c r="A15" s="1"/>
      <c r="B15" s="12" t="s">
        <v>4</v>
      </c>
      <c r="C15" s="13"/>
      <c r="D15" s="14"/>
      <c r="E15" s="4"/>
      <c r="F15" s="15" t="s">
        <v>5</v>
      </c>
      <c r="G15" s="1"/>
      <c r="H15" s="15" t="s">
        <v>6</v>
      </c>
      <c r="I15" s="1"/>
      <c r="J15" s="15" t="s">
        <v>1</v>
      </c>
      <c r="K15" s="103"/>
      <c r="L15" s="618" t="s">
        <v>67</v>
      </c>
      <c r="M15" s="618" t="s">
        <v>117</v>
      </c>
      <c r="N15" s="1"/>
      <c r="O15" s="1"/>
      <c r="P15" s="103"/>
      <c r="Q15" s="103"/>
      <c r="R15" s="103"/>
    </row>
    <row r="16" spans="1:18" x14ac:dyDescent="0.2">
      <c r="A16" s="1"/>
      <c r="B16" s="3" t="s">
        <v>7</v>
      </c>
      <c r="C16" s="3"/>
      <c r="D16" s="1"/>
      <c r="E16" s="315" t="s">
        <v>21</v>
      </c>
      <c r="F16" s="3" t="s">
        <v>48</v>
      </c>
      <c r="G16" s="315" t="s">
        <v>124</v>
      </c>
      <c r="H16" s="16" t="s">
        <v>137</v>
      </c>
      <c r="I16" s="315" t="s">
        <v>21</v>
      </c>
      <c r="J16" s="16"/>
      <c r="K16" s="617" t="s">
        <v>121</v>
      </c>
      <c r="L16" s="118">
        <v>1000</v>
      </c>
      <c r="M16" s="116">
        <f>L16*D35</f>
        <v>1300</v>
      </c>
      <c r="N16" s="714"/>
      <c r="O16" s="715"/>
      <c r="P16" s="619" t="s">
        <v>153</v>
      </c>
      <c r="Q16" s="366" t="s">
        <v>124</v>
      </c>
      <c r="R16" s="103"/>
    </row>
    <row r="17" spans="1:22" x14ac:dyDescent="0.2">
      <c r="A17" s="1"/>
      <c r="B17" s="673" t="s">
        <v>49</v>
      </c>
      <c r="C17" s="674"/>
      <c r="D17" s="675"/>
      <c r="E17" s="315">
        <f>F17/10</f>
        <v>31.389999999999997</v>
      </c>
      <c r="F17" s="367">
        <v>313.89999999999998</v>
      </c>
      <c r="G17" s="357" t="s">
        <v>125</v>
      </c>
      <c r="H17" s="358">
        <f>'[3]Base Preços MP'!G10</f>
        <v>0.01</v>
      </c>
      <c r="I17" s="170">
        <f>E20*20/100+E26*7/100</f>
        <v>1.9000000000000003E-2</v>
      </c>
      <c r="J17" s="359">
        <f>F17*H17</f>
        <v>3.1389999999999998</v>
      </c>
      <c r="K17" s="111">
        <f>I17*1.34*10</f>
        <v>0.25460000000000005</v>
      </c>
      <c r="L17" s="676" t="str">
        <f t="shared" ref="L17:L30" si="0">B17</f>
        <v>Agua</v>
      </c>
      <c r="M17" s="677"/>
      <c r="N17" s="678"/>
      <c r="O17" s="117">
        <f>F17*M16/1000</f>
        <v>408.06999999999994</v>
      </c>
      <c r="P17" s="109">
        <v>7.0724400000000003</v>
      </c>
      <c r="Q17" s="619" t="s">
        <v>125</v>
      </c>
      <c r="R17" s="103"/>
      <c r="U17" s="144"/>
      <c r="V17" s="146"/>
    </row>
    <row r="18" spans="1:22" x14ac:dyDescent="0.2">
      <c r="A18" s="1"/>
      <c r="B18" s="682" t="s">
        <v>546</v>
      </c>
      <c r="C18" s="724"/>
      <c r="D18" s="725"/>
      <c r="E18" s="315">
        <f t="shared" ref="E18:E30" si="1">F18/10</f>
        <v>6.5</v>
      </c>
      <c r="F18" s="83">
        <v>65</v>
      </c>
      <c r="G18" s="357" t="s">
        <v>69</v>
      </c>
      <c r="H18" s="358">
        <f>'Base Preços MP'!G32</f>
        <v>1.84</v>
      </c>
      <c r="I18" s="357">
        <f>E19*52/100</f>
        <v>2.1840000000000002</v>
      </c>
      <c r="J18" s="359">
        <f>F18*H18</f>
        <v>119.60000000000001</v>
      </c>
      <c r="K18" s="111">
        <f t="shared" ref="K18:K27" si="2">I18*1.34*10</f>
        <v>29.265600000000003</v>
      </c>
      <c r="L18" s="676" t="str">
        <f t="shared" si="0"/>
        <v>Cloreto de Ca solido</v>
      </c>
      <c r="M18" s="677"/>
      <c r="N18" s="678"/>
      <c r="O18" s="117">
        <f>F18*M16/1000</f>
        <v>84.5</v>
      </c>
      <c r="P18" s="109">
        <v>1.7885999999999997</v>
      </c>
      <c r="Q18" s="619" t="s">
        <v>69</v>
      </c>
      <c r="R18" s="103"/>
      <c r="U18" s="144"/>
      <c r="V18" s="146"/>
    </row>
    <row r="19" spans="1:22" x14ac:dyDescent="0.2">
      <c r="A19" s="1"/>
      <c r="B19" s="682" t="s">
        <v>332</v>
      </c>
      <c r="C19" s="724"/>
      <c r="D19" s="725"/>
      <c r="E19" s="315">
        <f t="shared" si="1"/>
        <v>4.2</v>
      </c>
      <c r="F19" s="83">
        <v>42</v>
      </c>
      <c r="G19" s="357" t="s">
        <v>110</v>
      </c>
      <c r="H19" s="358">
        <f>'[3]Base Preços MP'!G17</f>
        <v>6.6</v>
      </c>
      <c r="I19" s="357">
        <f>E18*75.5/100+E25*60/100</f>
        <v>4.9224999999999994</v>
      </c>
      <c r="J19" s="359">
        <f t="shared" ref="J19:J30" si="3">F19*H19</f>
        <v>277.2</v>
      </c>
      <c r="K19" s="111">
        <f t="shared" si="2"/>
        <v>65.961500000000001</v>
      </c>
      <c r="L19" s="676" t="str">
        <f t="shared" si="0"/>
        <v>Acido fosforoso</v>
      </c>
      <c r="M19" s="677"/>
      <c r="N19" s="678"/>
      <c r="O19" s="117">
        <f>F19*M16/1000</f>
        <v>54.6</v>
      </c>
      <c r="P19" s="109">
        <v>5.9720309999999994</v>
      </c>
      <c r="Q19" s="619" t="s">
        <v>110</v>
      </c>
      <c r="R19" s="103"/>
      <c r="U19" s="144"/>
      <c r="V19" s="146"/>
    </row>
    <row r="20" spans="1:22" x14ac:dyDescent="0.2">
      <c r="A20" s="1"/>
      <c r="B20" s="688" t="s">
        <v>197</v>
      </c>
      <c r="C20" s="689"/>
      <c r="D20" s="690"/>
      <c r="E20" s="315">
        <f t="shared" si="1"/>
        <v>2.5000000000000001E-2</v>
      </c>
      <c r="F20" s="83">
        <v>0.25</v>
      </c>
      <c r="G20" s="357" t="s">
        <v>106</v>
      </c>
      <c r="H20" s="358">
        <f>'[3]Base Preços MP'!G75</f>
        <v>24.1</v>
      </c>
      <c r="I20" s="170">
        <f>E27*27/100</f>
        <v>0</v>
      </c>
      <c r="J20" s="359">
        <f>H20*F20</f>
        <v>6.0250000000000004</v>
      </c>
      <c r="K20" s="111">
        <f t="shared" si="2"/>
        <v>0</v>
      </c>
      <c r="L20" s="676" t="str">
        <f t="shared" si="0"/>
        <v>Acidos Fulvicos</v>
      </c>
      <c r="M20" s="677"/>
      <c r="N20" s="678"/>
      <c r="O20" s="117">
        <f>F20*M16/1000</f>
        <v>0.32500000000000001</v>
      </c>
      <c r="P20" s="109">
        <v>4.3502400000000003</v>
      </c>
      <c r="Q20" s="619" t="s">
        <v>106</v>
      </c>
      <c r="R20" s="103"/>
      <c r="U20" s="144"/>
      <c r="V20" s="146"/>
    </row>
    <row r="21" spans="1:22" x14ac:dyDescent="0.2">
      <c r="A21" s="1"/>
      <c r="B21" s="683" t="s">
        <v>443</v>
      </c>
      <c r="C21" s="726"/>
      <c r="D21" s="727"/>
      <c r="E21" s="315">
        <f t="shared" si="1"/>
        <v>38.049999999999997</v>
      </c>
      <c r="F21" s="368">
        <v>380.5</v>
      </c>
      <c r="G21" s="357" t="s">
        <v>107</v>
      </c>
      <c r="H21" s="358">
        <f>'[3]Base Preços MP'!G49</f>
        <v>1.2</v>
      </c>
      <c r="I21" s="369">
        <f>E26*7/100</f>
        <v>1.4000000000000002E-2</v>
      </c>
      <c r="J21" s="359">
        <f t="shared" si="3"/>
        <v>456.59999999999997</v>
      </c>
      <c r="K21" s="111">
        <f t="shared" si="2"/>
        <v>0.18760000000000002</v>
      </c>
      <c r="L21" s="686" t="str">
        <f t="shared" si="0"/>
        <v>Melaço liquido</v>
      </c>
      <c r="M21" s="686"/>
      <c r="N21" s="686"/>
      <c r="O21" s="117">
        <f>F21*M16/1000</f>
        <v>494.65</v>
      </c>
      <c r="P21" s="161">
        <v>0.41426000000000002</v>
      </c>
      <c r="Q21" s="619" t="s">
        <v>107</v>
      </c>
      <c r="R21" s="103"/>
      <c r="U21" s="144"/>
      <c r="V21" s="146"/>
    </row>
    <row r="22" spans="1:22" x14ac:dyDescent="0.2">
      <c r="A22" s="1"/>
      <c r="B22" s="682" t="s">
        <v>542</v>
      </c>
      <c r="C22" s="724"/>
      <c r="D22" s="725"/>
      <c r="E22" s="315">
        <f t="shared" si="1"/>
        <v>12.3</v>
      </c>
      <c r="F22" s="368">
        <v>123</v>
      </c>
      <c r="G22" s="357" t="s">
        <v>108</v>
      </c>
      <c r="H22" s="358">
        <f>'[3]Base Preços MP'!G25</f>
        <v>1.38</v>
      </c>
      <c r="I22" s="369">
        <f>E21*14/100</f>
        <v>5.3269999999999991</v>
      </c>
      <c r="J22" s="359">
        <f>F22*H22</f>
        <v>169.73999999999998</v>
      </c>
      <c r="K22" s="111">
        <f t="shared" si="2"/>
        <v>71.381799999999998</v>
      </c>
      <c r="L22" s="687" t="str">
        <f t="shared" si="0"/>
        <v>Cloreto de Potassio 60%</v>
      </c>
      <c r="M22" s="687"/>
      <c r="N22" s="687"/>
      <c r="O22" s="117">
        <f>F22*M16/1000</f>
        <v>159.9</v>
      </c>
      <c r="P22" s="161">
        <v>2.198E-2</v>
      </c>
      <c r="Q22" s="619" t="s">
        <v>108</v>
      </c>
      <c r="R22" s="103"/>
      <c r="U22" s="144"/>
      <c r="V22" s="146"/>
    </row>
    <row r="23" spans="1:22" x14ac:dyDescent="0.2">
      <c r="A23" s="1"/>
      <c r="B23" s="682" t="s">
        <v>543</v>
      </c>
      <c r="C23" s="724"/>
      <c r="D23" s="725"/>
      <c r="E23" s="315">
        <f t="shared" si="1"/>
        <v>2.8600000000000003</v>
      </c>
      <c r="F23" s="83">
        <v>28.6</v>
      </c>
      <c r="G23" s="357" t="s">
        <v>109</v>
      </c>
      <c r="H23" s="358">
        <f>'Base Preços MP'!G12</f>
        <v>5.0999999999999996</v>
      </c>
      <c r="I23" s="369">
        <f>E22*21/100</f>
        <v>2.5830000000000002</v>
      </c>
      <c r="J23" s="359">
        <f t="shared" si="3"/>
        <v>145.85999999999999</v>
      </c>
      <c r="K23" s="111">
        <f t="shared" si="2"/>
        <v>34.612200000000001</v>
      </c>
      <c r="L23" s="687" t="str">
        <f t="shared" si="0"/>
        <v>Potassa Caustica</v>
      </c>
      <c r="M23" s="687"/>
      <c r="N23" s="687"/>
      <c r="O23" s="117">
        <f>F23*M16/1000</f>
        <v>37.18</v>
      </c>
      <c r="P23" s="161">
        <v>1.4070000000000001E-2</v>
      </c>
      <c r="Q23" s="619" t="s">
        <v>109</v>
      </c>
      <c r="R23" s="103"/>
      <c r="U23" s="144"/>
      <c r="V23" s="146"/>
    </row>
    <row r="24" spans="1:22" x14ac:dyDescent="0.2">
      <c r="A24" s="1"/>
      <c r="B24" s="682" t="s">
        <v>172</v>
      </c>
      <c r="C24" s="724"/>
      <c r="D24" s="725"/>
      <c r="E24" s="315">
        <f t="shared" si="1"/>
        <v>4.45</v>
      </c>
      <c r="F24" s="83">
        <v>44.5</v>
      </c>
      <c r="G24" s="357" t="s">
        <v>111</v>
      </c>
      <c r="H24" s="358">
        <f>'Base Preços MP'!G46</f>
        <v>1.7</v>
      </c>
      <c r="I24" s="315">
        <f>E24*14/100</f>
        <v>0.623</v>
      </c>
      <c r="J24" s="359">
        <f>F24*H24</f>
        <v>75.649999999999991</v>
      </c>
      <c r="K24" s="111">
        <f t="shared" si="2"/>
        <v>8.3482000000000003</v>
      </c>
      <c r="L24" s="687" t="str">
        <f t="shared" si="0"/>
        <v>Ureia</v>
      </c>
      <c r="M24" s="687"/>
      <c r="N24" s="687"/>
      <c r="O24" s="117">
        <f>F24*M16/1000</f>
        <v>57.85</v>
      </c>
      <c r="P24" s="161">
        <v>7.4200000000000002E-2</v>
      </c>
      <c r="Q24" s="619" t="s">
        <v>111</v>
      </c>
      <c r="R24" s="103"/>
      <c r="U24" s="144"/>
      <c r="V24" s="146"/>
    </row>
    <row r="25" spans="1:22" x14ac:dyDescent="0.2">
      <c r="A25" s="1"/>
      <c r="B25" s="688" t="s">
        <v>544</v>
      </c>
      <c r="C25" s="689"/>
      <c r="D25" s="690"/>
      <c r="E25" s="315">
        <f t="shared" si="1"/>
        <v>2.5000000000000001E-2</v>
      </c>
      <c r="F25" s="83">
        <v>0.25</v>
      </c>
      <c r="G25" s="357" t="s">
        <v>112</v>
      </c>
      <c r="H25" s="358">
        <f>'[3]Base Preços MP'!G76</f>
        <v>53.78</v>
      </c>
      <c r="I25" s="315">
        <f>E23*13/100</f>
        <v>0.37180000000000007</v>
      </c>
      <c r="J25" s="359">
        <f>F25*H25</f>
        <v>13.445</v>
      </c>
      <c r="K25" s="111">
        <f t="shared" si="2"/>
        <v>4.9821200000000019</v>
      </c>
      <c r="L25" s="687" t="str">
        <f t="shared" si="0"/>
        <v>Algas Marinhas</v>
      </c>
      <c r="M25" s="687"/>
      <c r="N25" s="687"/>
      <c r="O25" s="117">
        <f>F25*M16/1000</f>
        <v>0.32500000000000001</v>
      </c>
      <c r="P25" s="161">
        <v>5.382E-2</v>
      </c>
      <c r="Q25" s="619" t="s">
        <v>112</v>
      </c>
      <c r="R25" s="103"/>
      <c r="U25" s="144"/>
      <c r="V25" s="146"/>
    </row>
    <row r="26" spans="1:22" x14ac:dyDescent="0.2">
      <c r="A26" s="1"/>
      <c r="B26" s="682" t="s">
        <v>479</v>
      </c>
      <c r="C26" s="724"/>
      <c r="D26" s="725"/>
      <c r="E26" s="315">
        <f t="shared" si="1"/>
        <v>0.2</v>
      </c>
      <c r="F26" s="83">
        <v>2</v>
      </c>
      <c r="G26" s="357" t="s">
        <v>105</v>
      </c>
      <c r="H26" s="358">
        <f>'[3]Base Preços MP'!G79</f>
        <v>4.7</v>
      </c>
      <c r="I26" s="369">
        <f>E28*17/100</f>
        <v>0</v>
      </c>
      <c r="J26" s="359">
        <f t="shared" si="3"/>
        <v>9.4</v>
      </c>
      <c r="K26" s="111">
        <f t="shared" si="2"/>
        <v>0</v>
      </c>
      <c r="L26" s="687" t="str">
        <f t="shared" si="0"/>
        <v>aminoacidos</v>
      </c>
      <c r="M26" s="687"/>
      <c r="N26" s="687"/>
      <c r="O26" s="117">
        <f>F26*M16/1000</f>
        <v>2.6</v>
      </c>
      <c r="P26" s="161">
        <v>9.3500000000000024E-3</v>
      </c>
      <c r="Q26" s="619" t="s">
        <v>105</v>
      </c>
      <c r="R26" s="103"/>
      <c r="U26" s="144"/>
      <c r="V26" s="146"/>
    </row>
    <row r="27" spans="1:22" x14ac:dyDescent="0.2">
      <c r="A27" s="1"/>
      <c r="B27" s="688"/>
      <c r="C27" s="689"/>
      <c r="D27" s="690"/>
      <c r="E27" s="315">
        <f t="shared" si="1"/>
        <v>0</v>
      </c>
      <c r="F27" s="83"/>
      <c r="G27" s="357" t="s">
        <v>122</v>
      </c>
      <c r="H27" s="358">
        <f>'[4]Base Preços MP'!C70</f>
        <v>2.5</v>
      </c>
      <c r="I27" s="369">
        <f>E29*39/100</f>
        <v>0</v>
      </c>
      <c r="J27" s="359">
        <f t="shared" si="3"/>
        <v>0</v>
      </c>
      <c r="K27" s="111">
        <f t="shared" si="2"/>
        <v>0</v>
      </c>
      <c r="L27" s="687">
        <f t="shared" si="0"/>
        <v>0</v>
      </c>
      <c r="M27" s="687"/>
      <c r="N27" s="687"/>
      <c r="O27" s="117">
        <f>F27*M16/1000</f>
        <v>0</v>
      </c>
      <c r="P27" s="161">
        <v>2.7300000000000002E-3</v>
      </c>
      <c r="Q27" s="619" t="s">
        <v>122</v>
      </c>
      <c r="R27" s="103"/>
      <c r="U27" s="144"/>
      <c r="V27" s="146"/>
    </row>
    <row r="28" spans="1:22" x14ac:dyDescent="0.2">
      <c r="A28" s="1"/>
      <c r="B28" s="682"/>
      <c r="C28" s="724"/>
      <c r="D28" s="725"/>
      <c r="E28" s="315">
        <f t="shared" si="1"/>
        <v>0</v>
      </c>
      <c r="F28" s="83"/>
      <c r="G28" s="1"/>
      <c r="H28" s="358">
        <v>0</v>
      </c>
      <c r="I28" s="1"/>
      <c r="J28" s="359">
        <f>F28*H28</f>
        <v>0</v>
      </c>
      <c r="K28" s="103"/>
      <c r="L28" s="687">
        <f t="shared" si="0"/>
        <v>0</v>
      </c>
      <c r="M28" s="687"/>
      <c r="N28" s="687"/>
      <c r="O28" s="117">
        <f>F28*M16/1000</f>
        <v>0</v>
      </c>
      <c r="P28" s="103"/>
      <c r="Q28" s="103"/>
      <c r="R28" s="103"/>
      <c r="U28" s="144"/>
      <c r="V28" s="146"/>
    </row>
    <row r="29" spans="1:22" x14ac:dyDescent="0.2">
      <c r="A29" s="1"/>
      <c r="B29" s="682"/>
      <c r="C29" s="724"/>
      <c r="D29" s="725"/>
      <c r="E29" s="315">
        <f t="shared" si="1"/>
        <v>0</v>
      </c>
      <c r="F29" s="83"/>
      <c r="G29" s="1"/>
      <c r="H29" s="358">
        <v>0</v>
      </c>
      <c r="I29" s="1"/>
      <c r="J29" s="359">
        <f t="shared" si="3"/>
        <v>0</v>
      </c>
      <c r="K29" s="103"/>
      <c r="L29" s="687">
        <f t="shared" si="0"/>
        <v>0</v>
      </c>
      <c r="M29" s="687"/>
      <c r="N29" s="687"/>
      <c r="O29" s="117">
        <f>F29*M16/1000</f>
        <v>0</v>
      </c>
      <c r="P29" s="103"/>
      <c r="Q29" s="103"/>
      <c r="R29" s="103"/>
      <c r="U29" s="144"/>
      <c r="V29" s="146"/>
    </row>
    <row r="30" spans="1:22" x14ac:dyDescent="0.2">
      <c r="A30" s="1"/>
      <c r="B30" s="682"/>
      <c r="C30" s="724"/>
      <c r="D30" s="725"/>
      <c r="E30" s="315">
        <f t="shared" si="1"/>
        <v>0</v>
      </c>
      <c r="F30" s="83"/>
      <c r="G30" s="1"/>
      <c r="H30" s="358">
        <v>0</v>
      </c>
      <c r="I30" s="1"/>
      <c r="J30" s="359">
        <f t="shared" si="3"/>
        <v>0</v>
      </c>
      <c r="K30" s="103"/>
      <c r="L30" s="687">
        <f t="shared" si="0"/>
        <v>0</v>
      </c>
      <c r="M30" s="687"/>
      <c r="N30" s="687"/>
      <c r="O30" s="117">
        <f>F30*M16/1000</f>
        <v>0</v>
      </c>
      <c r="P30" s="103"/>
      <c r="Q30" s="103"/>
      <c r="R30" s="103"/>
      <c r="U30" s="144"/>
      <c r="V30" s="146"/>
    </row>
    <row r="31" spans="1:22" x14ac:dyDescent="0.2">
      <c r="A31" s="1"/>
      <c r="B31" s="659" t="s">
        <v>104</v>
      </c>
      <c r="C31" s="660"/>
      <c r="D31" s="661"/>
      <c r="E31" s="147">
        <f>SUM(E17:E30)</f>
        <v>100</v>
      </c>
      <c r="F31" s="140">
        <f>SUM(F17:F30)</f>
        <v>1000</v>
      </c>
      <c r="G31" s="103"/>
      <c r="H31" s="113"/>
      <c r="I31" s="103"/>
      <c r="J31" s="112"/>
      <c r="K31" s="103"/>
      <c r="L31" s="703" t="s">
        <v>43</v>
      </c>
      <c r="M31" s="692"/>
      <c r="N31" s="692"/>
      <c r="O31" s="383">
        <f>SUM(O17:O30)</f>
        <v>1300</v>
      </c>
      <c r="P31" s="103"/>
      <c r="Q31" s="103"/>
      <c r="R31" s="103"/>
      <c r="U31" s="145"/>
    </row>
    <row r="32" spans="1:22" x14ac:dyDescent="0.2">
      <c r="A32" s="1"/>
      <c r="B32" s="4"/>
      <c r="C32" s="4"/>
      <c r="D32" s="4"/>
      <c r="E32" s="1"/>
      <c r="F32" s="4"/>
      <c r="G32" s="103"/>
      <c r="H32" s="108"/>
      <c r="I32" s="103"/>
      <c r="J32" s="108"/>
      <c r="K32" s="103"/>
      <c r="L32" s="103"/>
      <c r="M32" s="103"/>
      <c r="N32" s="103"/>
      <c r="O32" s="103"/>
      <c r="P32" s="103"/>
      <c r="Q32" s="103"/>
      <c r="R32" s="103"/>
    </row>
    <row r="33" spans="1:18" x14ac:dyDescent="0.2">
      <c r="A33" s="22">
        <v>1</v>
      </c>
      <c r="B33" s="21" t="s">
        <v>8</v>
      </c>
      <c r="C33" s="21"/>
      <c r="D33" s="4"/>
      <c r="E33" s="103"/>
      <c r="F33" s="104"/>
      <c r="G33" s="105"/>
      <c r="H33" s="106"/>
      <c r="I33" s="1"/>
      <c r="J33" s="7"/>
      <c r="K33" s="103"/>
      <c r="L33" s="103"/>
      <c r="M33" s="103"/>
      <c r="N33" s="103"/>
      <c r="O33" s="103"/>
      <c r="P33" s="103"/>
      <c r="Q33" s="103"/>
      <c r="R33" s="103"/>
    </row>
    <row r="34" spans="1:18" ht="13.5" thickBo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03"/>
      <c r="L34" s="103"/>
      <c r="M34" s="103"/>
      <c r="N34" s="103"/>
      <c r="O34" s="103"/>
      <c r="P34" s="103"/>
      <c r="Q34" s="103"/>
      <c r="R34" s="103"/>
    </row>
    <row r="35" spans="1:18" ht="13.5" thickBot="1" x14ac:dyDescent="0.25">
      <c r="A35" s="1"/>
      <c r="B35" s="3" t="s">
        <v>2</v>
      </c>
      <c r="C35" s="1"/>
      <c r="D35" s="82">
        <v>1.3</v>
      </c>
      <c r="E35" s="1"/>
      <c r="F35" s="1"/>
      <c r="G35" s="1"/>
      <c r="H35" s="17" t="s">
        <v>1</v>
      </c>
      <c r="I35" s="1"/>
      <c r="J35" s="25">
        <f>SUM(J17:J34)</f>
        <v>1276.6589999999999</v>
      </c>
      <c r="K35" s="103"/>
      <c r="L35" s="103"/>
      <c r="M35" s="103"/>
      <c r="N35" s="103"/>
      <c r="O35" s="103"/>
      <c r="P35" s="103"/>
      <c r="Q35" s="103"/>
      <c r="R35" s="103"/>
    </row>
    <row r="36" spans="1:18" ht="13.5" thickBot="1" x14ac:dyDescent="0.25">
      <c r="A36" s="1"/>
      <c r="B36" s="1"/>
      <c r="C36" s="1"/>
      <c r="D36" s="1"/>
      <c r="E36" s="1"/>
      <c r="F36" s="1"/>
      <c r="G36" s="1"/>
      <c r="H36" s="17" t="s">
        <v>26</v>
      </c>
      <c r="I36" s="1"/>
      <c r="J36" s="18">
        <v>1000</v>
      </c>
      <c r="K36" s="103"/>
      <c r="L36" s="103"/>
      <c r="M36" s="103" t="s">
        <v>254</v>
      </c>
      <c r="N36" s="103" t="s">
        <v>255</v>
      </c>
      <c r="O36" s="103"/>
      <c r="P36" s="103"/>
      <c r="Q36" s="103"/>
      <c r="R36" s="103"/>
    </row>
    <row r="37" spans="1:18" x14ac:dyDescent="0.2">
      <c r="A37" s="1"/>
      <c r="B37" s="1"/>
      <c r="C37" s="1"/>
      <c r="D37" s="1"/>
      <c r="E37" s="1"/>
      <c r="F37" s="1"/>
      <c r="G37" s="1"/>
      <c r="H37" s="19"/>
      <c r="I37" s="1"/>
      <c r="J37" s="30"/>
      <c r="K37" s="103"/>
      <c r="L37" s="103"/>
      <c r="M37" s="189" t="s">
        <v>256</v>
      </c>
      <c r="N37" s="189">
        <v>75</v>
      </c>
      <c r="O37" s="103"/>
      <c r="P37" s="103"/>
      <c r="Q37" s="103"/>
    </row>
    <row r="38" spans="1:18" x14ac:dyDescent="0.2">
      <c r="A38" s="1"/>
      <c r="B38" s="23" t="s">
        <v>15</v>
      </c>
      <c r="C38" s="1"/>
      <c r="D38" s="27"/>
      <c r="E38" s="23" t="s">
        <v>77</v>
      </c>
      <c r="F38" s="315"/>
      <c r="G38" s="1"/>
      <c r="H38" s="23"/>
      <c r="I38" s="27"/>
      <c r="J38" s="29" t="s">
        <v>78</v>
      </c>
      <c r="K38" s="103"/>
      <c r="L38" s="103"/>
      <c r="M38" s="103" t="s">
        <v>105</v>
      </c>
      <c r="N38" s="103"/>
      <c r="O38" s="103"/>
      <c r="P38" s="103"/>
      <c r="Q38" s="103"/>
    </row>
    <row r="39" spans="1:18" x14ac:dyDescent="0.2">
      <c r="A39" s="1"/>
      <c r="B39" s="3" t="s">
        <v>10</v>
      </c>
      <c r="C39" s="1"/>
      <c r="D39" s="28"/>
      <c r="E39" s="68">
        <f>J35/J36</f>
        <v>1.276659</v>
      </c>
      <c r="F39" s="364"/>
      <c r="G39" s="3" t="s">
        <v>16</v>
      </c>
      <c r="H39" s="1"/>
      <c r="I39" s="39"/>
      <c r="J39" s="68">
        <f>E39*D35</f>
        <v>1.6596567</v>
      </c>
      <c r="K39" s="103"/>
      <c r="L39" s="103"/>
      <c r="M39" s="103" t="s">
        <v>257</v>
      </c>
      <c r="N39" s="103"/>
      <c r="O39" s="103"/>
      <c r="P39" s="103"/>
      <c r="Q39" s="103"/>
    </row>
    <row r="40" spans="1:18" x14ac:dyDescent="0.2">
      <c r="A40" s="1"/>
      <c r="B40" s="19" t="s">
        <v>11</v>
      </c>
      <c r="C40" s="4"/>
      <c r="D40" s="71"/>
      <c r="E40" s="68">
        <v>0.1</v>
      </c>
      <c r="F40" s="16"/>
      <c r="G40" s="19" t="s">
        <v>17</v>
      </c>
      <c r="H40" s="4"/>
      <c r="I40" s="39"/>
      <c r="J40" s="68">
        <f>E40*D35</f>
        <v>0.13</v>
      </c>
      <c r="K40" s="103"/>
      <c r="L40" s="103"/>
      <c r="M40" s="103"/>
      <c r="N40" s="103"/>
      <c r="O40" s="103"/>
      <c r="P40" s="103"/>
      <c r="Q40" s="103"/>
      <c r="R40" s="103"/>
    </row>
    <row r="41" spans="1:18" x14ac:dyDescent="0.2">
      <c r="A41" s="1"/>
      <c r="B41" s="3" t="s">
        <v>14</v>
      </c>
      <c r="C41" s="1"/>
      <c r="D41" s="71"/>
      <c r="E41" s="68"/>
      <c r="F41" s="6"/>
      <c r="G41" s="3" t="s">
        <v>18</v>
      </c>
      <c r="H41" s="1"/>
      <c r="I41" s="39"/>
      <c r="J41" s="68">
        <f>E41*D35</f>
        <v>0</v>
      </c>
      <c r="K41" s="103"/>
      <c r="L41" s="103"/>
      <c r="M41" s="103"/>
      <c r="N41" s="103"/>
      <c r="O41" s="103"/>
      <c r="P41" s="103"/>
      <c r="Q41" s="103"/>
      <c r="R41" s="103"/>
    </row>
    <row r="42" spans="1:18" x14ac:dyDescent="0.2">
      <c r="A42" s="1"/>
      <c r="B42" s="3" t="s">
        <v>79</v>
      </c>
      <c r="C42" s="1"/>
      <c r="D42" s="71"/>
      <c r="E42" s="68"/>
      <c r="F42" s="3"/>
      <c r="G42" s="3" t="s">
        <v>80</v>
      </c>
      <c r="H42" s="1"/>
      <c r="I42" s="39"/>
      <c r="J42" s="68">
        <f>E42*D35</f>
        <v>0</v>
      </c>
      <c r="K42" s="103"/>
      <c r="L42" s="103"/>
      <c r="M42" s="103"/>
      <c r="N42" s="103"/>
      <c r="O42" s="103"/>
      <c r="P42" s="103"/>
      <c r="Q42" s="103"/>
      <c r="R42" s="103"/>
    </row>
    <row r="43" spans="1:18" x14ac:dyDescent="0.2">
      <c r="A43" s="1"/>
      <c r="B43" s="3" t="s">
        <v>42</v>
      </c>
      <c r="C43" s="1"/>
      <c r="D43" s="71"/>
      <c r="E43" s="68"/>
      <c r="F43" s="3"/>
      <c r="G43" s="3" t="s">
        <v>81</v>
      </c>
      <c r="H43" s="1"/>
      <c r="I43" s="39"/>
      <c r="J43" s="68">
        <f>E43*D35</f>
        <v>0</v>
      </c>
      <c r="K43" s="103"/>
      <c r="L43" s="103"/>
      <c r="M43" s="103"/>
      <c r="N43" s="103"/>
      <c r="O43" s="103"/>
      <c r="P43" s="103"/>
      <c r="Q43" s="103"/>
      <c r="R43" s="103"/>
    </row>
    <row r="44" spans="1:18" x14ac:dyDescent="0.2">
      <c r="A44" s="1"/>
      <c r="B44" s="3" t="s">
        <v>12</v>
      </c>
      <c r="C44" s="1"/>
      <c r="D44" s="28"/>
      <c r="E44" s="142">
        <f>E39+E40+E41+E42+E43</f>
        <v>1.3766590000000001</v>
      </c>
      <c r="F44" s="3"/>
      <c r="G44" s="3" t="s">
        <v>19</v>
      </c>
      <c r="H44" s="1"/>
      <c r="I44" s="33"/>
      <c r="J44" s="142">
        <f>J39+J40+J41+J42+J43</f>
        <v>1.7896567000000001</v>
      </c>
      <c r="K44" s="103"/>
      <c r="L44" s="103"/>
      <c r="M44" s="103"/>
      <c r="N44" s="103"/>
      <c r="O44" s="103"/>
      <c r="P44" s="103"/>
      <c r="Q44" s="103"/>
      <c r="R44" s="103"/>
    </row>
    <row r="45" spans="1:18" x14ac:dyDescent="0.2">
      <c r="A45" s="1"/>
      <c r="B45" s="1"/>
      <c r="C45" s="1"/>
      <c r="D45" s="4"/>
      <c r="E45" s="1"/>
      <c r="F45" s="19"/>
      <c r="G45" s="4"/>
      <c r="H45" s="4"/>
      <c r="I45" s="6"/>
      <c r="J45" s="28" t="s">
        <v>21</v>
      </c>
      <c r="K45" s="103"/>
      <c r="L45" s="701"/>
      <c r="M45" s="701"/>
      <c r="N45" s="701"/>
      <c r="O45" s="701"/>
      <c r="P45" s="701"/>
      <c r="Q45" s="701"/>
      <c r="R45" s="103"/>
    </row>
    <row r="46" spans="1:18" x14ac:dyDescent="0.2">
      <c r="A46" s="34">
        <v>2</v>
      </c>
      <c r="B46" s="22" t="s">
        <v>9</v>
      </c>
      <c r="C46" s="22"/>
      <c r="D46" s="1"/>
      <c r="E46" s="1"/>
      <c r="F46" s="19"/>
      <c r="G46" s="4"/>
      <c r="H46" s="27" t="s">
        <v>20</v>
      </c>
      <c r="I46" s="33">
        <f>(100-J46)/100</f>
        <v>1</v>
      </c>
      <c r="J46" s="373">
        <v>0</v>
      </c>
      <c r="K46" s="103"/>
      <c r="L46" s="702"/>
      <c r="M46" s="697"/>
      <c r="N46" s="702"/>
      <c r="O46" s="697"/>
      <c r="P46" s="702"/>
      <c r="Q46" s="697"/>
      <c r="R46" s="103"/>
    </row>
    <row r="47" spans="1:18" x14ac:dyDescent="0.2">
      <c r="A47" s="1"/>
      <c r="B47" s="23"/>
      <c r="C47" s="23"/>
      <c r="D47" s="29"/>
      <c r="E47" s="3" t="s">
        <v>84</v>
      </c>
      <c r="F47" s="6" t="s">
        <v>85</v>
      </c>
      <c r="G47" s="4"/>
      <c r="H47" s="4"/>
      <c r="I47" s="6"/>
      <c r="J47" s="20"/>
      <c r="K47" s="103"/>
      <c r="L47" s="697"/>
      <c r="M47" s="697"/>
      <c r="N47" s="697"/>
      <c r="O47" s="697"/>
      <c r="P47" s="697"/>
      <c r="Q47" s="697"/>
      <c r="R47" s="103"/>
    </row>
    <row r="48" spans="1:18" x14ac:dyDescent="0.2">
      <c r="A48" s="1"/>
      <c r="B48" s="22" t="s">
        <v>22</v>
      </c>
      <c r="C48" s="11"/>
      <c r="D48" s="507" t="s">
        <v>13</v>
      </c>
      <c r="E48" s="36">
        <v>0</v>
      </c>
      <c r="F48" s="36">
        <v>0</v>
      </c>
      <c r="G48" s="19"/>
      <c r="H48" s="318"/>
      <c r="I48" s="75"/>
      <c r="J48" s="32"/>
      <c r="K48" s="103"/>
      <c r="L48" s="697"/>
      <c r="M48" s="697"/>
      <c r="N48" s="697"/>
      <c r="O48" s="697"/>
      <c r="P48" s="697"/>
      <c r="Q48" s="697"/>
      <c r="R48" s="103"/>
    </row>
    <row r="49" spans="1:18" x14ac:dyDescent="0.2">
      <c r="A49" s="1"/>
      <c r="B49" s="1"/>
      <c r="C49" s="1"/>
      <c r="D49" s="24" t="s">
        <v>60</v>
      </c>
      <c r="E49" s="36">
        <f>F49/D35</f>
        <v>0.19298461538461537</v>
      </c>
      <c r="F49" s="36">
        <f>'[3]Base Preços MP'!C85</f>
        <v>0.25087999999999999</v>
      </c>
      <c r="G49" s="4"/>
      <c r="H49" s="4"/>
      <c r="I49" s="6"/>
      <c r="J49" s="20"/>
      <c r="K49" s="103"/>
      <c r="L49" s="697"/>
      <c r="M49" s="697"/>
      <c r="N49" s="697"/>
      <c r="O49" s="697"/>
      <c r="P49" s="697"/>
      <c r="Q49" s="697"/>
      <c r="R49" s="103"/>
    </row>
    <row r="50" spans="1:18" x14ac:dyDescent="0.2">
      <c r="A50" s="1"/>
      <c r="B50" s="1"/>
      <c r="C50" s="1"/>
      <c r="D50" s="24" t="s">
        <v>82</v>
      </c>
      <c r="E50" s="36" t="e">
        <f>F50/D35</f>
        <v>#REF!</v>
      </c>
      <c r="F50" s="36" t="e">
        <f>'[4]Base Preços MP'!#REF!</f>
        <v>#REF!</v>
      </c>
      <c r="G50" s="19" t="s">
        <v>86</v>
      </c>
      <c r="H50" s="4"/>
      <c r="I50" s="6"/>
      <c r="J50" s="20"/>
      <c r="K50" s="103"/>
      <c r="L50" s="697"/>
      <c r="M50" s="697"/>
      <c r="N50" s="697"/>
      <c r="O50" s="697"/>
      <c r="P50" s="697"/>
      <c r="Q50" s="697"/>
      <c r="R50" s="103"/>
    </row>
    <row r="51" spans="1:18" x14ac:dyDescent="0.2">
      <c r="A51" s="1"/>
      <c r="B51" s="1"/>
      <c r="C51" s="1"/>
      <c r="D51" s="24" t="s">
        <v>50</v>
      </c>
      <c r="E51" s="36">
        <f>F51/D35</f>
        <v>0.61169230769230765</v>
      </c>
      <c r="F51" s="36">
        <f>'[3]Base Preços MP'!C88</f>
        <v>0.79519999999999991</v>
      </c>
      <c r="G51" s="4" t="s">
        <v>531</v>
      </c>
      <c r="H51" s="4"/>
      <c r="I51" s="6"/>
      <c r="J51" s="20"/>
      <c r="K51" s="103"/>
      <c r="L51" s="697"/>
      <c r="M51" s="697"/>
      <c r="N51" s="697"/>
      <c r="O51" s="697"/>
      <c r="P51" s="697"/>
      <c r="Q51" s="697"/>
      <c r="R51" s="103"/>
    </row>
    <row r="52" spans="1:18" x14ac:dyDescent="0.2">
      <c r="A52" s="1"/>
      <c r="B52" s="1"/>
      <c r="C52" s="5"/>
      <c r="D52" s="24" t="s">
        <v>50</v>
      </c>
      <c r="E52" s="36">
        <f>F52/D35</f>
        <v>0.42338461538461547</v>
      </c>
      <c r="F52" s="36">
        <f>'Base Preços MP'!C89</f>
        <v>0.55040000000000011</v>
      </c>
      <c r="G52" s="19" t="s">
        <v>86</v>
      </c>
      <c r="H52" s="4"/>
      <c r="I52" s="6"/>
      <c r="J52" s="20"/>
      <c r="K52" s="103"/>
      <c r="L52" s="697"/>
      <c r="M52" s="697"/>
      <c r="N52" s="697"/>
      <c r="O52" s="697"/>
      <c r="P52" s="697"/>
      <c r="Q52" s="697"/>
      <c r="R52" s="103"/>
    </row>
    <row r="53" spans="1:18" x14ac:dyDescent="0.2">
      <c r="A53" s="1"/>
      <c r="B53" s="1"/>
      <c r="C53" s="5"/>
      <c r="D53" s="24" t="s">
        <v>59</v>
      </c>
      <c r="E53" s="36">
        <f>F53/D35</f>
        <v>0.94653846153846144</v>
      </c>
      <c r="F53" s="36">
        <f>'[3]Base Preços MP'!C91</f>
        <v>1.2304999999999999</v>
      </c>
      <c r="G53" s="1"/>
      <c r="H53" s="1"/>
      <c r="I53" s="6"/>
      <c r="J53" s="7"/>
      <c r="K53" s="103"/>
      <c r="L53" s="697"/>
      <c r="M53" s="697"/>
      <c r="N53" s="697"/>
      <c r="O53" s="697"/>
      <c r="P53" s="697"/>
      <c r="Q53" s="697"/>
      <c r="R53" s="103"/>
    </row>
    <row r="54" spans="1:18" x14ac:dyDescent="0.2">
      <c r="A54" s="22">
        <v>3</v>
      </c>
      <c r="B54" s="22" t="s">
        <v>25</v>
      </c>
      <c r="C54" s="35"/>
      <c r="D54" s="24" t="s">
        <v>61</v>
      </c>
      <c r="E54" s="36">
        <f>F54/D35</f>
        <v>2.3173076923076921</v>
      </c>
      <c r="F54" s="36">
        <f>'[3]Base Preços MP'!C92</f>
        <v>3.0124999999999997</v>
      </c>
      <c r="G54" s="4"/>
      <c r="H54" s="4"/>
      <c r="I54" s="6"/>
      <c r="J54" s="20"/>
      <c r="K54" s="103"/>
      <c r="L54" s="697"/>
      <c r="M54" s="697"/>
      <c r="N54" s="697"/>
      <c r="O54" s="697"/>
      <c r="P54" s="697"/>
      <c r="Q54" s="697"/>
      <c r="R54" s="103"/>
    </row>
    <row r="55" spans="1:18" x14ac:dyDescent="0.2">
      <c r="A55" s="1"/>
      <c r="B55" s="1"/>
      <c r="C55" s="1"/>
      <c r="D55" s="1"/>
      <c r="E55" s="1"/>
      <c r="F55" s="19"/>
      <c r="G55" s="4"/>
      <c r="H55" s="4"/>
      <c r="I55" s="19"/>
      <c r="J55" s="20"/>
      <c r="K55" s="103"/>
      <c r="L55" s="697"/>
      <c r="M55" s="697"/>
      <c r="N55" s="697"/>
      <c r="O55" s="697"/>
      <c r="P55" s="697"/>
      <c r="Q55" s="697"/>
      <c r="R55" s="103"/>
    </row>
    <row r="56" spans="1:18" x14ac:dyDescent="0.2">
      <c r="A56" s="1"/>
      <c r="B56" s="1"/>
      <c r="C56" s="27"/>
      <c r="D56" s="27"/>
      <c r="E56" s="27"/>
      <c r="F56" s="27"/>
      <c r="G56" s="27"/>
      <c r="H56" s="4"/>
      <c r="I56" s="6"/>
      <c r="J56" s="40"/>
      <c r="K56" s="103"/>
      <c r="L56" s="143"/>
      <c r="M56" s="143"/>
      <c r="N56" s="143"/>
      <c r="O56" s="143"/>
      <c r="P56" s="143"/>
      <c r="Q56" s="143"/>
      <c r="R56" s="103"/>
    </row>
    <row r="57" spans="1:18" x14ac:dyDescent="0.2">
      <c r="A57" s="1"/>
      <c r="B57" s="1"/>
      <c r="C57" s="55" t="s">
        <v>431</v>
      </c>
      <c r="D57" s="1"/>
      <c r="E57" s="1"/>
      <c r="F57" s="19"/>
      <c r="G57" s="4"/>
      <c r="H57" s="56"/>
      <c r="I57" s="19"/>
      <c r="J57" s="20"/>
      <c r="K57" s="103"/>
      <c r="L57" s="103"/>
      <c r="M57" s="103"/>
      <c r="N57" s="103"/>
      <c r="O57" s="103"/>
      <c r="P57" s="103"/>
      <c r="Q57" s="103"/>
      <c r="R57" s="103"/>
    </row>
    <row r="58" spans="1:18" x14ac:dyDescent="0.2">
      <c r="A58" s="1"/>
      <c r="B58" s="1"/>
      <c r="C58" s="65" t="s">
        <v>64</v>
      </c>
      <c r="D58" s="65" t="s">
        <v>65</v>
      </c>
      <c r="E58" s="65" t="s">
        <v>66</v>
      </c>
      <c r="F58" s="58" t="s">
        <v>87</v>
      </c>
      <c r="G58" s="27" t="s">
        <v>548</v>
      </c>
      <c r="H58" s="56"/>
      <c r="I58" s="19"/>
      <c r="J58" s="41"/>
      <c r="K58" s="103"/>
      <c r="L58" s="103"/>
      <c r="M58" s="103"/>
      <c r="N58" s="103"/>
      <c r="O58" s="103"/>
      <c r="P58" s="103"/>
      <c r="Q58" s="103"/>
      <c r="R58" s="103"/>
    </row>
    <row r="59" spans="1:18" x14ac:dyDescent="0.2">
      <c r="A59" s="1"/>
      <c r="B59" s="1"/>
      <c r="C59" s="66" t="s">
        <v>23</v>
      </c>
      <c r="D59" s="67">
        <f>E44/I46</f>
        <v>1.3766590000000001</v>
      </c>
      <c r="E59" s="67">
        <f>J44/I46</f>
        <v>1.7896567000000001</v>
      </c>
      <c r="F59" s="72" t="s">
        <v>88</v>
      </c>
      <c r="G59" s="33"/>
      <c r="H59" s="56"/>
      <c r="I59" s="19"/>
      <c r="J59" s="41"/>
      <c r="K59" s="103"/>
      <c r="L59" s="103"/>
      <c r="M59" s="103"/>
      <c r="N59" s="103"/>
      <c r="O59" s="103"/>
      <c r="P59" s="103"/>
      <c r="Q59" s="103"/>
      <c r="R59" s="103"/>
    </row>
    <row r="60" spans="1:18" x14ac:dyDescent="0.2">
      <c r="A60" s="670" t="str">
        <f>'[4]FUEL BLACK 20%'!A60:B60</f>
        <v>Contentor Incluido</v>
      </c>
      <c r="B60" s="694"/>
      <c r="C60" s="74">
        <v>1000</v>
      </c>
      <c r="D60" s="70">
        <f>(E44+E49)/I46</f>
        <v>1.5696436153846154</v>
      </c>
      <c r="E60" s="70">
        <f>(J44+F49)/I46</f>
        <v>2.0405367000000001</v>
      </c>
      <c r="F60" s="61" t="s">
        <v>89</v>
      </c>
      <c r="G60" s="33"/>
      <c r="H60" s="56"/>
      <c r="I60" s="19"/>
      <c r="J60" s="41"/>
      <c r="K60" s="103"/>
      <c r="L60" s="103"/>
      <c r="M60" s="103"/>
      <c r="N60" s="103"/>
      <c r="O60" s="103"/>
      <c r="P60" s="103"/>
      <c r="Q60" s="103"/>
      <c r="R60" s="103"/>
    </row>
    <row r="61" spans="1:18" x14ac:dyDescent="0.2">
      <c r="A61" s="1"/>
      <c r="B61" s="1"/>
      <c r="C61" s="69">
        <v>50</v>
      </c>
      <c r="D61" s="70" t="e">
        <f>(E44+E50)/I46</f>
        <v>#REF!</v>
      </c>
      <c r="E61" s="70" t="e">
        <f>(J44+F50)/I46</f>
        <v>#REF!</v>
      </c>
      <c r="F61" s="51" t="s">
        <v>90</v>
      </c>
      <c r="G61" s="33"/>
      <c r="H61" s="56"/>
      <c r="I61" s="1"/>
      <c r="J61" s="1"/>
      <c r="K61" s="103"/>
      <c r="L61" s="103"/>
      <c r="M61" s="103"/>
      <c r="N61" s="103"/>
      <c r="O61" s="103"/>
      <c r="P61" s="103"/>
      <c r="Q61" s="103"/>
      <c r="R61" s="103"/>
    </row>
    <row r="62" spans="1:18" x14ac:dyDescent="0.2">
      <c r="A62" s="1"/>
      <c r="B62" s="1"/>
      <c r="C62" s="69">
        <v>25</v>
      </c>
      <c r="D62" s="70">
        <f>(E44+E51)/I46</f>
        <v>1.9883513076923078</v>
      </c>
      <c r="E62" s="70">
        <f>(J44+F51)/I46</f>
        <v>2.5848567</v>
      </c>
      <c r="F62" s="61" t="s">
        <v>547</v>
      </c>
      <c r="G62" s="33">
        <f>E62+0.5</f>
        <v>3.0848567</v>
      </c>
      <c r="H62" s="7"/>
      <c r="I62" s="1"/>
      <c r="J62" s="1"/>
      <c r="K62" s="103"/>
      <c r="L62" s="103"/>
      <c r="M62" s="103"/>
      <c r="N62" s="103"/>
      <c r="O62" s="103"/>
      <c r="P62" s="103"/>
      <c r="Q62" s="103"/>
      <c r="R62" s="103"/>
    </row>
    <row r="63" spans="1:18" x14ac:dyDescent="0.2">
      <c r="A63" s="1"/>
      <c r="B63" s="1"/>
      <c r="C63" s="69">
        <v>25</v>
      </c>
      <c r="D63" s="70">
        <f>(E44+E52)/I46</f>
        <v>1.8000436153846155</v>
      </c>
      <c r="E63" s="70">
        <f>(J44+F52)/I46</f>
        <v>2.3400567000000003</v>
      </c>
      <c r="F63" s="51" t="s">
        <v>90</v>
      </c>
      <c r="G63" s="33">
        <f>E63+0.5</f>
        <v>2.8400567000000003</v>
      </c>
      <c r="H63" s="4"/>
      <c r="I63" s="1"/>
      <c r="J63" s="1"/>
      <c r="K63" s="103"/>
      <c r="L63" s="103"/>
      <c r="M63" s="103"/>
      <c r="N63" s="103"/>
      <c r="O63" s="103"/>
      <c r="P63" s="103"/>
      <c r="Q63" s="103"/>
      <c r="R63" s="103"/>
    </row>
    <row r="64" spans="1:18" x14ac:dyDescent="0.2">
      <c r="A64" s="1"/>
      <c r="B64" s="1"/>
      <c r="C64" s="69">
        <v>5</v>
      </c>
      <c r="D64" s="70">
        <f>(E44+E53)/I46</f>
        <v>2.3231974615384616</v>
      </c>
      <c r="E64" s="70">
        <f>D64*D35</f>
        <v>3.0201567000000002</v>
      </c>
      <c r="F64" s="61" t="s">
        <v>94</v>
      </c>
      <c r="G64" s="39">
        <v>32.200000000000003</v>
      </c>
      <c r="H64" s="4"/>
      <c r="I64" s="4"/>
      <c r="J64" s="1"/>
      <c r="K64" s="103"/>
      <c r="L64" s="103"/>
      <c r="M64" s="103"/>
      <c r="N64" s="103"/>
      <c r="O64" s="103"/>
      <c r="P64" s="103"/>
      <c r="Q64" s="103"/>
      <c r="R64" s="103"/>
    </row>
    <row r="65" spans="1:18" x14ac:dyDescent="0.2">
      <c r="A65" s="86"/>
      <c r="B65" s="86"/>
      <c r="C65" s="69">
        <v>1</v>
      </c>
      <c r="D65" s="70">
        <f>(E54+E44)/I46</f>
        <v>3.6939666923076921</v>
      </c>
      <c r="E65" s="70">
        <f>D65*D35</f>
        <v>4.8021567000000003</v>
      </c>
      <c r="F65" s="61" t="s">
        <v>95</v>
      </c>
      <c r="G65" s="87">
        <v>42.8</v>
      </c>
      <c r="H65" s="4"/>
      <c r="I65" s="4"/>
      <c r="J65" s="1"/>
      <c r="K65" s="103"/>
      <c r="L65" s="103"/>
      <c r="M65" s="103"/>
      <c r="N65" s="103"/>
      <c r="O65" s="103"/>
      <c r="P65" s="103"/>
      <c r="Q65" s="103"/>
      <c r="R65" s="103"/>
    </row>
    <row r="66" spans="1:18" x14ac:dyDescent="0.2">
      <c r="A66" s="695"/>
      <c r="B66" s="695"/>
      <c r="C66" s="85"/>
      <c r="D66" s="237"/>
      <c r="E66" s="86"/>
      <c r="F66" s="86"/>
      <c r="G66" s="86"/>
      <c r="H66" s="7"/>
      <c r="I66" s="1"/>
      <c r="J66" s="1"/>
      <c r="K66" s="103"/>
      <c r="L66" s="103"/>
      <c r="M66" s="103"/>
      <c r="N66" s="103"/>
      <c r="O66" s="103"/>
      <c r="P66" s="103"/>
      <c r="Q66" s="103"/>
      <c r="R66" s="103"/>
    </row>
    <row r="67" spans="1:18" x14ac:dyDescent="0.2">
      <c r="A67" s="696"/>
      <c r="B67" s="696"/>
      <c r="C67" s="90"/>
      <c r="D67" s="90"/>
      <c r="E67" s="90"/>
      <c r="F67" s="90"/>
      <c r="G67" s="90"/>
      <c r="H67" s="57"/>
      <c r="I67" s="1"/>
      <c r="J67" s="1"/>
      <c r="K67" s="103"/>
      <c r="L67" s="103"/>
      <c r="M67" s="103"/>
      <c r="N67" s="103"/>
      <c r="O67" s="103"/>
      <c r="P67" s="103"/>
      <c r="Q67" s="103"/>
      <c r="R67" s="103"/>
    </row>
    <row r="68" spans="1:18" x14ac:dyDescent="0.2">
      <c r="A68" s="693"/>
      <c r="B68" s="693"/>
      <c r="C68" s="93"/>
      <c r="D68" s="92"/>
      <c r="E68" s="615"/>
      <c r="F68" s="92"/>
      <c r="G68" s="615"/>
      <c r="H68" s="73"/>
      <c r="I68" s="1"/>
      <c r="J68" s="1"/>
      <c r="K68" s="103"/>
      <c r="L68" s="103"/>
      <c r="M68" s="103"/>
      <c r="N68" s="103"/>
      <c r="O68" s="103"/>
      <c r="P68" s="103"/>
      <c r="Q68" s="103"/>
      <c r="R68" s="103"/>
    </row>
    <row r="69" spans="1:18" x14ac:dyDescent="0.2">
      <c r="A69" s="693"/>
      <c r="B69" s="693"/>
      <c r="C69" s="93"/>
      <c r="D69" s="92"/>
      <c r="E69" s="615"/>
      <c r="F69" s="92"/>
      <c r="G69" s="615"/>
      <c r="H69" s="73"/>
      <c r="I69" s="1"/>
      <c r="J69" s="1"/>
      <c r="K69" s="103"/>
      <c r="L69" s="103"/>
      <c r="M69" s="103"/>
      <c r="N69" s="103"/>
      <c r="O69" s="103"/>
      <c r="P69" s="103"/>
      <c r="Q69" s="103"/>
      <c r="R69" s="103"/>
    </row>
  </sheetData>
  <mergeCells count="74">
    <mergeCell ref="A68:B68"/>
    <mergeCell ref="A69:B69"/>
    <mergeCell ref="L55:M55"/>
    <mergeCell ref="N55:O55"/>
    <mergeCell ref="P55:Q55"/>
    <mergeCell ref="A60:B60"/>
    <mergeCell ref="A66:B66"/>
    <mergeCell ref="A67:B67"/>
    <mergeCell ref="L53:M53"/>
    <mergeCell ref="N53:O53"/>
    <mergeCell ref="P53:Q53"/>
    <mergeCell ref="L54:M54"/>
    <mergeCell ref="N54:O54"/>
    <mergeCell ref="P54:Q54"/>
    <mergeCell ref="L51:M51"/>
    <mergeCell ref="N51:O51"/>
    <mergeCell ref="P51:Q51"/>
    <mergeCell ref="L52:M52"/>
    <mergeCell ref="N52:O52"/>
    <mergeCell ref="P52:Q52"/>
    <mergeCell ref="L49:M49"/>
    <mergeCell ref="N49:O49"/>
    <mergeCell ref="P49:Q49"/>
    <mergeCell ref="L50:M50"/>
    <mergeCell ref="N50:O50"/>
    <mergeCell ref="P50:Q50"/>
    <mergeCell ref="L47:M47"/>
    <mergeCell ref="N47:O47"/>
    <mergeCell ref="P47:Q47"/>
    <mergeCell ref="L48:M48"/>
    <mergeCell ref="N48:O48"/>
    <mergeCell ref="P48:Q48"/>
    <mergeCell ref="B31:D31"/>
    <mergeCell ref="L31:N31"/>
    <mergeCell ref="L45:Q45"/>
    <mergeCell ref="L46:M46"/>
    <mergeCell ref="N46:O46"/>
    <mergeCell ref="P46:Q46"/>
    <mergeCell ref="B28:D28"/>
    <mergeCell ref="L28:N28"/>
    <mergeCell ref="B29:D29"/>
    <mergeCell ref="L29:N29"/>
    <mergeCell ref="B30:D30"/>
    <mergeCell ref="L30:N30"/>
    <mergeCell ref="B25:D25"/>
    <mergeCell ref="L25:N25"/>
    <mergeCell ref="B26:D26"/>
    <mergeCell ref="L26:N26"/>
    <mergeCell ref="B27:D27"/>
    <mergeCell ref="L27:N27"/>
    <mergeCell ref="B22:D22"/>
    <mergeCell ref="L22:N22"/>
    <mergeCell ref="B23:D23"/>
    <mergeCell ref="L23:N23"/>
    <mergeCell ref="B24:D24"/>
    <mergeCell ref="L24:N24"/>
    <mergeCell ref="B19:D19"/>
    <mergeCell ref="L19:N19"/>
    <mergeCell ref="B20:D20"/>
    <mergeCell ref="L20:N20"/>
    <mergeCell ref="B21:D21"/>
    <mergeCell ref="L21:N21"/>
    <mergeCell ref="L14:M14"/>
    <mergeCell ref="N16:O16"/>
    <mergeCell ref="B17:D17"/>
    <mergeCell ref="L17:N17"/>
    <mergeCell ref="B18:D18"/>
    <mergeCell ref="L18:N18"/>
    <mergeCell ref="I10:J10"/>
    <mergeCell ref="I6:K6"/>
    <mergeCell ref="I7:J7"/>
    <mergeCell ref="I8:J8"/>
    <mergeCell ref="G9:H9"/>
    <mergeCell ref="I9:J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50</vt:i4>
      </vt:variant>
    </vt:vector>
  </HeadingPairs>
  <TitlesOfParts>
    <vt:vector size="50" baseType="lpstr">
      <vt:lpstr>AMINO BLACK</vt:lpstr>
      <vt:lpstr>SPRINTER K</vt:lpstr>
      <vt:lpstr>BET7ER 7-7-7</vt:lpstr>
      <vt:lpstr>RADIX PLUS NÃO USAR</vt:lpstr>
      <vt:lpstr>FUEL BLACK 18,5%</vt:lpstr>
      <vt:lpstr>Base Preços MP</vt:lpstr>
      <vt:lpstr>Power 12</vt:lpstr>
      <vt:lpstr>BLACK POWER 16</vt:lpstr>
      <vt:lpstr>SOIL POWER</vt:lpstr>
      <vt:lpstr>FUEL BLACK 20% NÃO USAR</vt:lpstr>
      <vt:lpstr>VIVIANITA</vt:lpstr>
      <vt:lpstr>MAP LIQUIDO NÃO USAR</vt:lpstr>
      <vt:lpstr>LIQUID-PHOS</vt:lpstr>
      <vt:lpstr>4-30-0 NÃO USAR</vt:lpstr>
      <vt:lpstr>FOSFORICO 70%</vt:lpstr>
      <vt:lpstr>6-24 B NÃO USAR</vt:lpstr>
      <vt:lpstr>NORTHOFOS 4-30 NÃO USAR</vt:lpstr>
      <vt:lpstr>NORTHOFOS 6-24</vt:lpstr>
      <vt:lpstr>STARTER</vt:lpstr>
      <vt:lpstr>FERT CALCIO</vt:lpstr>
      <vt:lpstr>FERT MAG</vt:lpstr>
      <vt:lpstr>CALCIUM 14</vt:lpstr>
      <vt:lpstr>RADIX ORGANICO</vt:lpstr>
      <vt:lpstr>CITRUS 100</vt:lpstr>
      <vt:lpstr>PLANTA 100 CLORETOS NÃO USAR</vt:lpstr>
      <vt:lpstr>NITRO K ORGANICO</vt:lpstr>
      <vt:lpstr>TOTAL 5 NÃO USAR</vt:lpstr>
      <vt:lpstr>COMPLET FASE 1</vt:lpstr>
      <vt:lpstr>FASE 2P</vt:lpstr>
      <vt:lpstr>FASE 2CA</vt:lpstr>
      <vt:lpstr>COMPLET MICROS</vt:lpstr>
      <vt:lpstr>PLANTA 100 Nitratos</vt:lpstr>
      <vt:lpstr>ORQUIDIUM</vt:lpstr>
      <vt:lpstr>HIDROPONIC</vt:lpstr>
      <vt:lpstr>EQUILIBRIO</vt:lpstr>
      <vt:lpstr>RADIX 2-10</vt:lpstr>
      <vt:lpstr>LIQUID K</vt:lpstr>
      <vt:lpstr>UREIA LIQUIDA</vt:lpstr>
      <vt:lpstr>NITREX</vt:lpstr>
      <vt:lpstr>Solumag</vt:lpstr>
      <vt:lpstr>Aquadown</vt:lpstr>
      <vt:lpstr>GROWN A30T</vt:lpstr>
      <vt:lpstr>BIOFIX</vt:lpstr>
      <vt:lpstr>PHOSKAFER</vt:lpstr>
      <vt:lpstr>TABELA CUSTOS DE PRODUÇÃO</vt:lpstr>
      <vt:lpstr>TABELA BASE DISTRIBUIDOR</vt:lpstr>
      <vt:lpstr>TABELA 70%</vt:lpstr>
      <vt:lpstr>TABELA 60%</vt:lpstr>
      <vt:lpstr>TABELA 50%</vt:lpstr>
      <vt:lpstr>TABELA 40%</vt:lpstr>
    </vt:vector>
  </TitlesOfParts>
  <Company>Acer Latin America,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Acer</dc:creator>
  <cp:lastModifiedBy>manuel francisco palma de sousa</cp:lastModifiedBy>
  <cp:lastPrinted>2018-01-12T19:34:02Z</cp:lastPrinted>
  <dcterms:created xsi:type="dcterms:W3CDTF">1999-09-09T16:07:05Z</dcterms:created>
  <dcterms:modified xsi:type="dcterms:W3CDTF">2019-04-16T18:32:29Z</dcterms:modified>
</cp:coreProperties>
</file>