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barragan\Documents\Codigos\Codes\Shiny\Calcus_Impuestos\Data\"/>
    </mc:Choice>
  </mc:AlternateContent>
  <bookViews>
    <workbookView xWindow="0" yWindow="0" windowWidth="20490" windowHeight="8445"/>
  </bookViews>
  <sheets>
    <sheet name="Salario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H11" i="2"/>
  <c r="H10" i="2"/>
  <c r="H9" i="2"/>
  <c r="H8" i="2"/>
  <c r="H7" i="2"/>
  <c r="H6" i="2"/>
  <c r="H5" i="2"/>
  <c r="H4" i="2"/>
  <c r="H3" i="2"/>
  <c r="J19" i="1"/>
  <c r="I19" i="1"/>
  <c r="J18" i="1"/>
  <c r="J21" i="1" s="1"/>
  <c r="J16" i="1"/>
  <c r="E14" i="1"/>
  <c r="E13" i="1"/>
  <c r="E12" i="1"/>
  <c r="E11" i="1"/>
  <c r="E10" i="1"/>
  <c r="E9" i="1"/>
  <c r="Q8" i="1"/>
  <c r="Q2" i="1" s="1"/>
  <c r="Q7" i="1" s="1"/>
  <c r="E8" i="1"/>
  <c r="E7" i="1"/>
  <c r="K6" i="1" a="1"/>
  <c r="K6" i="1" s="1"/>
  <c r="K7" i="1" s="1"/>
  <c r="K8" i="1" s="1"/>
  <c r="E6" i="1"/>
  <c r="K5" i="1" a="1"/>
  <c r="K5" i="1" s="1"/>
  <c r="E5" i="1"/>
  <c r="Q4" i="1"/>
  <c r="K3" i="1" a="1"/>
  <c r="K3" i="1" s="1"/>
  <c r="K4" i="1" s="1"/>
  <c r="N2" i="1"/>
  <c r="N3" i="1" s="1"/>
  <c r="K2" i="1"/>
  <c r="R16" i="1" l="1"/>
  <c r="R23" i="1"/>
  <c r="R27" i="1" s="1"/>
  <c r="R18" i="1"/>
  <c r="R15" i="1"/>
  <c r="R17" i="1"/>
  <c r="K9" i="1"/>
  <c r="J11" i="1"/>
  <c r="K10" i="1" s="1"/>
  <c r="R26" i="1" l="1"/>
  <c r="R29" i="1" s="1"/>
  <c r="N5" i="1" s="1"/>
  <c r="N8" i="1" s="1"/>
  <c r="N9" i="1" s="1"/>
  <c r="N12" i="1" s="1"/>
  <c r="I11" i="1"/>
  <c r="N6" i="1"/>
</calcChain>
</file>

<file path=xl/comments1.xml><?xml version="1.0" encoding="utf-8"?>
<comments xmlns="http://schemas.openxmlformats.org/spreadsheetml/2006/main">
  <authors>
    <author>Rafael Barragán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Rafael Barragán:</t>
        </r>
        <r>
          <rPr>
            <sz val="9"/>
            <color indexed="81"/>
            <rFont val="Tahoma"/>
            <family val="2"/>
          </rPr>
          <t xml:space="preserve">
Aquí va el salario quincenal</t>
        </r>
      </text>
    </comment>
  </commentList>
</comments>
</file>

<file path=xl/sharedStrings.xml><?xml version="1.0" encoding="utf-8"?>
<sst xmlns="http://schemas.openxmlformats.org/spreadsheetml/2006/main" count="104" uniqueCount="84">
  <si>
    <t>QUINCENA</t>
  </si>
  <si>
    <t>MES</t>
  </si>
  <si>
    <t>ANUAL</t>
  </si>
  <si>
    <t>Aproximado</t>
  </si>
  <si>
    <t>Datos</t>
  </si>
  <si>
    <t>Límite inferior</t>
  </si>
  <si>
    <t>Límite superior</t>
  </si>
  <si>
    <t>Cuota fija</t>
  </si>
  <si>
    <t>Por ciento para aplicarse sobre</t>
  </si>
  <si>
    <t xml:space="preserve">Sueldo </t>
  </si>
  <si>
    <t>SALARIO BRUTO MENSUAL</t>
  </si>
  <si>
    <t>Salario Mensual</t>
  </si>
  <si>
    <t>Salario Diario</t>
  </si>
  <si>
    <t>el excedente del límite inferior</t>
  </si>
  <si>
    <t>Max Aprox</t>
  </si>
  <si>
    <t>-</t>
  </si>
  <si>
    <t>LIMITE INFERIOR</t>
  </si>
  <si>
    <t>Salario Quincenal</t>
  </si>
  <si>
    <t>Antigüedad(Años)</t>
  </si>
  <si>
    <t>$</t>
  </si>
  <si>
    <t>EXCEDENTE</t>
  </si>
  <si>
    <t>Vacaciones</t>
  </si>
  <si>
    <t>*</t>
  </si>
  <si>
    <t>% DEL EXCEDENTE</t>
  </si>
  <si>
    <t>IMSS(Aprox)</t>
  </si>
  <si>
    <t>Prima Vacacional</t>
  </si>
  <si>
    <t>+</t>
  </si>
  <si>
    <t>CUOTA FIJA</t>
  </si>
  <si>
    <t>ISR</t>
  </si>
  <si>
    <t>Aguinaldo</t>
  </si>
  <si>
    <t>ISR ANUAL</t>
  </si>
  <si>
    <t>Salario Base Integrado(SBI)</t>
  </si>
  <si>
    <t>ISR MENSUAL</t>
  </si>
  <si>
    <t>Percibido Q</t>
  </si>
  <si>
    <t>Periodo Actual</t>
  </si>
  <si>
    <t>ISR QUINCENAL</t>
  </si>
  <si>
    <t>Percibido M</t>
  </si>
  <si>
    <t>Salario Minimo DF</t>
  </si>
  <si>
    <t>Prima de Riesgo</t>
  </si>
  <si>
    <t>SALARIO - ISR (Aprox)</t>
  </si>
  <si>
    <t>Requerido</t>
  </si>
  <si>
    <t>HONORARIOS</t>
  </si>
  <si>
    <t>ENFERMEDADES Y MATERNIDAD</t>
  </si>
  <si>
    <t>% Empl</t>
  </si>
  <si>
    <t>Empleado</t>
  </si>
  <si>
    <t>% Empr</t>
  </si>
  <si>
    <t>Empr</t>
  </si>
  <si>
    <t>ESPECIE - CUOTA FIJA</t>
  </si>
  <si>
    <t>En adelante</t>
  </si>
  <si>
    <t>SUELDO</t>
  </si>
  <si>
    <t>ESPECIE - EXCEDENTE</t>
  </si>
  <si>
    <t>IVA</t>
  </si>
  <si>
    <t>PRESTACIONES EN DINERO</t>
  </si>
  <si>
    <t>PENSIONADOS Y BENEFICIARIOS</t>
  </si>
  <si>
    <t>http://www.nominax.com/CalculadoradeSueldoNeto/tabid/138/Default.aspx</t>
  </si>
  <si>
    <t>RETENCION ISR</t>
  </si>
  <si>
    <t>INVALIDEZ Y VIDA</t>
  </si>
  <si>
    <t>RETENCION IVA</t>
  </si>
  <si>
    <t>RIESGO DE TRABAJO</t>
  </si>
  <si>
    <t>GUARDERIAS Y PRESTACIONES SOCIALES</t>
  </si>
  <si>
    <t>SEGURO DE RETIRO</t>
  </si>
  <si>
    <t>CESANTIA Y VEJEZ</t>
  </si>
  <si>
    <t>INFONAVIT</t>
  </si>
  <si>
    <t>IMSS MENSUAL</t>
  </si>
  <si>
    <t>CESANTIA BIMESTRAL</t>
  </si>
  <si>
    <t>INFONAVIT BIMESTRAL</t>
  </si>
  <si>
    <t>TOTALES</t>
  </si>
  <si>
    <t>Limite_Inferior</t>
  </si>
  <si>
    <t>Limite_Superior</t>
  </si>
  <si>
    <t>Cuota_fija</t>
  </si>
  <si>
    <t>Aplicable</t>
  </si>
  <si>
    <t>Empleador</t>
  </si>
  <si>
    <t>Enfermedades_Maternidad</t>
  </si>
  <si>
    <t>Especie_Cuota_Fija</t>
  </si>
  <si>
    <t>Especie_Excedente</t>
  </si>
  <si>
    <t>Prestaciones</t>
  </si>
  <si>
    <t>Pensionados_y_Beneficiarios</t>
  </si>
  <si>
    <t>Invalidez_y_Vida</t>
  </si>
  <si>
    <t>Riesgo_de_trabajo</t>
  </si>
  <si>
    <t>Guarderias_y_prestaciones_sociales</t>
  </si>
  <si>
    <t>Seguro_de_retiro</t>
  </si>
  <si>
    <t>Cesantia_y_vejez</t>
  </si>
  <si>
    <t>Enfermedades_Maternidad2</t>
  </si>
  <si>
    <t>SI(TRUNCAR(((((Vacaciones*PrimaV)+Aguinaldo)/365)+1);4)*SalDiario&lt;25*SMV;TRUNCAR(((((Q4*Q5)+Q6)/365)+1);4)*Q2;25*67.29)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</si>
</sst>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\ #,##0.00;[Red]\-&quot;$&quot;\ #,##0.00"/>
    <numFmt numFmtId="164" formatCode="&quot;$&quot;#,##0.00;[Red]\-&quot;$&quot;#,##0.00"/>
    <numFmt numFmtId="165" formatCode="&quot;$&quot;#,##0.00"/>
    <numFmt numFmtId="166" formatCode="#,###.00"/>
    <numFmt numFmtId="167" formatCode="_-&quot;$&quot;* #,##0.00_-;\-&quot;$&quot;* #,##0.00_-;_-&quot;$&quot;* &quot;-&quot;??_-;_-@_-"/>
    <numFmt numFmtId="168" formatCode="_-[$$-80A]* #,##0.00_-;\-[$$-80A]* #,##0.00_-;_-[$$-80A]* &quot;-&quot;??_-;_-@_-"/>
    <numFmt numFmtId="169" formatCode="0.000%"/>
    <numFmt numFmtId="170" formatCode="#,##0.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164" fontId="1" fillId="0" borderId="0" xfId="0" applyNumberFormat="1" applyFont="1" applyBorder="1" applyAlignment="1"/>
    <xf numFmtId="164" fontId="0" fillId="0" borderId="0" xfId="0" applyNumberFormat="1"/>
    <xf numFmtId="4" fontId="0" fillId="0" borderId="0" xfId="0" applyNumberFormat="1"/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9" fontId="1" fillId="0" borderId="2" xfId="0" applyNumberFormat="1" applyFont="1" applyBorder="1" applyAlignment="1">
      <alignment vertical="top"/>
    </xf>
    <xf numFmtId="165" fontId="0" fillId="0" borderId="0" xfId="0" applyNumberFormat="1"/>
    <xf numFmtId="0" fontId="1" fillId="2" borderId="0" xfId="0" applyFont="1" applyFill="1" applyBorder="1" applyAlignment="1">
      <alignment vertical="top"/>
    </xf>
    <xf numFmtId="166" fontId="1" fillId="2" borderId="0" xfId="0" applyNumberFormat="1" applyFont="1" applyFill="1" applyBorder="1" applyAlignment="1">
      <alignment vertical="top"/>
    </xf>
    <xf numFmtId="168" fontId="0" fillId="0" borderId="0" xfId="1" applyNumberFormat="1" applyFont="1"/>
    <xf numFmtId="10" fontId="0" fillId="0" borderId="0" xfId="0" applyNumberFormat="1"/>
    <xf numFmtId="8" fontId="0" fillId="0" borderId="0" xfId="0" applyNumberFormat="1"/>
    <xf numFmtId="4" fontId="1" fillId="0" borderId="0" xfId="0" applyNumberFormat="1" applyFont="1"/>
    <xf numFmtId="9" fontId="0" fillId="0" borderId="0" xfId="0" applyNumberFormat="1"/>
    <xf numFmtId="0" fontId="0" fillId="0" borderId="0" xfId="0" applyFont="1" applyFill="1" applyBorder="1" applyAlignment="1"/>
    <xf numFmtId="3" fontId="0" fillId="0" borderId="0" xfId="0" applyNumberFormat="1"/>
    <xf numFmtId="0" fontId="0" fillId="0" borderId="0" xfId="0" applyBorder="1" applyAlignment="1"/>
    <xf numFmtId="8" fontId="1" fillId="0" borderId="0" xfId="0" applyNumberFormat="1" applyFont="1"/>
    <xf numFmtId="0" fontId="0" fillId="0" borderId="0" xfId="0" applyBorder="1" applyProtection="1">
      <protection locked="0"/>
    </xf>
    <xf numFmtId="4" fontId="0" fillId="0" borderId="0" xfId="0" applyNumberFormat="1" applyBorder="1" applyAlignment="1"/>
    <xf numFmtId="169" fontId="0" fillId="0" borderId="0" xfId="2" applyNumberFormat="1" applyFont="1"/>
    <xf numFmtId="170" fontId="0" fillId="0" borderId="0" xfId="0" applyNumberFormat="1"/>
    <xf numFmtId="166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169" fontId="0" fillId="0" borderId="0" xfId="0" applyNumberFormat="1"/>
    <xf numFmtId="0" fontId="0" fillId="0" borderId="0" xfId="0" applyNumberFormat="1"/>
    <xf numFmtId="0" fontId="0" fillId="0" borderId="0" xfId="0" applyFont="1"/>
    <xf numFmtId="2" fontId="1" fillId="3" borderId="0" xfId="0" applyNumberFormat="1" applyFont="1" applyFill="1" applyBorder="1" applyAlignment="1">
      <alignment vertical="top"/>
    </xf>
    <xf numFmtId="0" fontId="0" fillId="3" borderId="0" xfId="0" applyFill="1" applyBorder="1"/>
    <xf numFmtId="2" fontId="0" fillId="3" borderId="0" xfId="0" applyNumberFormat="1" applyFont="1" applyFill="1" applyBorder="1" applyAlignment="1">
      <alignment vertical="top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9"/>
  <sheetViews>
    <sheetView tabSelected="1" topLeftCell="O5" workbookViewId="0">
      <selection activeCell="R16" sqref="R16"/>
    </sheetView>
  </sheetViews>
  <sheetFormatPr baseColWidth="10" defaultColWidth="14.42578125" defaultRowHeight="15.75" customHeight="1" x14ac:dyDescent="0.2"/>
  <cols>
    <col min="4" max="4" width="26.7109375" customWidth="1"/>
    <col min="7" max="7" width="2.140625" bestFit="1" customWidth="1"/>
    <col min="8" max="8" width="26" customWidth="1"/>
    <col min="9" max="9" width="10.5703125" customWidth="1"/>
    <col min="10" max="10" width="10.85546875" bestFit="1" customWidth="1"/>
    <col min="11" max="11" width="12.140625" bestFit="1" customWidth="1"/>
    <col min="16" max="16" width="40.5703125" bestFit="1" customWidth="1"/>
  </cols>
  <sheetData>
    <row r="1" spans="1:20" ht="15.75" customHeight="1" thickBot="1" x14ac:dyDescent="0.25">
      <c r="A1" s="1">
        <v>2015</v>
      </c>
      <c r="I1" t="s">
        <v>0</v>
      </c>
      <c r="J1" t="s">
        <v>1</v>
      </c>
      <c r="K1" t="s">
        <v>2</v>
      </c>
      <c r="N1" s="2" t="s">
        <v>3</v>
      </c>
      <c r="Q1" s="2" t="s">
        <v>4</v>
      </c>
    </row>
    <row r="2" spans="1:20" ht="15.75" customHeight="1" thickTop="1" x14ac:dyDescent="0.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H2" s="1" t="s">
        <v>10</v>
      </c>
      <c r="I2" s="5">
        <v>9000</v>
      </c>
      <c r="J2" s="6">
        <v>22733.23</v>
      </c>
      <c r="K2" s="6">
        <f>+J2*12</f>
        <v>272798.76</v>
      </c>
      <c r="M2" s="2" t="s">
        <v>11</v>
      </c>
      <c r="N2" s="6">
        <f>+J2</f>
        <v>22733.23</v>
      </c>
      <c r="P2" s="2" t="s">
        <v>12</v>
      </c>
      <c r="Q2" s="7">
        <f ca="1">+J2/Q8</f>
        <v>757.77433333333329</v>
      </c>
    </row>
    <row r="3" spans="1:20" ht="15.75" customHeight="1" x14ac:dyDescent="0.2">
      <c r="A3" s="8"/>
      <c r="B3" s="8"/>
      <c r="C3" s="8"/>
      <c r="D3" s="8" t="s">
        <v>13</v>
      </c>
      <c r="E3" t="s">
        <v>14</v>
      </c>
      <c r="G3" s="1" t="s">
        <v>15</v>
      </c>
      <c r="H3" s="1" t="s">
        <v>16</v>
      </c>
      <c r="I3" s="1"/>
      <c r="K3" s="6">
        <f t="array" ref="K3">MAX(IF(A5:A15&lt;=K2,A5:A15))</f>
        <v>249243.49</v>
      </c>
      <c r="M3" s="2" t="s">
        <v>17</v>
      </c>
      <c r="N3" s="6">
        <f>+N2/2</f>
        <v>11366.615</v>
      </c>
      <c r="P3" s="2" t="s">
        <v>18</v>
      </c>
      <c r="Q3">
        <v>1</v>
      </c>
    </row>
    <row r="4" spans="1:20" ht="15.75" customHeight="1" thickBot="1" x14ac:dyDescent="0.25">
      <c r="A4" s="9" t="s">
        <v>19</v>
      </c>
      <c r="B4" s="9" t="s">
        <v>19</v>
      </c>
      <c r="C4" s="9" t="s">
        <v>19</v>
      </c>
      <c r="D4" s="10">
        <v>0</v>
      </c>
      <c r="H4" s="1" t="s">
        <v>20</v>
      </c>
      <c r="I4" s="1"/>
      <c r="J4" s="11"/>
      <c r="K4" s="6">
        <f>+K2-K3</f>
        <v>23555.270000000019</v>
      </c>
      <c r="P4" s="2" t="s">
        <v>21</v>
      </c>
      <c r="Q4">
        <f>IF(Q3&lt;5,Q3+5+Q3-1,12+INT(Q3/5)*2)</f>
        <v>6</v>
      </c>
    </row>
    <row r="5" spans="1:20" ht="15.75" customHeight="1" thickTop="1" x14ac:dyDescent="0.2">
      <c r="A5" s="12">
        <v>0.01</v>
      </c>
      <c r="B5" s="13">
        <v>5952.84</v>
      </c>
      <c r="C5" s="12">
        <v>0</v>
      </c>
      <c r="D5" s="12">
        <v>1.92</v>
      </c>
      <c r="E5" s="14">
        <f>+B5/12</f>
        <v>496.07</v>
      </c>
      <c r="G5" s="1" t="s">
        <v>22</v>
      </c>
      <c r="H5" s="1" t="s">
        <v>23</v>
      </c>
      <c r="I5" s="1"/>
      <c r="K5" s="15">
        <f t="array" ref="K5">MAX(IF(A5:A15&lt;=K2,D5:D15))/100</f>
        <v>0.23519999999999999</v>
      </c>
      <c r="M5" s="2" t="s">
        <v>24</v>
      </c>
      <c r="N5" s="16">
        <f ca="1">+R29</f>
        <v>658.99484003475004</v>
      </c>
      <c r="P5" s="17" t="s">
        <v>25</v>
      </c>
      <c r="Q5" s="18">
        <v>0.25</v>
      </c>
    </row>
    <row r="6" spans="1:20" ht="15.75" customHeight="1" x14ac:dyDescent="0.2">
      <c r="A6" s="13">
        <v>5952.85</v>
      </c>
      <c r="B6" s="13">
        <v>50524.92</v>
      </c>
      <c r="C6" s="12">
        <v>114.29</v>
      </c>
      <c r="D6" s="12">
        <v>6.4</v>
      </c>
      <c r="E6" s="14">
        <f t="shared" ref="E6:E14" si="0">+B6/12</f>
        <v>4210.41</v>
      </c>
      <c r="G6" s="1" t="s">
        <v>26</v>
      </c>
      <c r="H6" s="1" t="s">
        <v>27</v>
      </c>
      <c r="I6" s="1"/>
      <c r="K6" s="6">
        <f t="array" ref="K6">MAX(IF(A5:A15&lt;=K2,C5:C15))</f>
        <v>39929.050000000003</v>
      </c>
      <c r="M6" s="2" t="s">
        <v>28</v>
      </c>
      <c r="N6" s="6">
        <f>+K9</f>
        <v>1894.5520626666669</v>
      </c>
      <c r="P6" s="17" t="s">
        <v>29</v>
      </c>
      <c r="Q6">
        <v>30</v>
      </c>
    </row>
    <row r="7" spans="1:20" ht="15.75" customHeight="1" x14ac:dyDescent="0.2">
      <c r="A7" s="13">
        <v>50524.93</v>
      </c>
      <c r="B7" s="13">
        <v>88793.04</v>
      </c>
      <c r="C7" s="13">
        <v>2966.91</v>
      </c>
      <c r="D7" s="12">
        <v>10.88</v>
      </c>
      <c r="E7" s="14">
        <f t="shared" si="0"/>
        <v>7399.4199999999992</v>
      </c>
      <c r="H7" s="19" t="s">
        <v>30</v>
      </c>
      <c r="I7" s="19"/>
      <c r="K7" s="6">
        <f>+K6+K4*K5</f>
        <v>45469.249504000007</v>
      </c>
      <c r="P7" s="2" t="s">
        <v>31</v>
      </c>
      <c r="Q7" s="7">
        <f ca="1">IF(TRUNC(((((Q4*Q5)+Q6)/365)+1),4)*Q2&lt;25*67.29,TRUNC(((((Q4*Q5)+Q6)/365)+1),4)*Q2,25*67.29)</f>
        <v>823.1702583</v>
      </c>
      <c r="R7" t="s">
        <v>83</v>
      </c>
    </row>
    <row r="8" spans="1:20" ht="15.75" customHeight="1" x14ac:dyDescent="0.2">
      <c r="A8" s="13">
        <v>88793.05</v>
      </c>
      <c r="B8" s="13">
        <v>103218</v>
      </c>
      <c r="C8" s="13">
        <v>7130.48</v>
      </c>
      <c r="D8" s="12">
        <v>16</v>
      </c>
      <c r="E8" s="14">
        <f t="shared" si="0"/>
        <v>8601.5</v>
      </c>
      <c r="H8" s="1" t="s">
        <v>32</v>
      </c>
      <c r="I8" s="1"/>
      <c r="K8" s="6">
        <f>+K7/12</f>
        <v>3789.1041253333337</v>
      </c>
      <c r="M8" s="2" t="s">
        <v>33</v>
      </c>
      <c r="N8" s="16">
        <f ca="1">+N3-N5-N6</f>
        <v>8813.0680972985829</v>
      </c>
      <c r="P8" s="2" t="s">
        <v>34</v>
      </c>
      <c r="Q8" s="20">
        <f ca="1">DAY(EOMONTH(TODAY(),0))</f>
        <v>30</v>
      </c>
    </row>
    <row r="9" spans="1:20" ht="15.75" customHeight="1" x14ac:dyDescent="0.2">
      <c r="A9" s="13">
        <v>103218.01</v>
      </c>
      <c r="B9" s="13">
        <v>123580.2</v>
      </c>
      <c r="C9" s="13">
        <v>9438.4699999999993</v>
      </c>
      <c r="D9" s="12">
        <v>17.920000000000002</v>
      </c>
      <c r="E9" s="14">
        <f t="shared" si="0"/>
        <v>10298.35</v>
      </c>
      <c r="H9" s="21" t="s">
        <v>35</v>
      </c>
      <c r="J9" s="7"/>
      <c r="K9" s="6">
        <f>+K8/2</f>
        <v>1894.5520626666669</v>
      </c>
      <c r="M9" s="2" t="s">
        <v>36</v>
      </c>
      <c r="N9" s="16">
        <f ca="1">+N8*2</f>
        <v>17626.136194597166</v>
      </c>
      <c r="P9" s="2" t="s">
        <v>37</v>
      </c>
      <c r="Q9">
        <v>73.040000000000006</v>
      </c>
    </row>
    <row r="10" spans="1:20" ht="15.75" customHeight="1" x14ac:dyDescent="0.2">
      <c r="A10" s="13">
        <v>123580.21</v>
      </c>
      <c r="B10" s="13">
        <v>249243.48</v>
      </c>
      <c r="C10" s="13">
        <v>13087.37</v>
      </c>
      <c r="D10" s="12">
        <v>21.36</v>
      </c>
      <c r="E10" s="14">
        <f t="shared" si="0"/>
        <v>20770.29</v>
      </c>
      <c r="K10" s="16">
        <f>+K11-J11</f>
        <v>1055.8741253333355</v>
      </c>
      <c r="N10" s="16"/>
      <c r="P10" s="22" t="s">
        <v>38</v>
      </c>
      <c r="Q10" s="23">
        <v>1.1306500000000001E-2</v>
      </c>
    </row>
    <row r="11" spans="1:20" ht="15.75" customHeight="1" x14ac:dyDescent="0.2">
      <c r="A11" s="13">
        <v>249243.49</v>
      </c>
      <c r="B11" s="13">
        <v>392841.96</v>
      </c>
      <c r="C11" s="13">
        <v>39929.050000000003</v>
      </c>
      <c r="D11" s="12">
        <v>23.52</v>
      </c>
      <c r="E11" s="14">
        <f t="shared" si="0"/>
        <v>32736.83</v>
      </c>
      <c r="H11" s="2" t="s">
        <v>39</v>
      </c>
      <c r="I11" s="24">
        <f>I2-K9</f>
        <v>7105.4479373333334</v>
      </c>
      <c r="J11" s="7">
        <f>$J$2-K8</f>
        <v>18944.125874666664</v>
      </c>
      <c r="K11" s="16">
        <v>20000</v>
      </c>
      <c r="M11" s="2" t="s">
        <v>40</v>
      </c>
      <c r="N11" s="16">
        <v>17726</v>
      </c>
    </row>
    <row r="12" spans="1:20" ht="15.75" customHeight="1" x14ac:dyDescent="0.2">
      <c r="A12" s="13">
        <v>392841.97</v>
      </c>
      <c r="B12" s="13">
        <v>750000</v>
      </c>
      <c r="C12" s="13">
        <v>73703.41</v>
      </c>
      <c r="D12" s="12">
        <v>30</v>
      </c>
      <c r="E12" s="14">
        <f t="shared" si="0"/>
        <v>62500</v>
      </c>
      <c r="J12" s="6"/>
      <c r="K12" s="6"/>
      <c r="L12" s="6"/>
      <c r="N12" s="16">
        <f ca="1">+N11-N9</f>
        <v>99.863805402834259</v>
      </c>
    </row>
    <row r="13" spans="1:20" ht="15.75" customHeight="1" x14ac:dyDescent="0.2">
      <c r="A13" s="13">
        <v>750000.01</v>
      </c>
      <c r="B13" s="13">
        <v>1000000</v>
      </c>
      <c r="C13" s="13">
        <v>180850.82</v>
      </c>
      <c r="D13" s="12">
        <v>32</v>
      </c>
      <c r="E13" s="14">
        <f t="shared" si="0"/>
        <v>83333.333333333328</v>
      </c>
      <c r="H13" t="s">
        <v>41</v>
      </c>
      <c r="P13" s="2" t="s">
        <v>42</v>
      </c>
      <c r="Q13" s="2" t="s">
        <v>43</v>
      </c>
      <c r="R13" s="2" t="s">
        <v>44</v>
      </c>
      <c r="S13" s="2" t="s">
        <v>45</v>
      </c>
      <c r="T13" s="2" t="s">
        <v>46</v>
      </c>
    </row>
    <row r="14" spans="1:20" ht="15.75" customHeight="1" x14ac:dyDescent="0.2">
      <c r="A14" s="13">
        <v>1000000.01</v>
      </c>
      <c r="B14" s="13">
        <v>3000000</v>
      </c>
      <c r="C14" s="13">
        <v>260850.81</v>
      </c>
      <c r="D14" s="12">
        <v>34</v>
      </c>
      <c r="E14" s="14">
        <f t="shared" si="0"/>
        <v>250000</v>
      </c>
      <c r="P14" t="s">
        <v>47</v>
      </c>
      <c r="S14" s="25">
        <v>0.20399999999999999</v>
      </c>
      <c r="T14" s="26">
        <v>447.00480000000005</v>
      </c>
    </row>
    <row r="15" spans="1:20" ht="15.75" customHeight="1" thickBot="1" x14ac:dyDescent="0.25">
      <c r="A15" s="27">
        <v>3000000.01</v>
      </c>
      <c r="B15" s="28" t="s">
        <v>48</v>
      </c>
      <c r="C15" s="27">
        <v>940850.81</v>
      </c>
      <c r="D15" s="28">
        <v>35</v>
      </c>
      <c r="H15" t="s">
        <v>49</v>
      </c>
      <c r="J15" s="6">
        <v>7000</v>
      </c>
      <c r="P15" t="s">
        <v>50</v>
      </c>
      <c r="Q15" s="29">
        <v>4.0000000000000001E-3</v>
      </c>
      <c r="R15" s="26">
        <f ca="1">IF(Q7&gt;Q9*3,((Q7-(3*Q9))*Q8)*Q15,"")</f>
        <v>72.486030995999997</v>
      </c>
      <c r="S15" s="25">
        <v>1.0999999999999999E-2</v>
      </c>
      <c r="T15" s="26">
        <v>190.57499999999999</v>
      </c>
    </row>
    <row r="16" spans="1:20" ht="15.75" customHeight="1" thickTop="1" x14ac:dyDescent="0.2">
      <c r="H16" t="s">
        <v>51</v>
      </c>
      <c r="I16" s="18">
        <v>0.16</v>
      </c>
      <c r="J16" s="6">
        <f>+I16*J15</f>
        <v>1120</v>
      </c>
      <c r="P16" t="s">
        <v>52</v>
      </c>
      <c r="Q16" s="29">
        <v>2.5000000000000001E-3</v>
      </c>
      <c r="R16" s="7">
        <f ca="1">$Q$7*$Q$8*Q16</f>
        <v>61.737769372499997</v>
      </c>
      <c r="S16" s="25">
        <v>7.0000000000000001E-3</v>
      </c>
      <c r="T16" s="26">
        <v>167.2902</v>
      </c>
    </row>
    <row r="17" spans="1:20" ht="15.75" customHeight="1" x14ac:dyDescent="0.2">
      <c r="P17" t="s">
        <v>53</v>
      </c>
      <c r="Q17" s="29">
        <v>3.7499999999999999E-3</v>
      </c>
      <c r="R17" s="7">
        <f t="shared" ref="R17:R18" ca="1" si="1">$Q$7*$Q$8*Q17</f>
        <v>92.606654058749996</v>
      </c>
      <c r="S17" s="25">
        <v>1.0500000000000001E-2</v>
      </c>
      <c r="T17" s="26">
        <v>250.93530000000001</v>
      </c>
    </row>
    <row r="18" spans="1:20" ht="15.75" customHeight="1" x14ac:dyDescent="0.2">
      <c r="A18" s="30" t="s">
        <v>54</v>
      </c>
      <c r="H18" t="s">
        <v>55</v>
      </c>
      <c r="I18" s="18">
        <v>0.1</v>
      </c>
      <c r="J18" s="6">
        <f>+J15*I18</f>
        <v>700</v>
      </c>
      <c r="P18" t="s">
        <v>56</v>
      </c>
      <c r="Q18" s="29">
        <v>6.2500000000000003E-3</v>
      </c>
      <c r="R18" s="7">
        <f t="shared" ca="1" si="1"/>
        <v>154.34442343124999</v>
      </c>
      <c r="S18" s="25">
        <v>1.7500000000000002E-2</v>
      </c>
      <c r="T18" s="26">
        <v>418.22550000000001</v>
      </c>
    </row>
    <row r="19" spans="1:20" ht="15.75" customHeight="1" x14ac:dyDescent="0.2">
      <c r="H19" t="s">
        <v>57</v>
      </c>
      <c r="I19" s="15">
        <f>+I16*2/3</f>
        <v>0.10666666666666667</v>
      </c>
      <c r="J19" s="6">
        <f>+I19*J15</f>
        <v>746.66666666666674</v>
      </c>
      <c r="P19" t="s">
        <v>58</v>
      </c>
      <c r="S19" s="25">
        <v>1.1306500000000001E-2</v>
      </c>
      <c r="T19" s="26">
        <v>270.20952089999997</v>
      </c>
    </row>
    <row r="20" spans="1:20" ht="15.75" customHeight="1" x14ac:dyDescent="0.2">
      <c r="P20" t="s">
        <v>59</v>
      </c>
      <c r="S20" s="25">
        <v>0.01</v>
      </c>
      <c r="T20" s="26">
        <v>238.98599999999999</v>
      </c>
    </row>
    <row r="21" spans="1:20" ht="15.75" customHeight="1" x14ac:dyDescent="0.2">
      <c r="H21" t="s">
        <v>49</v>
      </c>
      <c r="J21" s="6">
        <f>+J15+J16-J18-J19</f>
        <v>6673.333333333333</v>
      </c>
      <c r="P21" s="2"/>
    </row>
    <row r="22" spans="1:20" ht="15.75" customHeight="1" x14ac:dyDescent="0.2">
      <c r="P22" t="s">
        <v>60</v>
      </c>
      <c r="Q22" s="29"/>
      <c r="R22" s="26"/>
      <c r="S22" s="25">
        <v>0.02</v>
      </c>
      <c r="T22" s="26">
        <v>477.97199999999998</v>
      </c>
    </row>
    <row r="23" spans="1:20" ht="15.75" customHeight="1" x14ac:dyDescent="0.2">
      <c r="P23" t="s">
        <v>61</v>
      </c>
      <c r="Q23" s="29">
        <v>1.125E-2</v>
      </c>
      <c r="R23" s="26">
        <f ca="1">Q7*Q8*Q23</f>
        <v>277.81996217624999</v>
      </c>
      <c r="S23" s="25">
        <v>3.15E-2</v>
      </c>
      <c r="T23" s="26">
        <v>752.80589999999995</v>
      </c>
    </row>
    <row r="24" spans="1:20" ht="15.75" customHeight="1" x14ac:dyDescent="0.2">
      <c r="P24" t="s">
        <v>62</v>
      </c>
      <c r="Q24" s="29"/>
      <c r="R24" s="26"/>
      <c r="S24" s="25">
        <v>0.05</v>
      </c>
      <c r="T24" s="26">
        <v>1194.93</v>
      </c>
    </row>
    <row r="26" spans="1:20" ht="15.75" customHeight="1" x14ac:dyDescent="0.2">
      <c r="P26" t="s">
        <v>63</v>
      </c>
      <c r="R26" s="7">
        <f ca="1">IF(Q7&lt;78.3,0,SUM(R15:R18))</f>
        <v>381.1748778585</v>
      </c>
    </row>
    <row r="27" spans="1:20" ht="15.75" customHeight="1" x14ac:dyDescent="0.2">
      <c r="P27" t="s">
        <v>64</v>
      </c>
      <c r="R27" s="7">
        <f ca="1">IF(Q7&lt;78.3,0,R23)</f>
        <v>277.81996217624999</v>
      </c>
    </row>
    <row r="28" spans="1:20" ht="15.75" customHeight="1" x14ac:dyDescent="0.2">
      <c r="P28" t="s">
        <v>65</v>
      </c>
      <c r="R28" s="7">
        <v>0</v>
      </c>
    </row>
    <row r="29" spans="1:20" ht="15.75" customHeight="1" x14ac:dyDescent="0.2">
      <c r="P29" t="s">
        <v>66</v>
      </c>
      <c r="R29" s="7">
        <f ca="1">SUM(R26:R28)</f>
        <v>658.99484003475004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F1" workbookViewId="0">
      <selection activeCell="J5" sqref="J5"/>
    </sheetView>
  </sheetViews>
  <sheetFormatPr baseColWidth="10" defaultRowHeight="12.75" x14ac:dyDescent="0.2"/>
  <cols>
    <col min="1" max="1" width="12.42578125" bestFit="1" customWidth="1"/>
    <col min="2" max="2" width="16.7109375" bestFit="1" customWidth="1"/>
    <col min="3" max="3" width="9.5703125" bestFit="1" customWidth="1"/>
    <col min="4" max="4" width="8.5703125" bestFit="1" customWidth="1"/>
    <col min="6" max="6" width="40.5703125" bestFit="1" customWidth="1"/>
    <col min="7" max="7" width="6.85546875" customWidth="1"/>
    <col min="8" max="8" width="40.5703125" customWidth="1"/>
  </cols>
  <sheetData>
    <row r="1" spans="1:11" x14ac:dyDescent="0.2">
      <c r="A1" s="31"/>
    </row>
    <row r="2" spans="1:11" x14ac:dyDescent="0.2">
      <c r="A2" s="33" t="s">
        <v>67</v>
      </c>
      <c r="B2" s="33" t="s">
        <v>68</v>
      </c>
      <c r="C2" s="33" t="s">
        <v>69</v>
      </c>
      <c r="D2" s="33" t="s">
        <v>70</v>
      </c>
      <c r="F2" t="s">
        <v>42</v>
      </c>
      <c r="H2" s="33" t="s">
        <v>72</v>
      </c>
      <c r="I2" s="33" t="s">
        <v>82</v>
      </c>
      <c r="J2" t="s">
        <v>44</v>
      </c>
      <c r="K2" t="s">
        <v>71</v>
      </c>
    </row>
    <row r="3" spans="1:11" x14ac:dyDescent="0.2">
      <c r="A3" s="32">
        <v>0.01</v>
      </c>
      <c r="B3" s="32">
        <v>5952.84</v>
      </c>
      <c r="C3" s="32">
        <v>0</v>
      </c>
      <c r="D3" s="32">
        <v>1.92</v>
      </c>
      <c r="E3" s="34"/>
      <c r="F3" t="s">
        <v>47</v>
      </c>
      <c r="H3" t="str">
        <f>SUBSTITUTE(I3,"_"," ")</f>
        <v>Especie Cuota Fija</v>
      </c>
      <c r="I3" t="s">
        <v>73</v>
      </c>
      <c r="J3" s="34">
        <v>0</v>
      </c>
      <c r="K3">
        <v>20.399999999999999</v>
      </c>
    </row>
    <row r="4" spans="1:11" x14ac:dyDescent="0.2">
      <c r="A4" s="32">
        <v>5952.85</v>
      </c>
      <c r="B4" s="32">
        <v>50524.92</v>
      </c>
      <c r="C4" s="32">
        <v>114.29</v>
      </c>
      <c r="D4" s="32">
        <v>6.4</v>
      </c>
      <c r="E4" s="34"/>
      <c r="F4" t="s">
        <v>50</v>
      </c>
      <c r="H4" t="str">
        <f t="shared" ref="H4:H12" si="0">SUBSTITUTE(I4,"_"," ")</f>
        <v>Especie Excedente</v>
      </c>
      <c r="I4" t="s">
        <v>74</v>
      </c>
      <c r="J4">
        <v>0.4</v>
      </c>
      <c r="K4">
        <v>1.0999999999999999</v>
      </c>
    </row>
    <row r="5" spans="1:11" x14ac:dyDescent="0.2">
      <c r="A5" s="32">
        <v>50524.93</v>
      </c>
      <c r="B5" s="32">
        <v>88793.04</v>
      </c>
      <c r="C5" s="32">
        <v>2966.91</v>
      </c>
      <c r="D5" s="32">
        <v>10.88</v>
      </c>
      <c r="E5" s="34"/>
      <c r="F5" t="s">
        <v>52</v>
      </c>
      <c r="H5" t="str">
        <f t="shared" si="0"/>
        <v>Prestaciones</v>
      </c>
      <c r="I5" t="s">
        <v>75</v>
      </c>
      <c r="J5">
        <v>0.25</v>
      </c>
      <c r="K5">
        <v>0.70000000000000007</v>
      </c>
    </row>
    <row r="6" spans="1:11" x14ac:dyDescent="0.2">
      <c r="A6" s="32">
        <v>88793.05</v>
      </c>
      <c r="B6" s="32">
        <v>103218</v>
      </c>
      <c r="C6" s="32">
        <v>7130.48</v>
      </c>
      <c r="D6" s="32">
        <v>16</v>
      </c>
      <c r="E6" s="34"/>
      <c r="F6" t="s">
        <v>53</v>
      </c>
      <c r="H6" t="str">
        <f t="shared" si="0"/>
        <v>Pensionados y Beneficiarios</v>
      </c>
      <c r="I6" t="s">
        <v>76</v>
      </c>
      <c r="J6">
        <v>0.375</v>
      </c>
      <c r="K6">
        <v>1.05</v>
      </c>
    </row>
    <row r="7" spans="1:11" x14ac:dyDescent="0.2">
      <c r="A7" s="32">
        <v>103218.01</v>
      </c>
      <c r="B7" s="32">
        <v>123580.2</v>
      </c>
      <c r="C7" s="32">
        <v>9438.4699999999993</v>
      </c>
      <c r="D7" s="32">
        <v>17.920000000000002</v>
      </c>
      <c r="E7" s="34"/>
      <c r="F7" t="s">
        <v>56</v>
      </c>
      <c r="H7" t="str">
        <f t="shared" si="0"/>
        <v>Invalidez y Vida</v>
      </c>
      <c r="I7" t="s">
        <v>77</v>
      </c>
      <c r="J7">
        <v>0.625</v>
      </c>
      <c r="K7">
        <v>1.7500000000000002</v>
      </c>
    </row>
    <row r="8" spans="1:11" x14ac:dyDescent="0.2">
      <c r="A8" s="32">
        <v>123580.21</v>
      </c>
      <c r="B8" s="32">
        <v>249243.48</v>
      </c>
      <c r="C8" s="32">
        <v>13087.37</v>
      </c>
      <c r="D8" s="32">
        <v>21.36</v>
      </c>
      <c r="E8" s="34"/>
      <c r="F8" t="s">
        <v>58</v>
      </c>
      <c r="H8" t="str">
        <f t="shared" si="0"/>
        <v>Riesgo de trabajo</v>
      </c>
      <c r="I8" t="s">
        <v>78</v>
      </c>
      <c r="J8" s="34">
        <v>0</v>
      </c>
      <c r="K8">
        <v>1.1306500000000002</v>
      </c>
    </row>
    <row r="9" spans="1:11" x14ac:dyDescent="0.2">
      <c r="A9" s="32">
        <v>249243.49</v>
      </c>
      <c r="B9" s="32">
        <v>392841.96</v>
      </c>
      <c r="C9" s="32">
        <v>39929.050000000003</v>
      </c>
      <c r="D9" s="32">
        <v>23.52</v>
      </c>
      <c r="E9" s="34"/>
      <c r="F9" t="s">
        <v>59</v>
      </c>
      <c r="H9" t="str">
        <f t="shared" si="0"/>
        <v>Guarderias y prestaciones sociales</v>
      </c>
      <c r="I9" t="s">
        <v>79</v>
      </c>
      <c r="J9" s="34">
        <v>0</v>
      </c>
      <c r="K9">
        <v>1</v>
      </c>
    </row>
    <row r="10" spans="1:11" x14ac:dyDescent="0.2">
      <c r="A10" s="32">
        <v>392841.97</v>
      </c>
      <c r="B10" s="32">
        <v>750000</v>
      </c>
      <c r="C10" s="32">
        <v>73703.41</v>
      </c>
      <c r="D10" s="32">
        <v>30</v>
      </c>
      <c r="E10" s="34"/>
      <c r="F10" t="s">
        <v>60</v>
      </c>
      <c r="H10" t="str">
        <f t="shared" si="0"/>
        <v>Seguro de retiro</v>
      </c>
      <c r="I10" t="s">
        <v>80</v>
      </c>
      <c r="J10" s="34">
        <v>0</v>
      </c>
      <c r="K10">
        <v>2</v>
      </c>
    </row>
    <row r="11" spans="1:11" x14ac:dyDescent="0.2">
      <c r="A11" s="32">
        <v>750000.01</v>
      </c>
      <c r="B11" s="32">
        <v>1000000</v>
      </c>
      <c r="C11" s="32">
        <v>180850.82</v>
      </c>
      <c r="D11" s="32">
        <v>32</v>
      </c>
      <c r="E11" s="34"/>
      <c r="F11" t="s">
        <v>61</v>
      </c>
      <c r="H11" t="str">
        <f t="shared" si="0"/>
        <v>Cesantia y vejez</v>
      </c>
      <c r="I11" t="s">
        <v>81</v>
      </c>
      <c r="J11">
        <v>1.125</v>
      </c>
      <c r="K11">
        <v>3.15</v>
      </c>
    </row>
    <row r="12" spans="1:11" x14ac:dyDescent="0.2">
      <c r="A12" s="32">
        <v>1000000.01</v>
      </c>
      <c r="B12" s="32">
        <v>3000000</v>
      </c>
      <c r="C12" s="32">
        <v>260850.81</v>
      </c>
      <c r="D12" s="32">
        <v>34</v>
      </c>
      <c r="E12" s="34"/>
      <c r="F12" t="s">
        <v>62</v>
      </c>
      <c r="H12" t="str">
        <f t="shared" si="0"/>
        <v>INFONAVIT</v>
      </c>
      <c r="I12" t="s">
        <v>62</v>
      </c>
      <c r="J12" s="34">
        <v>0</v>
      </c>
      <c r="K12">
        <v>5</v>
      </c>
    </row>
    <row r="13" spans="1:11" x14ac:dyDescent="0.2">
      <c r="A13" s="32">
        <v>3000000.01</v>
      </c>
      <c r="B13" s="32">
        <v>1000000000000</v>
      </c>
      <c r="C13" s="32">
        <v>940850.81</v>
      </c>
      <c r="D13" s="32">
        <v>35</v>
      </c>
      <c r="E13" s="34"/>
    </row>
    <row r="15" spans="1:11" x14ac:dyDescent="0.2">
      <c r="F15" t="s">
        <v>63</v>
      </c>
    </row>
    <row r="16" spans="1:11" x14ac:dyDescent="0.2">
      <c r="F16" t="s">
        <v>64</v>
      </c>
    </row>
    <row r="17" spans="6:6" x14ac:dyDescent="0.2">
      <c r="F17" t="s">
        <v>65</v>
      </c>
    </row>
    <row r="18" spans="6:6" x14ac:dyDescent="0.2">
      <c r="F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Salario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Barragán</dc:creator>
  <cp:lastModifiedBy>Rafael Barragán</cp:lastModifiedBy>
  <dcterms:created xsi:type="dcterms:W3CDTF">2016-08-16T23:01:04Z</dcterms:created>
  <dcterms:modified xsi:type="dcterms:W3CDTF">2016-09-23T23:00:18Z</dcterms:modified>
</cp:coreProperties>
</file>