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https://d.docs.live.net/e215b02b5d226853/INFORMATIVOS/Bulbo/"/>
    </mc:Choice>
  </mc:AlternateContent>
  <xr:revisionPtr revIDLastSave="1405" documentId="8_{F781720D-3C15-428A-BF7E-348B434EB4DF}" xr6:coauthVersionLast="43" xr6:coauthVersionMax="43" xr10:uidLastSave="{CA581EDF-8FAF-4993-AB19-C42EFD576369}"/>
  <workbookProtection workbookAlgorithmName="SHA-512" workbookHashValue="lgIE8sH4hQYsWosTsffK1Vz5Fk+KjKzZiEDFepfXT4+bwuvmxV76tDZTNtsMnauZQ6cer8NiHFdycVKsU5qdlg==" workbookSaltValue="HqIGAZC2vsl7cPG3WPb90Q==" workbookSpinCount="100000" lockStructure="1"/>
  <bookViews>
    <workbookView showSheetTabs="0" xWindow="-120" yWindow="-120" windowWidth="29040" windowHeight="15840" tabRatio="670" xr2:uid="{00000000-000D-0000-FFFF-FFFF00000000}"/>
  </bookViews>
  <sheets>
    <sheet name="MAIN" sheetId="8" r:id="rId1"/>
    <sheet name="bulbo" sheetId="1" state="hidden" r:id="rId2"/>
    <sheet name="sembulbo" sheetId="9" state="hidden" r:id="rId3"/>
    <sheet name="INFLUENCIA DE BULBO" sheetId="4" state="hidden" r:id="rId4"/>
    <sheet name="Planilha1" sheetId="10" state="hidden" r:id="rId5"/>
    <sheet name="Planilha2" sheetId="11" state="hidden" r:id="rId6"/>
  </sheets>
  <definedNames>
    <definedName name="A_bulbo" localSheetId="2">sembulbo!$H$29</definedName>
    <definedName name="A_bulbo">bulbo!$H$30</definedName>
    <definedName name="A_tram" localSheetId="2">sembulbo!$D$46</definedName>
    <definedName name="A_tram">bulbo!$D$46</definedName>
    <definedName name="B" localSheetId="2">sembulbo!$H$6</definedName>
    <definedName name="B">bulbo!$H$6</definedName>
    <definedName name="C_x" localSheetId="2">sembulbo!$H$13</definedName>
    <definedName name="C_x">bulbo!$H$13</definedName>
    <definedName name="cb" localSheetId="2">sembulbo!$H$11</definedName>
    <definedName name="cb">bulbo!$H$11</definedName>
    <definedName name="coef_1" localSheetId="2">sembulbo!$D$25</definedName>
    <definedName name="coef_1">bulbo!$D$25</definedName>
    <definedName name="coef_12" localSheetId="2">sembulbo!$D$32</definedName>
    <definedName name="coef_12">bulbo!$D$32</definedName>
    <definedName name="coef_13" localSheetId="2">sembulbo!$D$33</definedName>
    <definedName name="coef_13">bulbo!$D$33</definedName>
    <definedName name="coef_15" localSheetId="2">sembulbo!$D$34</definedName>
    <definedName name="coef_15">bulbo!$D$34</definedName>
    <definedName name="coef_16" localSheetId="2">sembulbo!$D$35</definedName>
    <definedName name="coef_16">bulbo!$D$35</definedName>
    <definedName name="coef_2" localSheetId="2">sembulbo!$D$26</definedName>
    <definedName name="coef_2">bulbo!$D$26</definedName>
    <definedName name="coef_3" localSheetId="2">sembulbo!$D$27</definedName>
    <definedName name="coef_3">bulbo!$D$27</definedName>
    <definedName name="coef_4" localSheetId="2">sembulbo!$D$28</definedName>
    <definedName name="coef_4">bulbo!$D$28</definedName>
    <definedName name="coef_5" localSheetId="2">sembulbo!$D$29</definedName>
    <definedName name="coef_5">bulbo!$D$29</definedName>
    <definedName name="coef_7" localSheetId="2">sembulbo!$D$31</definedName>
    <definedName name="coef_7">bulbo!$D$31</definedName>
    <definedName name="coef_bto" localSheetId="2">sembulbo!#REF!</definedName>
    <definedName name="coef_bto">bulbo!#REF!</definedName>
    <definedName name="coef_ca" localSheetId="2">sembulbo!$D$36</definedName>
    <definedName name="coef_ca">bulbo!$D$36</definedName>
    <definedName name="coef_caa" localSheetId="2">sembulbo!#REF!</definedName>
    <definedName name="coef_caa">bulbo!#REF!</definedName>
    <definedName name="coef_d" localSheetId="2">sembulbo!$D$39</definedName>
    <definedName name="coef_d">bulbo!$D$39</definedName>
    <definedName name="coef_ie" localSheetId="2">sembulbo!$D$44</definedName>
    <definedName name="coef_ie">bulbo!$D$44</definedName>
    <definedName name="coef_k1" localSheetId="2">sembulbo!$D$43</definedName>
    <definedName name="coef_k1">bulbo!$D$43</definedName>
    <definedName name="coef_k2" localSheetId="2">sembulbo!$D$38</definedName>
    <definedName name="coef_k2">bulbo!$D$38</definedName>
    <definedName name="coef_lr" localSheetId="2">sembulbo!$D$37</definedName>
    <definedName name="coef_lr">bulbo!$D$37</definedName>
    <definedName name="coef_m1" localSheetId="2">sembulbo!$D$41</definedName>
    <definedName name="coef_m1">bulbo!$D$41</definedName>
    <definedName name="coef_pb" localSheetId="2">sembulbo!$D$42</definedName>
    <definedName name="coef_pb">bulbo!$D$42</definedName>
    <definedName name="Cp" localSheetId="2">sembulbo!$H$20</definedName>
    <definedName name="Cp">bulbo!$H$20</definedName>
    <definedName name="cstern" localSheetId="2">sembulbo!$H$14</definedName>
    <definedName name="cstern">bulbo!$H$14</definedName>
    <definedName name="cwp" localSheetId="2">sembulbo!$H$12</definedName>
    <definedName name="cwp">bulbo!$H$12</definedName>
    <definedName name="d_bto" localSheetId="2">sembulbo!#REF!</definedName>
    <definedName name="d_bto">bulbo!#REF!</definedName>
    <definedName name="grav" localSheetId="2">sembulbo!$H$17</definedName>
    <definedName name="grav">bulbo!$H$17</definedName>
    <definedName name="h_bulbo" localSheetId="2">sembulbo!$H$28</definedName>
    <definedName name="h_bulbo">bulbo!$H$28</definedName>
    <definedName name="lambda" localSheetId="2">sembulbo!$D$40</definedName>
    <definedName name="lambda">bulbo!$D$40</definedName>
    <definedName name="Lbp" localSheetId="2">sembulbo!$H$5</definedName>
    <definedName name="Lbp">bulbo!$H$5</definedName>
    <definedName name="LCB" localSheetId="2">sembulbo!$H$10</definedName>
    <definedName name="LCB">bulbo!$H$10</definedName>
    <definedName name="peso_desl" localSheetId="2">sembulbo!$H$19</definedName>
    <definedName name="peso_desl">bulbo!$H$19</definedName>
    <definedName name="rho" localSheetId="2">sembulbo!$H$16</definedName>
    <definedName name="rho">bulbo!$H$16</definedName>
    <definedName name="Sm" localSheetId="2">sembulbo!$H$21</definedName>
    <definedName name="Sm">bulbo!$H$21</definedName>
    <definedName name="T" localSheetId="2">sembulbo!$H$7</definedName>
    <definedName name="T">bulbo!$H$7</definedName>
    <definedName name="T_f" localSheetId="2">sembulbo!$H$8</definedName>
    <definedName name="T_f">bulbo!$H$8</definedName>
    <definedName name="vel_s" localSheetId="2">sembulbo!$H$18</definedName>
    <definedName name="vel_s">bulbo!$H$18</definedName>
    <definedName name="visco" localSheetId="2">sembulbo!$H$15</definedName>
    <definedName name="visco">bulbo!$H$15</definedName>
    <definedName name="Vol_desl" localSheetId="2">sembulbo!$H$9</definedName>
    <definedName name="Vol_desl">bulbo!$H$9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D7" i="8"/>
  <c r="A11" i="11"/>
  <c r="A12" i="11"/>
  <c r="A15" i="11"/>
  <c r="A14" i="11"/>
  <c r="A13" i="11"/>
  <c r="R1" i="8"/>
  <c r="A1" i="8"/>
  <c r="R5" i="8"/>
  <c r="R2" i="8"/>
  <c r="C54" i="1"/>
  <c r="C53" i="1"/>
  <c r="B3" i="8"/>
  <c r="B4" i="8"/>
  <c r="B5" i="8"/>
  <c r="B6" i="8"/>
  <c r="B7" i="8"/>
  <c r="B2" i="8"/>
  <c r="AD9" i="10"/>
  <c r="AB9" i="10"/>
  <c r="X9" i="10"/>
  <c r="F12" i="10"/>
  <c r="J10" i="1"/>
  <c r="J11" i="1"/>
  <c r="J12" i="1"/>
  <c r="J13" i="1"/>
  <c r="J14" i="1"/>
  <c r="J15" i="1"/>
  <c r="J16" i="1"/>
  <c r="J17" i="1"/>
  <c r="E10" i="10" l="1"/>
  <c r="E13" i="10" s="1"/>
  <c r="G13" i="10" s="1"/>
  <c r="E12" i="10"/>
  <c r="G12" i="10" s="1"/>
  <c r="H18" i="9" l="1"/>
  <c r="H15" i="9"/>
  <c r="H13" i="9"/>
  <c r="H20" i="9" s="1"/>
  <c r="H12" i="9"/>
  <c r="H7" i="9"/>
  <c r="H8" i="9" s="1"/>
  <c r="H6" i="9"/>
  <c r="H5" i="9"/>
  <c r="H22" i="9" s="1"/>
  <c r="H13" i="1"/>
  <c r="H12" i="1"/>
  <c r="E3" i="10"/>
  <c r="F3" i="10"/>
  <c r="E1" i="10"/>
  <c r="E4" i="10" s="1"/>
  <c r="AA15" i="10" l="1"/>
  <c r="H21" i="9"/>
  <c r="H9" i="9"/>
  <c r="H19" i="9" s="1"/>
  <c r="AA23" i="10"/>
  <c r="AA21" i="10"/>
  <c r="AA22" i="10"/>
  <c r="AA14" i="10"/>
  <c r="W6" i="10"/>
  <c r="W31" i="10" s="1"/>
  <c r="AA31" i="10" s="1"/>
  <c r="AA10" i="10"/>
  <c r="AA29" i="10"/>
  <c r="AA28" i="10"/>
  <c r="AA27" i="10"/>
  <c r="AA26" i="10"/>
  <c r="AA25" i="10"/>
  <c r="AA24" i="10"/>
  <c r="AA13" i="10"/>
  <c r="AA12" i="10"/>
  <c r="AA11" i="10"/>
  <c r="AA20" i="10"/>
  <c r="AA19" i="10"/>
  <c r="AA18" i="10"/>
  <c r="AA17" i="10"/>
  <c r="AA16" i="10"/>
  <c r="E5" i="10"/>
  <c r="E6" i="10" s="1"/>
  <c r="AA4" i="10"/>
  <c r="W7" i="10"/>
  <c r="F4" i="10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D8" i="4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D30" i="9"/>
  <c r="L29" i="9"/>
  <c r="H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D33" i="1"/>
  <c r="L32" i="1"/>
  <c r="L31" i="1"/>
  <c r="L30" i="1"/>
  <c r="D30" i="1"/>
  <c r="L29" i="1"/>
  <c r="L28" i="1"/>
  <c r="L27" i="1"/>
  <c r="L26" i="1"/>
  <c r="L25" i="1"/>
  <c r="L24" i="1"/>
  <c r="L23" i="1"/>
  <c r="L22" i="1"/>
  <c r="L21" i="1"/>
  <c r="L20" i="1"/>
  <c r="H20" i="1"/>
  <c r="D35" i="1" s="1"/>
  <c r="L19" i="1"/>
  <c r="L18" i="1"/>
  <c r="H18" i="1"/>
  <c r="L17" i="1"/>
  <c r="L16" i="1"/>
  <c r="L15" i="1"/>
  <c r="H15" i="1"/>
  <c r="L14" i="1"/>
  <c r="L13" i="1"/>
  <c r="L12" i="1"/>
  <c r="L11" i="1"/>
  <c r="L10" i="1"/>
  <c r="L9" i="1"/>
  <c r="L8" i="1"/>
  <c r="H7" i="1"/>
  <c r="J7" i="1" s="1"/>
  <c r="H6" i="1"/>
  <c r="J6" i="1" s="1"/>
  <c r="H5" i="1"/>
  <c r="J5" i="1" s="1"/>
  <c r="AA30" i="4" l="1"/>
  <c r="J18" i="1"/>
  <c r="AB16" i="10"/>
  <c r="AB24" i="10"/>
  <c r="AB31" i="10"/>
  <c r="AB17" i="10"/>
  <c r="AB25" i="10"/>
  <c r="AB15" i="10"/>
  <c r="AB18" i="10"/>
  <c r="AB26" i="10"/>
  <c r="AB11" i="10"/>
  <c r="AB19" i="10"/>
  <c r="AB27" i="10"/>
  <c r="AB12" i="10"/>
  <c r="AB20" i="10"/>
  <c r="AB28" i="10"/>
  <c r="AB23" i="10"/>
  <c r="AB13" i="10"/>
  <c r="AB21" i="10"/>
  <c r="AB29" i="10"/>
  <c r="AB14" i="10"/>
  <c r="AB22" i="10"/>
  <c r="W59" i="10"/>
  <c r="AA59" i="10" s="1"/>
  <c r="AB59" i="10" s="1"/>
  <c r="W67" i="10"/>
  <c r="AA67" i="10" s="1"/>
  <c r="AB67" i="10" s="1"/>
  <c r="W75" i="10"/>
  <c r="AA75" i="10" s="1"/>
  <c r="AB75" i="10" s="1"/>
  <c r="W63" i="10"/>
  <c r="AA63" i="10" s="1"/>
  <c r="AB63" i="10" s="1"/>
  <c r="W78" i="10"/>
  <c r="AA78" i="10" s="1"/>
  <c r="AB78" i="10" s="1"/>
  <c r="W64" i="10"/>
  <c r="AA64" i="10" s="1"/>
  <c r="AB64" i="10" s="1"/>
  <c r="W72" i="10"/>
  <c r="AA72" i="10" s="1"/>
  <c r="AB72" i="10" s="1"/>
  <c r="W80" i="10"/>
  <c r="AA80" i="10" s="1"/>
  <c r="AB80" i="10" s="1"/>
  <c r="W71" i="10"/>
  <c r="AA71" i="10" s="1"/>
  <c r="AB71" i="10" s="1"/>
  <c r="W79" i="10"/>
  <c r="AA79" i="10" s="1"/>
  <c r="AB79" i="10" s="1"/>
  <c r="W61" i="10"/>
  <c r="AA61" i="10" s="1"/>
  <c r="AB61" i="10" s="1"/>
  <c r="W69" i="10"/>
  <c r="AA69" i="10" s="1"/>
  <c r="AB69" i="10" s="1"/>
  <c r="W77" i="10"/>
  <c r="AA77" i="10" s="1"/>
  <c r="AB77" i="10" s="1"/>
  <c r="W66" i="10"/>
  <c r="AA66" i="10" s="1"/>
  <c r="AB66" i="10" s="1"/>
  <c r="W74" i="10"/>
  <c r="AA74" i="10" s="1"/>
  <c r="AB74" i="10" s="1"/>
  <c r="W60" i="10"/>
  <c r="AA60" i="10" s="1"/>
  <c r="AB60" i="10" s="1"/>
  <c r="W68" i="10"/>
  <c r="AA68" i="10" s="1"/>
  <c r="AB68" i="10" s="1"/>
  <c r="W76" i="10"/>
  <c r="AA76" i="10" s="1"/>
  <c r="AB76" i="10" s="1"/>
  <c r="W62" i="10"/>
  <c r="AA62" i="10" s="1"/>
  <c r="AB62" i="10" s="1"/>
  <c r="W70" i="10"/>
  <c r="AA70" i="10" s="1"/>
  <c r="AB70" i="10" s="1"/>
  <c r="W65" i="10"/>
  <c r="AA65" i="10" s="1"/>
  <c r="AB65" i="10" s="1"/>
  <c r="W73" i="10"/>
  <c r="AA73" i="10" s="1"/>
  <c r="AB73" i="10" s="1"/>
  <c r="W46" i="10"/>
  <c r="R49" i="1"/>
  <c r="W54" i="10"/>
  <c r="W33" i="10"/>
  <c r="AA33" i="10" s="1"/>
  <c r="AB33" i="10" s="1"/>
  <c r="W37" i="10"/>
  <c r="W32" i="10"/>
  <c r="AA32" i="10" s="1"/>
  <c r="AB32" i="10" s="1"/>
  <c r="W49" i="10"/>
  <c r="AA49" i="10" s="1"/>
  <c r="AB49" i="10" s="1"/>
  <c r="W36" i="10"/>
  <c r="AA36" i="10" s="1"/>
  <c r="AB36" i="10" s="1"/>
  <c r="W45" i="10"/>
  <c r="W40" i="10"/>
  <c r="W57" i="10"/>
  <c r="W35" i="10"/>
  <c r="W30" i="10"/>
  <c r="AA30" i="10" s="1"/>
  <c r="AB30" i="10" s="1"/>
  <c r="W53" i="10"/>
  <c r="X31" i="10"/>
  <c r="W48" i="10"/>
  <c r="W44" i="10"/>
  <c r="W39" i="10"/>
  <c r="AA39" i="10" s="1"/>
  <c r="AB39" i="10" s="1"/>
  <c r="W56" i="10"/>
  <c r="W42" i="10"/>
  <c r="W34" i="10"/>
  <c r="W52" i="10"/>
  <c r="W47" i="10"/>
  <c r="AA47" i="10" s="1"/>
  <c r="AB47" i="10" s="1"/>
  <c r="W51" i="10"/>
  <c r="W43" i="10"/>
  <c r="W41" i="10"/>
  <c r="W38" i="10"/>
  <c r="W55" i="10"/>
  <c r="W58" i="10"/>
  <c r="AA58" i="10" s="1"/>
  <c r="AB58" i="10" s="1"/>
  <c r="W50" i="10"/>
  <c r="AB10" i="10"/>
  <c r="AA5" i="10"/>
  <c r="F5" i="10"/>
  <c r="F6" i="10" s="1"/>
  <c r="R45" i="1"/>
  <c r="O11" i="1"/>
  <c r="P11" i="1" s="1"/>
  <c r="R42" i="1"/>
  <c r="O8" i="1"/>
  <c r="P8" i="1" s="1"/>
  <c r="O30" i="1"/>
  <c r="P30" i="1" s="1"/>
  <c r="O38" i="1"/>
  <c r="P38" i="1" s="1"/>
  <c r="R48" i="1"/>
  <c r="O35" i="1"/>
  <c r="P35" i="1" s="1"/>
  <c r="R12" i="1"/>
  <c r="R15" i="1"/>
  <c r="O9" i="1"/>
  <c r="P9" i="1" s="1"/>
  <c r="O17" i="1"/>
  <c r="P17" i="1" s="1"/>
  <c r="R21" i="1"/>
  <c r="R27" i="1"/>
  <c r="D40" i="1"/>
  <c r="R9" i="1"/>
  <c r="O14" i="1"/>
  <c r="P14" i="1" s="1"/>
  <c r="D29" i="1"/>
  <c r="D32" i="1"/>
  <c r="R18" i="1"/>
  <c r="R32" i="1"/>
  <c r="D37" i="1"/>
  <c r="O41" i="1"/>
  <c r="P41" i="1" s="1"/>
  <c r="O31" i="1"/>
  <c r="P31" i="1" s="1"/>
  <c r="H8" i="1"/>
  <c r="R24" i="1"/>
  <c r="O47" i="1"/>
  <c r="P47" i="1" s="1"/>
  <c r="R14" i="1"/>
  <c r="R17" i="1"/>
  <c r="O20" i="1"/>
  <c r="P20" i="1" s="1"/>
  <c r="O23" i="1"/>
  <c r="P23" i="1" s="1"/>
  <c r="O26" i="1"/>
  <c r="P26" i="1" s="1"/>
  <c r="R31" i="1"/>
  <c r="O34" i="1"/>
  <c r="P34" i="1" s="1"/>
  <c r="R35" i="1"/>
  <c r="R38" i="1"/>
  <c r="O44" i="1"/>
  <c r="P44" i="1" s="1"/>
  <c r="R8" i="1"/>
  <c r="R11" i="1"/>
  <c r="O13" i="1"/>
  <c r="P13" i="1" s="1"/>
  <c r="O16" i="1"/>
  <c r="P16" i="1" s="1"/>
  <c r="H22" i="1"/>
  <c r="O29" i="1"/>
  <c r="P29" i="1" s="1"/>
  <c r="R30" i="1"/>
  <c r="O37" i="1"/>
  <c r="P37" i="1" s="1"/>
  <c r="O40" i="1"/>
  <c r="P40" i="1" s="1"/>
  <c r="R41" i="1"/>
  <c r="R47" i="1"/>
  <c r="O49" i="1"/>
  <c r="P49" i="1" s="1"/>
  <c r="O10" i="1"/>
  <c r="P10" i="1" s="1"/>
  <c r="O19" i="1"/>
  <c r="P19" i="1" s="1"/>
  <c r="R20" i="1"/>
  <c r="R23" i="1"/>
  <c r="R26" i="1"/>
  <c r="O33" i="1"/>
  <c r="P33" i="1" s="1"/>
  <c r="R34" i="1"/>
  <c r="O43" i="1"/>
  <c r="P43" i="1" s="1"/>
  <c r="R44" i="1"/>
  <c r="O46" i="1"/>
  <c r="P46" i="1" s="1"/>
  <c r="H9" i="1"/>
  <c r="R13" i="1"/>
  <c r="R16" i="1"/>
  <c r="O22" i="1"/>
  <c r="P22" i="1" s="1"/>
  <c r="O25" i="1"/>
  <c r="P25" i="1" s="1"/>
  <c r="O28" i="1"/>
  <c r="P28" i="1" s="1"/>
  <c r="R29" i="1"/>
  <c r="D31" i="1"/>
  <c r="O36" i="1"/>
  <c r="P36" i="1" s="1"/>
  <c r="R37" i="1"/>
  <c r="O39" i="1"/>
  <c r="P39" i="1" s="1"/>
  <c r="R40" i="1"/>
  <c r="E8" i="4"/>
  <c r="R10" i="1"/>
  <c r="O12" i="1"/>
  <c r="P12" i="1" s="1"/>
  <c r="O15" i="1"/>
  <c r="P15" i="1" s="1"/>
  <c r="O18" i="1"/>
  <c r="P18" i="1" s="1"/>
  <c r="R19" i="1"/>
  <c r="O32" i="1"/>
  <c r="P32" i="1" s="1"/>
  <c r="R33" i="1"/>
  <c r="O42" i="1"/>
  <c r="P42" i="1" s="1"/>
  <c r="R43" i="1"/>
  <c r="R46" i="1"/>
  <c r="O48" i="1"/>
  <c r="P48" i="1" s="1"/>
  <c r="O21" i="1"/>
  <c r="P21" i="1" s="1"/>
  <c r="R22" i="1"/>
  <c r="O24" i="1"/>
  <c r="P24" i="1" s="1"/>
  <c r="R25" i="1"/>
  <c r="O27" i="1"/>
  <c r="P27" i="1" s="1"/>
  <c r="R28" i="1"/>
  <c r="R36" i="1"/>
  <c r="R39" i="1"/>
  <c r="O45" i="1"/>
  <c r="P45" i="1" s="1"/>
  <c r="K52" i="1"/>
  <c r="C50" i="1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8" i="4"/>
  <c r="J8" i="4" s="1"/>
  <c r="D28" i="1" l="1"/>
  <c r="J8" i="1"/>
  <c r="D41" i="1"/>
  <c r="H19" i="1"/>
  <c r="J19" i="1" s="1"/>
  <c r="J9" i="1"/>
  <c r="L52" i="1"/>
  <c r="X41" i="10"/>
  <c r="AA41" i="10"/>
  <c r="AB41" i="10" s="1"/>
  <c r="X40" i="10"/>
  <c r="AA40" i="10"/>
  <c r="AB40" i="10" s="1"/>
  <c r="X47" i="10"/>
  <c r="AD47" i="10" s="1"/>
  <c r="X43" i="10"/>
  <c r="AA43" i="10"/>
  <c r="AB43" i="10" s="1"/>
  <c r="X44" i="10"/>
  <c r="AA44" i="10"/>
  <c r="AB44" i="10" s="1"/>
  <c r="X45" i="10"/>
  <c r="AA45" i="10"/>
  <c r="AB45" i="10" s="1"/>
  <c r="X51" i="10"/>
  <c r="AA51" i="10"/>
  <c r="AB51" i="10" s="1"/>
  <c r="X48" i="10"/>
  <c r="AA48" i="10"/>
  <c r="AB48" i="10" s="1"/>
  <c r="X50" i="10"/>
  <c r="AA50" i="10"/>
  <c r="AB50" i="10" s="1"/>
  <c r="X52" i="10"/>
  <c r="AA52" i="10"/>
  <c r="AB52" i="10" s="1"/>
  <c r="X53" i="10"/>
  <c r="AA53" i="10"/>
  <c r="AB53" i="10" s="1"/>
  <c r="X34" i="10"/>
  <c r="AA34" i="10"/>
  <c r="AB34" i="10" s="1"/>
  <c r="X37" i="10"/>
  <c r="AA37" i="10"/>
  <c r="AB37" i="10" s="1"/>
  <c r="X46" i="10"/>
  <c r="AA46" i="10"/>
  <c r="AB46" i="10" s="1"/>
  <c r="X55" i="10"/>
  <c r="AA55" i="10"/>
  <c r="AB55" i="10" s="1"/>
  <c r="AA42" i="10"/>
  <c r="AB42" i="10" s="1"/>
  <c r="X35" i="10"/>
  <c r="AA35" i="10"/>
  <c r="AB35" i="10" s="1"/>
  <c r="X38" i="10"/>
  <c r="AA38" i="10"/>
  <c r="AB38" i="10" s="1"/>
  <c r="X56" i="10"/>
  <c r="AA56" i="10"/>
  <c r="AB56" i="10" s="1"/>
  <c r="X57" i="10"/>
  <c r="AA57" i="10"/>
  <c r="AB57" i="10" s="1"/>
  <c r="X54" i="10"/>
  <c r="AA54" i="10"/>
  <c r="AB54" i="10" s="1"/>
  <c r="X42" i="10"/>
  <c r="X80" i="10"/>
  <c r="X74" i="10"/>
  <c r="X72" i="10"/>
  <c r="X60" i="10"/>
  <c r="X73" i="10"/>
  <c r="X66" i="10"/>
  <c r="X64" i="10"/>
  <c r="X65" i="10"/>
  <c r="X77" i="10"/>
  <c r="X78" i="10"/>
  <c r="X70" i="10"/>
  <c r="X69" i="10"/>
  <c r="X63" i="10"/>
  <c r="X62" i="10"/>
  <c r="X61" i="10"/>
  <c r="X75" i="10"/>
  <c r="X76" i="10"/>
  <c r="X79" i="10"/>
  <c r="X67" i="10"/>
  <c r="X68" i="10"/>
  <c r="X71" i="10"/>
  <c r="X59" i="10"/>
  <c r="X39" i="10"/>
  <c r="AD39" i="10" s="1"/>
  <c r="X30" i="10"/>
  <c r="AD30" i="10" s="1"/>
  <c r="X33" i="10"/>
  <c r="AD33" i="10" s="1"/>
  <c r="X49" i="10"/>
  <c r="AD49" i="10" s="1"/>
  <c r="X32" i="10"/>
  <c r="AD32" i="10" s="1"/>
  <c r="AD31" i="10"/>
  <c r="X58" i="10"/>
  <c r="X36" i="10"/>
  <c r="AD36" i="10" s="1"/>
  <c r="R8" i="4"/>
  <c r="H3" i="4"/>
  <c r="Y26" i="4" s="1"/>
  <c r="F8" i="4"/>
  <c r="G8" i="4" s="1"/>
  <c r="H8" i="4" s="1"/>
  <c r="K8" i="4" s="1"/>
  <c r="D43" i="1"/>
  <c r="D34" i="1"/>
  <c r="D44" i="1"/>
  <c r="D25" i="1" s="1"/>
  <c r="P8" i="4"/>
  <c r="M8" i="4"/>
  <c r="N8" i="4" s="1"/>
  <c r="L8" i="4" s="1"/>
  <c r="S8" i="4"/>
  <c r="P25" i="4"/>
  <c r="M25" i="4"/>
  <c r="N25" i="4" s="1"/>
  <c r="M17" i="4"/>
  <c r="N17" i="4" s="1"/>
  <c r="P17" i="4"/>
  <c r="M9" i="4"/>
  <c r="N9" i="4" s="1"/>
  <c r="P9" i="4"/>
  <c r="R52" i="1"/>
  <c r="O52" i="1"/>
  <c r="P52" i="1" s="1"/>
  <c r="M18" i="4"/>
  <c r="N18" i="4" s="1"/>
  <c r="P18" i="4"/>
  <c r="M24" i="4"/>
  <c r="N24" i="4" s="1"/>
  <c r="P24" i="4"/>
  <c r="P16" i="4"/>
  <c r="M16" i="4"/>
  <c r="N16" i="4" s="1"/>
  <c r="P23" i="4"/>
  <c r="M23" i="4"/>
  <c r="N23" i="4" s="1"/>
  <c r="M15" i="4"/>
  <c r="N15" i="4" s="1"/>
  <c r="P15" i="4"/>
  <c r="P14" i="4"/>
  <c r="M14" i="4"/>
  <c r="N14" i="4" s="1"/>
  <c r="M26" i="4"/>
  <c r="N26" i="4" s="1"/>
  <c r="P26" i="4"/>
  <c r="P10" i="4"/>
  <c r="M10" i="4"/>
  <c r="N10" i="4" s="1"/>
  <c r="P22" i="4"/>
  <c r="M22" i="4"/>
  <c r="N22" i="4" s="1"/>
  <c r="P21" i="4"/>
  <c r="M21" i="4"/>
  <c r="N21" i="4" s="1"/>
  <c r="P13" i="4"/>
  <c r="M13" i="4"/>
  <c r="N13" i="4" s="1"/>
  <c r="M28" i="4"/>
  <c r="N28" i="4" s="1"/>
  <c r="P28" i="4"/>
  <c r="M20" i="4"/>
  <c r="N20" i="4" s="1"/>
  <c r="P20" i="4"/>
  <c r="M12" i="4"/>
  <c r="N12" i="4" s="1"/>
  <c r="P12" i="4"/>
  <c r="M27" i="4"/>
  <c r="N27" i="4" s="1"/>
  <c r="P27" i="4"/>
  <c r="P19" i="4"/>
  <c r="M19" i="4"/>
  <c r="N19" i="4" s="1"/>
  <c r="M11" i="4"/>
  <c r="N11" i="4" s="1"/>
  <c r="P11" i="4"/>
  <c r="AD45" i="10" l="1"/>
  <c r="AD41" i="10"/>
  <c r="AD57" i="10"/>
  <c r="AD34" i="10"/>
  <c r="AD48" i="10"/>
  <c r="AD54" i="10"/>
  <c r="AD35" i="10"/>
  <c r="AD37" i="10"/>
  <c r="AD50" i="10"/>
  <c r="AD44" i="10"/>
  <c r="AD38" i="10"/>
  <c r="AD56" i="10"/>
  <c r="AD55" i="10"/>
  <c r="AD53" i="10"/>
  <c r="AD51" i="10"/>
  <c r="AD46" i="10"/>
  <c r="AD43" i="10"/>
  <c r="AD52" i="10"/>
  <c r="AD40" i="10"/>
  <c r="AD42" i="10"/>
  <c r="AD77" i="10"/>
  <c r="AD75" i="10"/>
  <c r="AD58" i="10"/>
  <c r="AD67" i="10"/>
  <c r="AD61" i="10"/>
  <c r="AD70" i="10"/>
  <c r="AD64" i="10"/>
  <c r="AD59" i="10"/>
  <c r="AD79" i="10"/>
  <c r="AD62" i="10"/>
  <c r="AD78" i="10"/>
  <c r="AD66" i="10"/>
  <c r="AD74" i="10"/>
  <c r="AD71" i="10"/>
  <c r="AD76" i="10"/>
  <c r="AD63" i="10"/>
  <c r="AD80" i="10"/>
  <c r="AD68" i="10"/>
  <c r="AD69" i="10"/>
  <c r="AD65" i="10"/>
  <c r="AD60" i="10"/>
  <c r="AD72" i="10"/>
  <c r="AD73" i="10"/>
  <c r="Y16" i="4"/>
  <c r="C9" i="4"/>
  <c r="D9" i="4" s="1"/>
  <c r="S9" i="4" s="1"/>
  <c r="C22" i="4"/>
  <c r="D22" i="4" s="1"/>
  <c r="S22" i="4" s="1"/>
  <c r="C18" i="4"/>
  <c r="D18" i="4" s="1"/>
  <c r="R18" i="4" s="1"/>
  <c r="C27" i="4"/>
  <c r="D27" i="4" s="1"/>
  <c r="R27" i="4" s="1"/>
  <c r="C20" i="4"/>
  <c r="D20" i="4" s="1"/>
  <c r="F20" i="4" s="1"/>
  <c r="G20" i="4" s="1"/>
  <c r="H20" i="4" s="1"/>
  <c r="Y14" i="4"/>
  <c r="Y23" i="4"/>
  <c r="C24" i="4"/>
  <c r="D24" i="4" s="1"/>
  <c r="F24" i="4" s="1"/>
  <c r="G24" i="4" s="1"/>
  <c r="H24" i="4" s="1"/>
  <c r="C10" i="4"/>
  <c r="D10" i="4" s="1"/>
  <c r="F10" i="4" s="1"/>
  <c r="G10" i="4" s="1"/>
  <c r="H10" i="4" s="1"/>
  <c r="C19" i="4"/>
  <c r="D19" i="4" s="1"/>
  <c r="R19" i="4" s="1"/>
  <c r="Y17" i="4"/>
  <c r="Y12" i="4"/>
  <c r="C28" i="4"/>
  <c r="D28" i="4" s="1"/>
  <c r="R28" i="4" s="1"/>
  <c r="C13" i="4"/>
  <c r="D13" i="4" s="1"/>
  <c r="E13" i="4" s="1"/>
  <c r="L13" i="4" s="1"/>
  <c r="C15" i="4"/>
  <c r="D15" i="4" s="1"/>
  <c r="F15" i="4" s="1"/>
  <c r="G15" i="4" s="1"/>
  <c r="H15" i="4" s="1"/>
  <c r="Y25" i="4"/>
  <c r="Y11" i="4"/>
  <c r="Y20" i="4"/>
  <c r="C21" i="4"/>
  <c r="D21" i="4" s="1"/>
  <c r="C23" i="4"/>
  <c r="D23" i="4" s="1"/>
  <c r="F23" i="4" s="1"/>
  <c r="G23" i="4" s="1"/>
  <c r="H23" i="4" s="1"/>
  <c r="Y10" i="4"/>
  <c r="Y19" i="4"/>
  <c r="Y28" i="4"/>
  <c r="Y13" i="4"/>
  <c r="Y22" i="4"/>
  <c r="Y24" i="4"/>
  <c r="C17" i="4"/>
  <c r="D17" i="4" s="1"/>
  <c r="R17" i="4" s="1"/>
  <c r="C26" i="4"/>
  <c r="D26" i="4" s="1"/>
  <c r="R26" i="4" s="1"/>
  <c r="Y21" i="4"/>
  <c r="C14" i="4"/>
  <c r="D14" i="4" s="1"/>
  <c r="F14" i="4" s="1"/>
  <c r="G14" i="4" s="1"/>
  <c r="H14" i="4" s="1"/>
  <c r="Y9" i="4"/>
  <c r="Y18" i="4"/>
  <c r="Y27" i="4"/>
  <c r="C12" i="4"/>
  <c r="D12" i="4" s="1"/>
  <c r="F12" i="4" s="1"/>
  <c r="G12" i="4" s="1"/>
  <c r="H12" i="4" s="1"/>
  <c r="Y15" i="4"/>
  <c r="C16" i="4"/>
  <c r="D16" i="4" s="1"/>
  <c r="R16" i="4" s="1"/>
  <c r="C25" i="4"/>
  <c r="D25" i="4" s="1"/>
  <c r="E25" i="4" s="1"/>
  <c r="C11" i="4"/>
  <c r="D11" i="4" s="1"/>
  <c r="R11" i="4" s="1"/>
  <c r="S52" i="1"/>
  <c r="S46" i="1"/>
  <c r="S43" i="1"/>
  <c r="S33" i="1"/>
  <c r="S19" i="1"/>
  <c r="S10" i="1"/>
  <c r="S49" i="1"/>
  <c r="S40" i="1"/>
  <c r="S37" i="1"/>
  <c r="S29" i="1"/>
  <c r="S16" i="1"/>
  <c r="S13" i="1"/>
  <c r="S42" i="1"/>
  <c r="S44" i="1"/>
  <c r="S34" i="1"/>
  <c r="S26" i="1"/>
  <c r="S23" i="1"/>
  <c r="S20" i="1"/>
  <c r="S8" i="1"/>
  <c r="S18" i="1"/>
  <c r="S12" i="1"/>
  <c r="S36" i="1"/>
  <c r="S22" i="1"/>
  <c r="S47" i="1"/>
  <c r="S41" i="1"/>
  <c r="S30" i="1"/>
  <c r="S11" i="1"/>
  <c r="S25" i="1"/>
  <c r="S38" i="1"/>
  <c r="S35" i="1"/>
  <c r="S31" i="1"/>
  <c r="S17" i="1"/>
  <c r="S14" i="1"/>
  <c r="S32" i="1"/>
  <c r="S45" i="1"/>
  <c r="S27" i="1"/>
  <c r="S24" i="1"/>
  <c r="S21" i="1"/>
  <c r="S9" i="1"/>
  <c r="S48" i="1"/>
  <c r="S15" i="1"/>
  <c r="S39" i="1"/>
  <c r="S28" i="1"/>
  <c r="Q23" i="4"/>
  <c r="Q12" i="4"/>
  <c r="Q28" i="4"/>
  <c r="Q22" i="4"/>
  <c r="Q26" i="4"/>
  <c r="Q24" i="4"/>
  <c r="Q19" i="4"/>
  <c r="Q21" i="4"/>
  <c r="Q8" i="4"/>
  <c r="O8" i="4" s="1"/>
  <c r="U8" i="4" s="1"/>
  <c r="Q15" i="4"/>
  <c r="Q9" i="4"/>
  <c r="Q25" i="4"/>
  <c r="Q11" i="4"/>
  <c r="Q27" i="4"/>
  <c r="Q20" i="4"/>
  <c r="Q18" i="4"/>
  <c r="Q13" i="4"/>
  <c r="Q10" i="4"/>
  <c r="Q14" i="4"/>
  <c r="Q16" i="4"/>
  <c r="Q17" i="4"/>
  <c r="AF30" i="10" l="1"/>
  <c r="AF31" i="10" s="1"/>
  <c r="F9" i="4"/>
  <c r="G9" i="4" s="1"/>
  <c r="H9" i="4" s="1"/>
  <c r="E9" i="4"/>
  <c r="R9" i="4"/>
  <c r="E17" i="4"/>
  <c r="L17" i="4" s="1"/>
  <c r="C5" i="8"/>
  <c r="H28" i="1" s="1"/>
  <c r="E19" i="4"/>
  <c r="L19" i="4" s="1"/>
  <c r="F19" i="4"/>
  <c r="G19" i="4" s="1"/>
  <c r="H19" i="4" s="1"/>
  <c r="E22" i="4"/>
  <c r="L22" i="4" s="1"/>
  <c r="R22" i="4"/>
  <c r="T22" i="4" s="1"/>
  <c r="F22" i="4"/>
  <c r="G22" i="4" s="1"/>
  <c r="H22" i="4" s="1"/>
  <c r="F17" i="4"/>
  <c r="G17" i="4" s="1"/>
  <c r="H17" i="4" s="1"/>
  <c r="E27" i="4"/>
  <c r="L27" i="4" s="1"/>
  <c r="E18" i="4"/>
  <c r="F18" i="4"/>
  <c r="G18" i="4" s="1"/>
  <c r="H18" i="4" s="1"/>
  <c r="F27" i="4"/>
  <c r="G27" i="4" s="1"/>
  <c r="H27" i="4" s="1"/>
  <c r="S18" i="4"/>
  <c r="T18" i="4" s="1"/>
  <c r="S16" i="4"/>
  <c r="T16" i="4" s="1"/>
  <c r="F13" i="4"/>
  <c r="G13" i="4" s="1"/>
  <c r="H13" i="4" s="1"/>
  <c r="K13" i="4" s="1"/>
  <c r="R13" i="4"/>
  <c r="E16" i="4"/>
  <c r="L16" i="4" s="1"/>
  <c r="F16" i="4"/>
  <c r="G16" i="4" s="1"/>
  <c r="H16" i="4" s="1"/>
  <c r="S13" i="4"/>
  <c r="R12" i="4"/>
  <c r="E26" i="4"/>
  <c r="L26" i="4" s="1"/>
  <c r="E15" i="4"/>
  <c r="L15" i="4" s="1"/>
  <c r="R15" i="4"/>
  <c r="E14" i="4"/>
  <c r="L14" i="4" s="1"/>
  <c r="R14" i="4"/>
  <c r="E20" i="4"/>
  <c r="K20" i="4" s="1"/>
  <c r="R20" i="4"/>
  <c r="E28" i="4"/>
  <c r="L28" i="4" s="1"/>
  <c r="F28" i="4"/>
  <c r="G28" i="4" s="1"/>
  <c r="H28" i="4" s="1"/>
  <c r="S11" i="4"/>
  <c r="T11" i="4" s="1"/>
  <c r="E24" i="4"/>
  <c r="L24" i="4" s="1"/>
  <c r="E11" i="4"/>
  <c r="L11" i="4" s="1"/>
  <c r="R24" i="4"/>
  <c r="F11" i="4"/>
  <c r="G11" i="4" s="1"/>
  <c r="H11" i="4" s="1"/>
  <c r="O24" i="4"/>
  <c r="S19" i="4"/>
  <c r="T19" i="4" s="1"/>
  <c r="R10" i="4"/>
  <c r="F25" i="4"/>
  <c r="G25" i="4" s="1"/>
  <c r="H25" i="4" s="1"/>
  <c r="K25" i="4" s="1"/>
  <c r="S25" i="4"/>
  <c r="S10" i="4"/>
  <c r="E10" i="4"/>
  <c r="L10" i="4" s="1"/>
  <c r="S28" i="4"/>
  <c r="T28" i="4" s="1"/>
  <c r="R25" i="4"/>
  <c r="S24" i="4"/>
  <c r="S20" i="4"/>
  <c r="O20" i="4"/>
  <c r="E12" i="4"/>
  <c r="L12" i="4" s="1"/>
  <c r="S27" i="4"/>
  <c r="T27" i="4" s="1"/>
  <c r="S17" i="4"/>
  <c r="T17" i="4" s="1"/>
  <c r="F26" i="4"/>
  <c r="G26" i="4" s="1"/>
  <c r="H26" i="4" s="1"/>
  <c r="S23" i="4"/>
  <c r="E23" i="4"/>
  <c r="L23" i="4" s="1"/>
  <c r="S14" i="4"/>
  <c r="S15" i="4"/>
  <c r="R23" i="4"/>
  <c r="T9" i="4"/>
  <c r="S12" i="4"/>
  <c r="S26" i="4"/>
  <c r="T26" i="4" s="1"/>
  <c r="O15" i="4"/>
  <c r="O9" i="4"/>
  <c r="O10" i="4"/>
  <c r="O12" i="4"/>
  <c r="O14" i="4"/>
  <c r="O23" i="4"/>
  <c r="L25" i="4"/>
  <c r="R21" i="4"/>
  <c r="F21" i="4"/>
  <c r="G21" i="4" s="1"/>
  <c r="H21" i="4" s="1"/>
  <c r="E21" i="4"/>
  <c r="S21" i="4"/>
  <c r="W8" i="4"/>
  <c r="V8" i="4"/>
  <c r="K9" i="4" l="1"/>
  <c r="L9" i="4"/>
  <c r="K18" i="4"/>
  <c r="L18" i="4"/>
  <c r="K17" i="4"/>
  <c r="K19" i="4"/>
  <c r="H29" i="1"/>
  <c r="O19" i="4"/>
  <c r="K22" i="4"/>
  <c r="O17" i="4"/>
  <c r="K27" i="4"/>
  <c r="O22" i="4"/>
  <c r="O27" i="4"/>
  <c r="O18" i="4"/>
  <c r="K15" i="4"/>
  <c r="U15" i="4" s="1"/>
  <c r="V15" i="4" s="1"/>
  <c r="T24" i="4"/>
  <c r="O16" i="4"/>
  <c r="T13" i="4"/>
  <c r="K16" i="4"/>
  <c r="K14" i="4"/>
  <c r="U14" i="4" s="1"/>
  <c r="V14" i="4" s="1"/>
  <c r="O13" i="4"/>
  <c r="U13" i="4" s="1"/>
  <c r="T12" i="4"/>
  <c r="K28" i="4"/>
  <c r="K11" i="4"/>
  <c r="K26" i="4"/>
  <c r="T20" i="4"/>
  <c r="L20" i="4"/>
  <c r="U20" i="4" s="1"/>
  <c r="T15" i="4"/>
  <c r="T14" i="4"/>
  <c r="O28" i="4"/>
  <c r="K24" i="4"/>
  <c r="U24" i="4" s="1"/>
  <c r="T10" i="4"/>
  <c r="K12" i="4"/>
  <c r="U12" i="4" s="1"/>
  <c r="O11" i="4"/>
  <c r="T25" i="4"/>
  <c r="K23" i="4"/>
  <c r="U23" i="4" s="1"/>
  <c r="K10" i="4"/>
  <c r="U10" i="4" s="1"/>
  <c r="V10" i="4" s="1"/>
  <c r="O25" i="4"/>
  <c r="U25" i="4" s="1"/>
  <c r="T23" i="4"/>
  <c r="O26" i="4"/>
  <c r="U9" i="4"/>
  <c r="W9" i="4" s="1"/>
  <c r="X9" i="4" s="1"/>
  <c r="T21" i="4"/>
  <c r="K21" i="4"/>
  <c r="L21" i="4"/>
  <c r="I23" i="1"/>
  <c r="O21" i="4"/>
  <c r="X8" i="4"/>
  <c r="U17" i="4" l="1"/>
  <c r="W17" i="4" s="1"/>
  <c r="X17" i="4" s="1"/>
  <c r="U18" i="4"/>
  <c r="W18" i="4" s="1"/>
  <c r="X18" i="4" s="1"/>
  <c r="U19" i="4"/>
  <c r="V19" i="4" s="1"/>
  <c r="H30" i="1"/>
  <c r="T39" i="1" s="1"/>
  <c r="U22" i="4"/>
  <c r="W22" i="4" s="1"/>
  <c r="X22" i="4" s="1"/>
  <c r="W20" i="4"/>
  <c r="X20" i="4" s="1"/>
  <c r="U27" i="4"/>
  <c r="W27" i="4" s="1"/>
  <c r="X27" i="4" s="1"/>
  <c r="W24" i="4"/>
  <c r="X24" i="4" s="1"/>
  <c r="U16" i="4"/>
  <c r="V16" i="4" s="1"/>
  <c r="W12" i="4"/>
  <c r="X12" i="4" s="1"/>
  <c r="W13" i="4"/>
  <c r="X13" i="4" s="1"/>
  <c r="U28" i="4"/>
  <c r="W28" i="4" s="1"/>
  <c r="X28" i="4" s="1"/>
  <c r="U26" i="4"/>
  <c r="W26" i="4" s="1"/>
  <c r="X26" i="4" s="1"/>
  <c r="U11" i="4"/>
  <c r="V11" i="4" s="1"/>
  <c r="V24" i="4"/>
  <c r="W25" i="4"/>
  <c r="X25" i="4" s="1"/>
  <c r="V13" i="4"/>
  <c r="W23" i="4"/>
  <c r="X23" i="4" s="1"/>
  <c r="W14" i="4"/>
  <c r="X14" i="4" s="1"/>
  <c r="V25" i="4"/>
  <c r="V9" i="4"/>
  <c r="W10" i="4"/>
  <c r="X10" i="4" s="1"/>
  <c r="W15" i="4"/>
  <c r="X15" i="4" s="1"/>
  <c r="V12" i="4"/>
  <c r="V23" i="4"/>
  <c r="V20" i="4"/>
  <c r="H21" i="1"/>
  <c r="U21" i="4"/>
  <c r="T27" i="1" l="1"/>
  <c r="T40" i="1"/>
  <c r="V18" i="4"/>
  <c r="V17" i="4"/>
  <c r="T45" i="1"/>
  <c r="T52" i="1"/>
  <c r="T28" i="1"/>
  <c r="T43" i="1"/>
  <c r="T18" i="1"/>
  <c r="D27" i="1"/>
  <c r="D26" i="1" s="1"/>
  <c r="Q19" i="1" s="1"/>
  <c r="T29" i="1"/>
  <c r="T15" i="1"/>
  <c r="T42" i="1"/>
  <c r="T31" i="1"/>
  <c r="T48" i="1"/>
  <c r="T26" i="1"/>
  <c r="T49" i="1"/>
  <c r="T16" i="1"/>
  <c r="T36" i="1"/>
  <c r="T14" i="1"/>
  <c r="T46" i="1"/>
  <c r="T22" i="1"/>
  <c r="T47" i="1"/>
  <c r="H24" i="1"/>
  <c r="I24" i="1"/>
  <c r="D42" i="1"/>
  <c r="T19" i="1"/>
  <c r="T23" i="1"/>
  <c r="T41" i="1"/>
  <c r="T38" i="1"/>
  <c r="T33" i="1"/>
  <c r="T44" i="1"/>
  <c r="T34" i="1"/>
  <c r="T21" i="1"/>
  <c r="T12" i="1"/>
  <c r="T17" i="1"/>
  <c r="T11" i="1"/>
  <c r="T9" i="1"/>
  <c r="T10" i="1"/>
  <c r="T13" i="1"/>
  <c r="T32" i="1"/>
  <c r="T8" i="1"/>
  <c r="T37" i="1"/>
  <c r="T25" i="1"/>
  <c r="T20" i="1"/>
  <c r="V22" i="4"/>
  <c r="T24" i="1"/>
  <c r="T35" i="1"/>
  <c r="W19" i="4"/>
  <c r="X19" i="4" s="1"/>
  <c r="T30" i="1"/>
  <c r="V27" i="4"/>
  <c r="W16" i="4"/>
  <c r="X16" i="4" s="1"/>
  <c r="V28" i="4"/>
  <c r="V26" i="4"/>
  <c r="W11" i="4"/>
  <c r="X11" i="4" s="1"/>
  <c r="W21" i="4"/>
  <c r="V21" i="4"/>
  <c r="N28" i="1"/>
  <c r="N31" i="1"/>
  <c r="N33" i="1"/>
  <c r="N15" i="1"/>
  <c r="N16" i="1"/>
  <c r="N18" i="1"/>
  <c r="N20" i="1"/>
  <c r="N47" i="1"/>
  <c r="N13" i="1"/>
  <c r="N29" i="1"/>
  <c r="N42" i="1"/>
  <c r="N8" i="1"/>
  <c r="N30" i="1"/>
  <c r="N24" i="1"/>
  <c r="N14" i="1"/>
  <c r="N12" i="1"/>
  <c r="N11" i="1"/>
  <c r="N49" i="1"/>
  <c r="N48" i="1"/>
  <c r="N45" i="1"/>
  <c r="N10" i="1"/>
  <c r="N9" i="1"/>
  <c r="N36" i="1"/>
  <c r="N41" i="1"/>
  <c r="N52" i="1"/>
  <c r="N43" i="1"/>
  <c r="N44" i="1"/>
  <c r="N32" i="1"/>
  <c r="N46" i="1"/>
  <c r="N23" i="1"/>
  <c r="N17" i="1"/>
  <c r="N27" i="1"/>
  <c r="N21" i="1"/>
  <c r="N37" i="1"/>
  <c r="N26" i="1"/>
  <c r="N19" i="1"/>
  <c r="N40" i="1"/>
  <c r="N35" i="1"/>
  <c r="N38" i="1"/>
  <c r="N25" i="1"/>
  <c r="N22" i="1"/>
  <c r="N34" i="1"/>
  <c r="N39" i="1"/>
  <c r="Q26" i="1" l="1"/>
  <c r="U21" i="1"/>
  <c r="U30" i="1"/>
  <c r="U8" i="1"/>
  <c r="Q29" i="1"/>
  <c r="Q8" i="1"/>
  <c r="Q33" i="1"/>
  <c r="Q41" i="1"/>
  <c r="Q48" i="1"/>
  <c r="Q27" i="1"/>
  <c r="Q45" i="1"/>
  <c r="Q35" i="1"/>
  <c r="Q34" i="1"/>
  <c r="Q32" i="1"/>
  <c r="D36" i="1"/>
  <c r="M37" i="1" s="1"/>
  <c r="Q22" i="1"/>
  <c r="Q30" i="1"/>
  <c r="Q12" i="1"/>
  <c r="Q14" i="1"/>
  <c r="Q44" i="1"/>
  <c r="Q10" i="1"/>
  <c r="Q43" i="1"/>
  <c r="Q20" i="1"/>
  <c r="Q17" i="1"/>
  <c r="Q52" i="1"/>
  <c r="Q28" i="1"/>
  <c r="Q49" i="1"/>
  <c r="Q31" i="1"/>
  <c r="Q11" i="1"/>
  <c r="Q21" i="1"/>
  <c r="Q9" i="1"/>
  <c r="Q36" i="1"/>
  <c r="Q13" i="1"/>
  <c r="Q42" i="1"/>
  <c r="Q40" i="1"/>
  <c r="Q23" i="1"/>
  <c r="Q15" i="1"/>
  <c r="Q18" i="1"/>
  <c r="Q37" i="1"/>
  <c r="Q16" i="1"/>
  <c r="Q47" i="1"/>
  <c r="Q39" i="1"/>
  <c r="Q38" i="1"/>
  <c r="Q25" i="1"/>
  <c r="Q24" i="1"/>
  <c r="Q46" i="1"/>
  <c r="U47" i="1"/>
  <c r="U46" i="1"/>
  <c r="U37" i="1"/>
  <c r="U12" i="1"/>
  <c r="U45" i="1"/>
  <c r="U19" i="1"/>
  <c r="U28" i="1"/>
  <c r="U15" i="1"/>
  <c r="U25" i="1"/>
  <c r="U17" i="1"/>
  <c r="U23" i="1"/>
  <c r="U49" i="1"/>
  <c r="U40" i="1"/>
  <c r="U39" i="1"/>
  <c r="U44" i="1"/>
  <c r="U26" i="1"/>
  <c r="U52" i="1"/>
  <c r="U27" i="1"/>
  <c r="U34" i="1"/>
  <c r="U48" i="1"/>
  <c r="U20" i="1"/>
  <c r="U42" i="1"/>
  <c r="U24" i="1"/>
  <c r="U10" i="1"/>
  <c r="U43" i="1"/>
  <c r="U36" i="1"/>
  <c r="U11" i="1"/>
  <c r="U41" i="1"/>
  <c r="U14" i="1"/>
  <c r="U18" i="1"/>
  <c r="U31" i="1"/>
  <c r="U29" i="1"/>
  <c r="U35" i="1"/>
  <c r="U16" i="1"/>
  <c r="U22" i="1"/>
  <c r="U9" i="1"/>
  <c r="U38" i="1"/>
  <c r="U13" i="1"/>
  <c r="U33" i="1"/>
  <c r="U32" i="1"/>
  <c r="M18" i="1"/>
  <c r="X21" i="4"/>
  <c r="Y30" i="4"/>
  <c r="Z30" i="4" s="1"/>
  <c r="E14" i="10" s="1"/>
  <c r="G14" i="10" s="1"/>
  <c r="M24" i="1" l="1"/>
  <c r="V24" i="1" s="1"/>
  <c r="W24" i="1" s="1"/>
  <c r="M8" i="1"/>
  <c r="V8" i="1" s="1"/>
  <c r="X8" i="1" s="1"/>
  <c r="Y8" i="1" s="1"/>
  <c r="M13" i="1"/>
  <c r="M12" i="1"/>
  <c r="V12" i="1" s="1"/>
  <c r="W12" i="1" s="1"/>
  <c r="M33" i="1"/>
  <c r="V33" i="1" s="1"/>
  <c r="X33" i="1" s="1"/>
  <c r="Y33" i="1" s="1"/>
  <c r="V37" i="1"/>
  <c r="W37" i="1" s="1"/>
  <c r="M20" i="1"/>
  <c r="V20" i="1" s="1"/>
  <c r="X20" i="1" s="1"/>
  <c r="Y20" i="1" s="1"/>
  <c r="M9" i="1"/>
  <c r="V9" i="1" s="1"/>
  <c r="M49" i="1"/>
  <c r="V49" i="1" s="1"/>
  <c r="X49" i="1" s="1"/>
  <c r="Y49" i="1" s="1"/>
  <c r="M28" i="1"/>
  <c r="V28" i="1" s="1"/>
  <c r="X28" i="1" s="1"/>
  <c r="Y28" i="1" s="1"/>
  <c r="M39" i="1"/>
  <c r="V39" i="1" s="1"/>
  <c r="X39" i="1" s="1"/>
  <c r="Y39" i="1" s="1"/>
  <c r="M11" i="1"/>
  <c r="V11" i="1" s="1"/>
  <c r="W11" i="1" s="1"/>
  <c r="M45" i="1"/>
  <c r="V45" i="1" s="1"/>
  <c r="X45" i="1" s="1"/>
  <c r="Y45" i="1" s="1"/>
  <c r="M41" i="1"/>
  <c r="V41" i="1" s="1"/>
  <c r="W41" i="1" s="1"/>
  <c r="M43" i="1"/>
  <c r="V43" i="1" s="1"/>
  <c r="W43" i="1" s="1"/>
  <c r="M52" i="1"/>
  <c r="V52" i="1" s="1"/>
  <c r="W52" i="1" s="1"/>
  <c r="M40" i="1"/>
  <c r="V40" i="1" s="1"/>
  <c r="W40" i="1" s="1"/>
  <c r="M31" i="1"/>
  <c r="V31" i="1" s="1"/>
  <c r="W31" i="1" s="1"/>
  <c r="M30" i="1"/>
  <c r="V30" i="1" s="1"/>
  <c r="W30" i="1" s="1"/>
  <c r="M36" i="1"/>
  <c r="V36" i="1" s="1"/>
  <c r="X36" i="1" s="1"/>
  <c r="Y36" i="1" s="1"/>
  <c r="M27" i="1"/>
  <c r="V27" i="1" s="1"/>
  <c r="W27" i="1" s="1"/>
  <c r="M17" i="1"/>
  <c r="V17" i="1" s="1"/>
  <c r="W17" i="1" s="1"/>
  <c r="M26" i="1"/>
  <c r="V26" i="1" s="1"/>
  <c r="X26" i="1" s="1"/>
  <c r="Y26" i="1" s="1"/>
  <c r="M14" i="1"/>
  <c r="V14" i="1" s="1"/>
  <c r="W14" i="1" s="1"/>
  <c r="M48" i="1"/>
  <c r="V48" i="1" s="1"/>
  <c r="W48" i="1" s="1"/>
  <c r="M21" i="1"/>
  <c r="V21" i="1" s="1"/>
  <c r="X21" i="1" s="1"/>
  <c r="Y21" i="1" s="1"/>
  <c r="M47" i="1"/>
  <c r="V47" i="1" s="1"/>
  <c r="W47" i="1" s="1"/>
  <c r="M23" i="1"/>
  <c r="V23" i="1" s="1"/>
  <c r="W23" i="1" s="1"/>
  <c r="M34" i="1"/>
  <c r="V34" i="1" s="1"/>
  <c r="W34" i="1" s="1"/>
  <c r="M10" i="1"/>
  <c r="V10" i="1" s="1"/>
  <c r="W10" i="1" s="1"/>
  <c r="M25" i="1"/>
  <c r="V25" i="1" s="1"/>
  <c r="W25" i="1" s="1"/>
  <c r="M42" i="1"/>
  <c r="V42" i="1" s="1"/>
  <c r="W42" i="1" s="1"/>
  <c r="M35" i="1"/>
  <c r="V35" i="1" s="1"/>
  <c r="W35" i="1" s="1"/>
  <c r="M15" i="1"/>
  <c r="V15" i="1" s="1"/>
  <c r="W15" i="1" s="1"/>
  <c r="M38" i="1"/>
  <c r="V38" i="1" s="1"/>
  <c r="M44" i="1"/>
  <c r="V44" i="1" s="1"/>
  <c r="W44" i="1" s="1"/>
  <c r="M22" i="1"/>
  <c r="V22" i="1" s="1"/>
  <c r="W22" i="1" s="1"/>
  <c r="M32" i="1"/>
  <c r="V32" i="1" s="1"/>
  <c r="X32" i="1" s="1"/>
  <c r="Y32" i="1" s="1"/>
  <c r="M16" i="1"/>
  <c r="V16" i="1" s="1"/>
  <c r="W16" i="1" s="1"/>
  <c r="M46" i="1"/>
  <c r="V46" i="1" s="1"/>
  <c r="X46" i="1" s="1"/>
  <c r="Y46" i="1" s="1"/>
  <c r="M29" i="1"/>
  <c r="V29" i="1" s="1"/>
  <c r="W29" i="1" s="1"/>
  <c r="M19" i="1"/>
  <c r="V19" i="1" s="1"/>
  <c r="W19" i="1" s="1"/>
  <c r="V13" i="1"/>
  <c r="W13" i="1" s="1"/>
  <c r="V18" i="1"/>
  <c r="W18" i="1" s="1"/>
  <c r="W8" i="1"/>
  <c r="D33" i="9"/>
  <c r="D42" i="9"/>
  <c r="T30" i="9"/>
  <c r="T8" i="9"/>
  <c r="T38" i="9"/>
  <c r="T44" i="9"/>
  <c r="T36" i="9"/>
  <c r="T13" i="9"/>
  <c r="T49" i="9"/>
  <c r="T45" i="9"/>
  <c r="T12" i="9"/>
  <c r="T29" i="9"/>
  <c r="T48" i="9"/>
  <c r="T42" i="9"/>
  <c r="T18" i="9"/>
  <c r="T46" i="9"/>
  <c r="T31" i="9"/>
  <c r="T35" i="9"/>
  <c r="T37" i="9"/>
  <c r="T47" i="9"/>
  <c r="T24" i="9"/>
  <c r="T11" i="9"/>
  <c r="T41" i="9"/>
  <c r="T10" i="9"/>
  <c r="T19" i="9"/>
  <c r="T33" i="9"/>
  <c r="T27" i="9"/>
  <c r="T22" i="9"/>
  <c r="T20" i="9"/>
  <c r="T43" i="9"/>
  <c r="T25" i="9"/>
  <c r="T39" i="9"/>
  <c r="T26" i="9"/>
  <c r="T28" i="9"/>
  <c r="T15" i="9"/>
  <c r="T34" i="9"/>
  <c r="T17" i="9"/>
  <c r="T14" i="9"/>
  <c r="T9" i="9"/>
  <c r="T23" i="9"/>
  <c r="T16" i="9"/>
  <c r="T21" i="9"/>
  <c r="T40" i="9"/>
  <c r="T32" i="9"/>
  <c r="D27" i="9"/>
  <c r="D26" i="9" s="1"/>
  <c r="D29" i="9"/>
  <c r="K51" i="9"/>
  <c r="L51" i="9" s="1"/>
  <c r="T51" i="9" s="1"/>
  <c r="D35" i="9"/>
  <c r="X30" i="1" l="1"/>
  <c r="Y30" i="1" s="1"/>
  <c r="X12" i="1"/>
  <c r="Y12" i="1" s="1"/>
  <c r="W33" i="1"/>
  <c r="X10" i="1"/>
  <c r="Y10" i="1" s="1"/>
  <c r="X17" i="1"/>
  <c r="Y17" i="1" s="1"/>
  <c r="X37" i="1"/>
  <c r="Y37" i="1" s="1"/>
  <c r="X41" i="1"/>
  <c r="Y41" i="1" s="1"/>
  <c r="W26" i="1"/>
  <c r="W20" i="1"/>
  <c r="W32" i="1"/>
  <c r="X16" i="1"/>
  <c r="Y16" i="1" s="1"/>
  <c r="X43" i="1"/>
  <c r="Y43" i="1" s="1"/>
  <c r="W28" i="1"/>
  <c r="W9" i="1"/>
  <c r="X9" i="1"/>
  <c r="Y9" i="1" s="1"/>
  <c r="X48" i="1"/>
  <c r="Y48" i="1" s="1"/>
  <c r="W21" i="1"/>
  <c r="X52" i="1"/>
  <c r="Y52" i="1" s="1"/>
  <c r="X35" i="1"/>
  <c r="Y35" i="1" s="1"/>
  <c r="W49" i="1"/>
  <c r="X19" i="1"/>
  <c r="Y19" i="1" s="1"/>
  <c r="X44" i="1"/>
  <c r="Y44" i="1" s="1"/>
  <c r="W38" i="1"/>
  <c r="X38" i="1"/>
  <c r="Y38" i="1" s="1"/>
  <c r="X22" i="1"/>
  <c r="Y22" i="1" s="1"/>
  <c r="X29" i="1"/>
  <c r="Y29" i="1" s="1"/>
  <c r="W45" i="1"/>
  <c r="X31" i="1"/>
  <c r="Y31" i="1" s="1"/>
  <c r="X34" i="1"/>
  <c r="Y34" i="1" s="1"/>
  <c r="W36" i="1"/>
  <c r="X27" i="1"/>
  <c r="Y27" i="1" s="1"/>
  <c r="X14" i="1"/>
  <c r="Y14" i="1" s="1"/>
  <c r="X11" i="1"/>
  <c r="Y11" i="1" s="1"/>
  <c r="X42" i="1"/>
  <c r="Y42" i="1" s="1"/>
  <c r="X47" i="1"/>
  <c r="Y47" i="1" s="1"/>
  <c r="X23" i="1"/>
  <c r="Y23" i="1" s="1"/>
  <c r="X13" i="1"/>
  <c r="Y13" i="1" s="1"/>
  <c r="X25" i="1"/>
  <c r="Y25" i="1" s="1"/>
  <c r="X15" i="1"/>
  <c r="Y15" i="1" s="1"/>
  <c r="X40" i="1"/>
  <c r="Y40" i="1" s="1"/>
  <c r="X24" i="1"/>
  <c r="Y24" i="1" s="1"/>
  <c r="X18" i="1"/>
  <c r="Y18" i="1" s="1"/>
  <c r="W46" i="1"/>
  <c r="W39" i="1"/>
  <c r="U31" i="9"/>
  <c r="U39" i="9"/>
  <c r="U51" i="9"/>
  <c r="U9" i="9"/>
  <c r="U40" i="9"/>
  <c r="U38" i="9"/>
  <c r="U32" i="9"/>
  <c r="U34" i="9"/>
  <c r="U25" i="9"/>
  <c r="U33" i="9"/>
  <c r="U37" i="9"/>
  <c r="U8" i="9"/>
  <c r="U26" i="9"/>
  <c r="U46" i="9"/>
  <c r="U23" i="9"/>
  <c r="U19" i="9"/>
  <c r="U24" i="9"/>
  <c r="U18" i="9"/>
  <c r="U48" i="9"/>
  <c r="U20" i="9"/>
  <c r="U30" i="9"/>
  <c r="U43" i="9"/>
  <c r="U29" i="9"/>
  <c r="U41" i="9"/>
  <c r="U35" i="9"/>
  <c r="U11" i="9"/>
  <c r="U44" i="9"/>
  <c r="U12" i="9"/>
  <c r="U28" i="9"/>
  <c r="U22" i="9"/>
  <c r="U16" i="9"/>
  <c r="U15" i="9"/>
  <c r="U36" i="9"/>
  <c r="U45" i="9"/>
  <c r="U42" i="9"/>
  <c r="U21" i="9"/>
  <c r="U49" i="9"/>
  <c r="U14" i="9"/>
  <c r="U13" i="9"/>
  <c r="U10" i="9"/>
  <c r="U27" i="9"/>
  <c r="U17" i="9"/>
  <c r="U47" i="9"/>
  <c r="O43" i="9"/>
  <c r="P43" i="9" s="1"/>
  <c r="N43" i="9" s="1"/>
  <c r="O28" i="9"/>
  <c r="P28" i="9" s="1"/>
  <c r="N28" i="9" s="1"/>
  <c r="O51" i="9"/>
  <c r="P51" i="9" s="1"/>
  <c r="N51" i="9" s="1"/>
  <c r="O10" i="9"/>
  <c r="P10" i="9" s="1"/>
  <c r="N10" i="9" s="1"/>
  <c r="O37" i="9"/>
  <c r="P37" i="9" s="1"/>
  <c r="N37" i="9" s="1"/>
  <c r="O36" i="9"/>
  <c r="P36" i="9" s="1"/>
  <c r="N36" i="9" s="1"/>
  <c r="O38" i="9"/>
  <c r="P38" i="9" s="1"/>
  <c r="N38" i="9" s="1"/>
  <c r="O45" i="9"/>
  <c r="P45" i="9" s="1"/>
  <c r="N45" i="9" s="1"/>
  <c r="O21" i="9"/>
  <c r="P21" i="9" s="1"/>
  <c r="N21" i="9" s="1"/>
  <c r="O34" i="9"/>
  <c r="P34" i="9" s="1"/>
  <c r="N34" i="9" s="1"/>
  <c r="O35" i="9"/>
  <c r="P35" i="9" s="1"/>
  <c r="N35" i="9" s="1"/>
  <c r="O32" i="9"/>
  <c r="P32" i="9" s="1"/>
  <c r="N32" i="9" s="1"/>
  <c r="O31" i="9"/>
  <c r="P31" i="9" s="1"/>
  <c r="N31" i="9" s="1"/>
  <c r="O9" i="9"/>
  <c r="P9" i="9" s="1"/>
  <c r="N9" i="9" s="1"/>
  <c r="O16" i="9"/>
  <c r="P16" i="9" s="1"/>
  <c r="N16" i="9" s="1"/>
  <c r="O48" i="9"/>
  <c r="P48" i="9" s="1"/>
  <c r="N48" i="9" s="1"/>
  <c r="O40" i="9"/>
  <c r="P40" i="9" s="1"/>
  <c r="N40" i="9" s="1"/>
  <c r="O23" i="9"/>
  <c r="P23" i="9" s="1"/>
  <c r="N23" i="9" s="1"/>
  <c r="O19" i="9"/>
  <c r="P19" i="9" s="1"/>
  <c r="N19" i="9" s="1"/>
  <c r="O17" i="9"/>
  <c r="P17" i="9" s="1"/>
  <c r="N17" i="9" s="1"/>
  <c r="O8" i="9"/>
  <c r="P8" i="9" s="1"/>
  <c r="N8" i="9" s="1"/>
  <c r="O14" i="9"/>
  <c r="P14" i="9" s="1"/>
  <c r="N14" i="9" s="1"/>
  <c r="O20" i="9"/>
  <c r="P20" i="9" s="1"/>
  <c r="N20" i="9" s="1"/>
  <c r="O13" i="9"/>
  <c r="P13" i="9" s="1"/>
  <c r="N13" i="9" s="1"/>
  <c r="O47" i="9"/>
  <c r="P47" i="9" s="1"/>
  <c r="N47" i="9" s="1"/>
  <c r="O33" i="9"/>
  <c r="P33" i="9" s="1"/>
  <c r="N33" i="9" s="1"/>
  <c r="O49" i="9"/>
  <c r="P49" i="9" s="1"/>
  <c r="N49" i="9" s="1"/>
  <c r="O11" i="9"/>
  <c r="P11" i="9" s="1"/>
  <c r="N11" i="9" s="1"/>
  <c r="O42" i="9"/>
  <c r="P42" i="9" s="1"/>
  <c r="N42" i="9" s="1"/>
  <c r="O12" i="9"/>
  <c r="P12" i="9" s="1"/>
  <c r="N12" i="9" s="1"/>
  <c r="O46" i="9"/>
  <c r="P46" i="9" s="1"/>
  <c r="N46" i="9" s="1"/>
  <c r="O24" i="9"/>
  <c r="P24" i="9" s="1"/>
  <c r="N24" i="9" s="1"/>
  <c r="O15" i="9"/>
  <c r="P15" i="9" s="1"/>
  <c r="N15" i="9" s="1"/>
  <c r="O41" i="9"/>
  <c r="P41" i="9" s="1"/>
  <c r="N41" i="9" s="1"/>
  <c r="O26" i="9"/>
  <c r="P26" i="9" s="1"/>
  <c r="N26" i="9" s="1"/>
  <c r="O25" i="9"/>
  <c r="P25" i="9" s="1"/>
  <c r="N25" i="9" s="1"/>
  <c r="O29" i="9"/>
  <c r="P29" i="9" s="1"/>
  <c r="N29" i="9" s="1"/>
  <c r="O39" i="9"/>
  <c r="P39" i="9" s="1"/>
  <c r="N39" i="9" s="1"/>
  <c r="D31" i="9"/>
  <c r="D34" i="9"/>
  <c r="O27" i="9"/>
  <c r="P27" i="9" s="1"/>
  <c r="N27" i="9" s="1"/>
  <c r="O30" i="9"/>
  <c r="P30" i="9" s="1"/>
  <c r="N30" i="9" s="1"/>
  <c r="O22" i="9"/>
  <c r="P22" i="9" s="1"/>
  <c r="N22" i="9" s="1"/>
  <c r="O18" i="9"/>
  <c r="P18" i="9" s="1"/>
  <c r="N18" i="9" s="1"/>
  <c r="O44" i="9"/>
  <c r="P44" i="9" s="1"/>
  <c r="N44" i="9" s="1"/>
  <c r="D32" i="9"/>
  <c r="R28" i="9"/>
  <c r="R25" i="9"/>
  <c r="R16" i="9"/>
  <c r="R32" i="9"/>
  <c r="D28" i="9"/>
  <c r="D36" i="9" s="1"/>
  <c r="M9" i="9" s="1"/>
  <c r="R31" i="9"/>
  <c r="R12" i="9"/>
  <c r="R36" i="9"/>
  <c r="R44" i="9"/>
  <c r="R41" i="9"/>
  <c r="R33" i="9"/>
  <c r="R15" i="9"/>
  <c r="R24" i="9"/>
  <c r="D41" i="9"/>
  <c r="R48" i="9"/>
  <c r="R42" i="9"/>
  <c r="R11" i="9"/>
  <c r="R37" i="9"/>
  <c r="R34" i="9"/>
  <c r="R14" i="9"/>
  <c r="R20" i="9"/>
  <c r="R40" i="9"/>
  <c r="R23" i="9"/>
  <c r="R18" i="9"/>
  <c r="R13" i="9"/>
  <c r="D37" i="9"/>
  <c r="D44" i="9" s="1"/>
  <c r="R19" i="9"/>
  <c r="R35" i="9"/>
  <c r="R38" i="9"/>
  <c r="R30" i="9"/>
  <c r="R46" i="9"/>
  <c r="R10" i="9"/>
  <c r="R17" i="9"/>
  <c r="R29" i="9"/>
  <c r="R27" i="9"/>
  <c r="R9" i="9"/>
  <c r="R43" i="9"/>
  <c r="R22" i="9"/>
  <c r="R39" i="9"/>
  <c r="R45" i="9"/>
  <c r="R21" i="9"/>
  <c r="R51" i="9"/>
  <c r="D40" i="9"/>
  <c r="R26" i="9"/>
  <c r="R8" i="9"/>
  <c r="R49" i="9"/>
  <c r="R47" i="9"/>
  <c r="D43" i="9" l="1"/>
  <c r="S26" i="9"/>
  <c r="S49" i="9"/>
  <c r="S22" i="9"/>
  <c r="S33" i="9"/>
  <c r="S19" i="9"/>
  <c r="S12" i="9"/>
  <c r="D25" i="9"/>
  <c r="M35" i="9"/>
  <c r="S31" i="9"/>
  <c r="S34" i="9"/>
  <c r="S35" i="9"/>
  <c r="S23" i="9"/>
  <c r="S37" i="9"/>
  <c r="S45" i="9"/>
  <c r="M37" i="9"/>
  <c r="M49" i="9"/>
  <c r="M34" i="9"/>
  <c r="M36" i="9"/>
  <c r="M51" i="9"/>
  <c r="M29" i="9"/>
  <c r="S43" i="9"/>
  <c r="M44" i="9"/>
  <c r="M41" i="9"/>
  <c r="S8" i="9"/>
  <c r="S24" i="9"/>
  <c r="S18" i="9"/>
  <c r="S16" i="9"/>
  <c r="S28" i="9"/>
  <c r="S40" i="9"/>
  <c r="M12" i="9"/>
  <c r="M16" i="9"/>
  <c r="M33" i="9"/>
  <c r="M31" i="9"/>
  <c r="M39" i="9"/>
  <c r="S11" i="9"/>
  <c r="M28" i="9"/>
  <c r="S47" i="9"/>
  <c r="S42" i="9"/>
  <c r="S25" i="9"/>
  <c r="S48" i="9"/>
  <c r="S27" i="9"/>
  <c r="S46" i="9"/>
  <c r="M21" i="9"/>
  <c r="M23" i="9"/>
  <c r="M26" i="9"/>
  <c r="M14" i="9"/>
  <c r="M10" i="9"/>
  <c r="M46" i="9"/>
  <c r="S38" i="9"/>
  <c r="S41" i="9"/>
  <c r="S44" i="9"/>
  <c r="S32" i="9"/>
  <c r="S21" i="9"/>
  <c r="M45" i="9"/>
  <c r="M25" i="9"/>
  <c r="M11" i="9"/>
  <c r="M17" i="9"/>
  <c r="M38" i="9"/>
  <c r="M40" i="9"/>
  <c r="M32" i="9"/>
  <c r="S30" i="9"/>
  <c r="S51" i="9"/>
  <c r="M8" i="9"/>
  <c r="S13" i="9"/>
  <c r="S20" i="9"/>
  <c r="S14" i="9"/>
  <c r="S15" i="9"/>
  <c r="S39" i="9"/>
  <c r="M20" i="9"/>
  <c r="M19" i="9"/>
  <c r="M42" i="9"/>
  <c r="M27" i="9"/>
  <c r="M43" i="9"/>
  <c r="M15" i="9"/>
  <c r="M18" i="9"/>
  <c r="S10" i="9"/>
  <c r="M48" i="9"/>
  <c r="S36" i="9"/>
  <c r="S29" i="9"/>
  <c r="S17" i="9"/>
  <c r="S9" i="9"/>
  <c r="M22" i="9"/>
  <c r="M30" i="9"/>
  <c r="M47" i="9"/>
  <c r="M13" i="9"/>
  <c r="M24" i="9"/>
  <c r="Q42" i="9" l="1"/>
  <c r="V42" i="9" s="1"/>
  <c r="Q41" i="9"/>
  <c r="V41" i="9" s="1"/>
  <c r="Q20" i="9"/>
  <c r="Q38" i="9"/>
  <c r="V38" i="9" s="1"/>
  <c r="X38" i="9" s="1"/>
  <c r="Y38" i="9" s="1"/>
  <c r="Q27" i="9"/>
  <c r="V27" i="9" s="1"/>
  <c r="Q24" i="9"/>
  <c r="V24" i="9" s="1"/>
  <c r="W24" i="9" s="1"/>
  <c r="Q34" i="9"/>
  <c r="V34" i="9" s="1"/>
  <c r="X34" i="9" s="1"/>
  <c r="Y34" i="9" s="1"/>
  <c r="Q13" i="9"/>
  <c r="V13" i="9" s="1"/>
  <c r="Q8" i="9"/>
  <c r="V8" i="9" s="1"/>
  <c r="X8" i="9" s="1"/>
  <c r="Y8" i="9" s="1"/>
  <c r="Q15" i="9"/>
  <c r="Q16" i="9"/>
  <c r="V16" i="9" s="1"/>
  <c r="X16" i="9" s="1"/>
  <c r="Y16" i="9" s="1"/>
  <c r="Q29" i="9"/>
  <c r="V29" i="9" s="1"/>
  <c r="X29" i="9" s="1"/>
  <c r="Y29" i="9" s="1"/>
  <c r="Q25" i="9"/>
  <c r="V25" i="9" s="1"/>
  <c r="Q39" i="9"/>
  <c r="V39" i="9" s="1"/>
  <c r="W39" i="9" s="1"/>
  <c r="Q17" i="9"/>
  <c r="V17" i="9" s="1"/>
  <c r="W17" i="9" s="1"/>
  <c r="Q51" i="9"/>
  <c r="V51" i="9" s="1"/>
  <c r="X51" i="9" s="1"/>
  <c r="Y51" i="9" s="1"/>
  <c r="Q45" i="9"/>
  <c r="V45" i="9" s="1"/>
  <c r="W45" i="9" s="1"/>
  <c r="Q49" i="9"/>
  <c r="V49" i="9" s="1"/>
  <c r="Q11" i="9"/>
  <c r="V11" i="9" s="1"/>
  <c r="X11" i="9" s="1"/>
  <c r="Y11" i="9" s="1"/>
  <c r="Q14" i="9"/>
  <c r="V14" i="9" s="1"/>
  <c r="W14" i="9" s="1"/>
  <c r="Q30" i="9"/>
  <c r="V30" i="9" s="1"/>
  <c r="X30" i="9" s="1"/>
  <c r="Y30" i="9" s="1"/>
  <c r="Q21" i="9"/>
  <c r="V21" i="9" s="1"/>
  <c r="X21" i="9" s="1"/>
  <c r="Y21" i="9" s="1"/>
  <c r="Q40" i="9"/>
  <c r="V40" i="9" s="1"/>
  <c r="W40" i="9" s="1"/>
  <c r="Q43" i="9"/>
  <c r="V43" i="9" s="1"/>
  <c r="X43" i="9" s="1"/>
  <c r="Y43" i="9" s="1"/>
  <c r="Q37" i="9"/>
  <c r="V37" i="9" s="1"/>
  <c r="W37" i="9" s="1"/>
  <c r="Q19" i="9"/>
  <c r="V19" i="9" s="1"/>
  <c r="W19" i="9" s="1"/>
  <c r="Q35" i="9"/>
  <c r="V35" i="9" s="1"/>
  <c r="W35" i="9" s="1"/>
  <c r="Q46" i="9"/>
  <c r="V46" i="9" s="1"/>
  <c r="X46" i="9" s="1"/>
  <c r="Y46" i="9" s="1"/>
  <c r="Q9" i="9"/>
  <c r="V9" i="9" s="1"/>
  <c r="W9" i="9" s="1"/>
  <c r="Q10" i="9"/>
  <c r="V10" i="9" s="1"/>
  <c r="X10" i="9" s="1"/>
  <c r="Y10" i="9" s="1"/>
  <c r="Q32" i="9"/>
  <c r="V32" i="9" s="1"/>
  <c r="Q28" i="9"/>
  <c r="V28" i="9" s="1"/>
  <c r="Q23" i="9"/>
  <c r="V23" i="9" s="1"/>
  <c r="Q12" i="9"/>
  <c r="V12" i="9" s="1"/>
  <c r="V15" i="9"/>
  <c r="W15" i="9" s="1"/>
  <c r="Q26" i="9"/>
  <c r="V26" i="9" s="1"/>
  <c r="W26" i="9" s="1"/>
  <c r="Q47" i="9"/>
  <c r="V47" i="9" s="1"/>
  <c r="W47" i="9" s="1"/>
  <c r="V20" i="9"/>
  <c r="W20" i="9" s="1"/>
  <c r="Q31" i="9"/>
  <c r="V31" i="9" s="1"/>
  <c r="X31" i="9" s="1"/>
  <c r="Y31" i="9" s="1"/>
  <c r="Q44" i="9"/>
  <c r="V44" i="9" s="1"/>
  <c r="W44" i="9" s="1"/>
  <c r="Q22" i="9"/>
  <c r="V22" i="9" s="1"/>
  <c r="W22" i="9" s="1"/>
  <c r="Q33" i="9"/>
  <c r="V33" i="9" s="1"/>
  <c r="X33" i="9" s="1"/>
  <c r="Y33" i="9" s="1"/>
  <c r="Q18" i="9"/>
  <c r="V18" i="9" s="1"/>
  <c r="X18" i="9" s="1"/>
  <c r="Y18" i="9" s="1"/>
  <c r="Q36" i="9"/>
  <c r="V36" i="9" s="1"/>
  <c r="X36" i="9" s="1"/>
  <c r="Y36" i="9" s="1"/>
  <c r="Q48" i="9"/>
  <c r="V48" i="9" s="1"/>
  <c r="W48" i="9" s="1"/>
  <c r="W16" i="9"/>
  <c r="W41" i="9"/>
  <c r="X41" i="9"/>
  <c r="Y41" i="9" s="1"/>
  <c r="X42" i="9"/>
  <c r="Y42" i="9" s="1"/>
  <c r="W42" i="9"/>
  <c r="W49" i="9"/>
  <c r="X49" i="9"/>
  <c r="Y49" i="9" s="1"/>
  <c r="W46" i="9" l="1"/>
  <c r="W29" i="9"/>
  <c r="C8" i="8"/>
  <c r="X9" i="9"/>
  <c r="Y9" i="9" s="1"/>
  <c r="W30" i="9"/>
  <c r="X35" i="9"/>
  <c r="Y35" i="9" s="1"/>
  <c r="X15" i="9"/>
  <c r="Y15" i="9" s="1"/>
  <c r="W10" i="9"/>
  <c r="W18" i="9"/>
  <c r="W34" i="9"/>
  <c r="W25" i="9"/>
  <c r="X25" i="9"/>
  <c r="Y25" i="9" s="1"/>
  <c r="W27" i="9"/>
  <c r="X27" i="9"/>
  <c r="Y27" i="9" s="1"/>
  <c r="X17" i="9"/>
  <c r="Y17" i="9" s="1"/>
  <c r="X39" i="9"/>
  <c r="Y39" i="9" s="1"/>
  <c r="X40" i="9"/>
  <c r="Y40" i="9" s="1"/>
  <c r="W21" i="9"/>
  <c r="W51" i="9"/>
  <c r="X13" i="9"/>
  <c r="Y13" i="9" s="1"/>
  <c r="W13" i="9"/>
  <c r="W38" i="9"/>
  <c r="W33" i="9"/>
  <c r="X14" i="9"/>
  <c r="Y14" i="9" s="1"/>
  <c r="W43" i="9"/>
  <c r="X20" i="9"/>
  <c r="Y20" i="9" s="1"/>
  <c r="X23" i="9"/>
  <c r="Y23" i="9" s="1"/>
  <c r="W23" i="9"/>
  <c r="W32" i="9"/>
  <c r="X32" i="9"/>
  <c r="Y32" i="9" s="1"/>
  <c r="X28" i="9"/>
  <c r="Y28" i="9" s="1"/>
  <c r="W28" i="9"/>
  <c r="W12" i="9"/>
  <c r="X12" i="9"/>
  <c r="Y12" i="9" s="1"/>
  <c r="X37" i="9"/>
  <c r="Y37" i="9" s="1"/>
  <c r="W8" i="9"/>
  <c r="X48" i="9"/>
  <c r="Y48" i="9" s="1"/>
  <c r="W11" i="9"/>
  <c r="W36" i="9"/>
  <c r="W31" i="9"/>
  <c r="X45" i="9"/>
  <c r="Y45" i="9" s="1"/>
  <c r="X24" i="9"/>
  <c r="Y24" i="9" s="1"/>
  <c r="X26" i="9"/>
  <c r="Y26" i="9" s="1"/>
  <c r="X44" i="9"/>
  <c r="Y44" i="9" s="1"/>
  <c r="X19" i="9"/>
  <c r="Y19" i="9" s="1"/>
  <c r="X47" i="9"/>
  <c r="Y47" i="9" s="1"/>
  <c r="X22" i="9"/>
  <c r="Y22" i="9" s="1"/>
  <c r="B10" i="11" l="1"/>
  <c r="A10" i="11"/>
  <c r="B8" i="8" l="1"/>
</calcChain>
</file>

<file path=xl/sharedStrings.xml><?xml version="1.0" encoding="utf-8"?>
<sst xmlns="http://schemas.openxmlformats.org/spreadsheetml/2006/main" count="281" uniqueCount="152">
  <si>
    <t>Dados de Entrada</t>
  </si>
  <si>
    <t>VELOCIDADE</t>
  </si>
  <si>
    <t>RESISTÊNCIA DE CORRELAÇÃO</t>
  </si>
  <si>
    <t>RESISTÊNCIA DE ATRITO (ITTC 1957)</t>
  </si>
  <si>
    <t>RESISTÊNCIA DE ONDA</t>
  </si>
  <si>
    <t>RESISTÊNCIA BULBO</t>
  </si>
  <si>
    <t>RESISTÊNCIA CASCO NÚ</t>
  </si>
  <si>
    <t>POTÊNCIA EFETIVA CASCO NÚ</t>
  </si>
  <si>
    <t>RESISTÊNCIA TOTAL</t>
  </si>
  <si>
    <t>POTÊNCIA EFETIVA</t>
  </si>
  <si>
    <t>[m]</t>
  </si>
  <si>
    <t>B</t>
  </si>
  <si>
    <t>T</t>
  </si>
  <si>
    <t>nós</t>
  </si>
  <si>
    <t>m/s</t>
  </si>
  <si>
    <r>
      <t xml:space="preserve">Reynolds </t>
    </r>
    <r>
      <rPr>
        <b/>
        <sz val="10"/>
        <color theme="0"/>
        <rFont val="Calibri"/>
        <family val="2"/>
        <scheme val="minor"/>
      </rPr>
      <t>ship</t>
    </r>
  </si>
  <si>
    <r>
      <t>C</t>
    </r>
    <r>
      <rPr>
        <b/>
        <sz val="10"/>
        <color theme="0"/>
        <rFont val="Calibri"/>
        <family val="2"/>
        <scheme val="minor"/>
      </rPr>
      <t>f ship</t>
    </r>
  </si>
  <si>
    <t xml:space="preserve">Froude </t>
  </si>
  <si>
    <t>m2</t>
  </si>
  <si>
    <t>Fri</t>
  </si>
  <si>
    <t>RB (kN)</t>
  </si>
  <si>
    <r>
      <t>R</t>
    </r>
    <r>
      <rPr>
        <b/>
        <sz val="10"/>
        <color theme="0"/>
        <rFont val="Calibri"/>
        <family val="2"/>
        <scheme val="minor"/>
      </rPr>
      <t>T (kN)</t>
    </r>
  </si>
  <si>
    <t>Pe (kW)</t>
  </si>
  <si>
    <t>Rt Total (kN)</t>
  </si>
  <si>
    <t>Vol desl</t>
  </si>
  <si>
    <t>[m³]</t>
  </si>
  <si>
    <t>LCB</t>
  </si>
  <si>
    <t>Longitudinal Center of Buoyancy</t>
  </si>
  <si>
    <t>%</t>
  </si>
  <si>
    <t>CB</t>
  </si>
  <si>
    <t>---</t>
  </si>
  <si>
    <t>Cwp</t>
  </si>
  <si>
    <t>Cx</t>
  </si>
  <si>
    <t>Cstern</t>
  </si>
  <si>
    <t>ν</t>
  </si>
  <si>
    <t>[m²/s]</t>
  </si>
  <si>
    <t>ρ</t>
  </si>
  <si>
    <t>[kg/m³]</t>
  </si>
  <si>
    <t>g</t>
  </si>
  <si>
    <t>[m/s²]</t>
  </si>
  <si>
    <t>Vs</t>
  </si>
  <si>
    <t>C1</t>
  </si>
  <si>
    <t>C2</t>
  </si>
  <si>
    <t>C3</t>
  </si>
  <si>
    <t>C4</t>
  </si>
  <si>
    <t>C5</t>
  </si>
  <si>
    <t>C7</t>
  </si>
  <si>
    <t>C12</t>
  </si>
  <si>
    <t>C13</t>
  </si>
  <si>
    <t>C15</t>
  </si>
  <si>
    <t>C16</t>
  </si>
  <si>
    <t>CA</t>
  </si>
  <si>
    <t>(1+k1)</t>
  </si>
  <si>
    <t>LR</t>
  </si>
  <si>
    <t>Cp</t>
  </si>
  <si>
    <t>(1+k2)eq</t>
  </si>
  <si>
    <t>Sm</t>
  </si>
  <si>
    <t>iE</t>
  </si>
  <si>
    <t>lambda</t>
  </si>
  <si>
    <t>m1</t>
  </si>
  <si>
    <t>PB</t>
  </si>
  <si>
    <t>C6</t>
  </si>
  <si>
    <t>Bulbo circular</t>
  </si>
  <si>
    <t>hb</t>
  </si>
  <si>
    <t>Ab</t>
  </si>
  <si>
    <t>trasom</t>
  </si>
  <si>
    <t>A</t>
  </si>
  <si>
    <t>Frt</t>
  </si>
  <si>
    <t>d</t>
  </si>
  <si>
    <t>m</t>
  </si>
  <si>
    <t>RA</t>
  </si>
  <si>
    <t>Rf ship</t>
  </si>
  <si>
    <t>Reynolds ship</t>
  </si>
  <si>
    <t>Cf ship</t>
  </si>
  <si>
    <t>RW</t>
  </si>
  <si>
    <t>RT (kN)</t>
  </si>
  <si>
    <t>Hb Recomendado (Molland)</t>
  </si>
  <si>
    <t>INFLUÊNCIA DA AREA TRANVERSAL DO BULBO NA RESISTÊNCIA AO AVANCO</t>
  </si>
  <si>
    <t>% de hbt recomendado</t>
  </si>
  <si>
    <t>sm</t>
  </si>
  <si>
    <t>c3</t>
  </si>
  <si>
    <t>c2</t>
  </si>
  <si>
    <t>RB (N)</t>
  </si>
  <si>
    <t>Menor Rt (kN)</t>
  </si>
  <si>
    <t>Peso_desl</t>
  </si>
  <si>
    <t>[t]</t>
  </si>
  <si>
    <r>
      <t>R</t>
    </r>
    <r>
      <rPr>
        <b/>
        <sz val="10"/>
        <color theme="0"/>
        <rFont val="Calibri"/>
        <family val="2"/>
        <scheme val="minor"/>
      </rPr>
      <t>A [N]</t>
    </r>
  </si>
  <si>
    <r>
      <t>R</t>
    </r>
    <r>
      <rPr>
        <b/>
        <sz val="10"/>
        <color theme="0"/>
        <rFont val="Calibri"/>
        <family val="2"/>
        <scheme val="minor"/>
      </rPr>
      <t>f ship [N]</t>
    </r>
  </si>
  <si>
    <r>
      <t>R</t>
    </r>
    <r>
      <rPr>
        <b/>
        <sz val="10"/>
        <color theme="0"/>
        <rFont val="Calibri"/>
        <family val="2"/>
        <scheme val="minor"/>
      </rPr>
      <t>W [N]</t>
    </r>
  </si>
  <si>
    <t>Resistência ao avanço - Método de Holtrop e Mennen</t>
  </si>
  <si>
    <t>Lbp</t>
  </si>
  <si>
    <t>T_f</t>
  </si>
  <si>
    <t>m4</t>
  </si>
  <si>
    <t>Afterboby form</t>
  </si>
  <si>
    <t>knots</t>
  </si>
  <si>
    <t>Comprimento</t>
  </si>
  <si>
    <t>Boca</t>
  </si>
  <si>
    <t>Calado</t>
  </si>
  <si>
    <t>Altura do centro do Bulbo</t>
  </si>
  <si>
    <t>Velocidade do navio</t>
  </si>
  <si>
    <t>Calado proa</t>
  </si>
  <si>
    <t>Volume deslocado</t>
  </si>
  <si>
    <t>Coeficiente de bloco</t>
  </si>
  <si>
    <t>Coeficiente  de plano de linha d'agua</t>
  </si>
  <si>
    <t>Coeficiente de seção</t>
  </si>
  <si>
    <t>Viscosidade</t>
  </si>
  <si>
    <t>Densidade</t>
  </si>
  <si>
    <t>Gravidade</t>
  </si>
  <si>
    <t>Velocidade</t>
  </si>
  <si>
    <t>Deslocamento em toneladas</t>
  </si>
  <si>
    <t>Coeficiente prismático</t>
  </si>
  <si>
    <t>Área molhada</t>
  </si>
  <si>
    <t>[m²]</t>
  </si>
  <si>
    <t>λ</t>
  </si>
  <si>
    <t>f</t>
  </si>
  <si>
    <t>w</t>
  </si>
  <si>
    <t>L</t>
  </si>
  <si>
    <t>BULBO</t>
  </si>
  <si>
    <t>CASCO</t>
  </si>
  <si>
    <t>vmax</t>
  </si>
  <si>
    <t>Bb</t>
  </si>
  <si>
    <t>kW</t>
  </si>
  <si>
    <t>Lps</t>
  </si>
  <si>
    <t>Popa</t>
  </si>
  <si>
    <t>lbulb/Lpp</t>
  </si>
  <si>
    <t>Londa/lpp</t>
  </si>
  <si>
    <t>L onda</t>
  </si>
  <si>
    <t>N</t>
  </si>
  <si>
    <t>Comprimento do navio</t>
  </si>
  <si>
    <t>Boca do navio</t>
  </si>
  <si>
    <t>Calado do navio</t>
  </si>
  <si>
    <t>Velocidade sugerida para este comprimento de bulbo</t>
  </si>
  <si>
    <t>Comprimento do bulbo sugerido para esta velocidade</t>
  </si>
  <si>
    <t>Altura do centro do bulbo sugerida</t>
  </si>
  <si>
    <t xml:space="preserve">L </t>
  </si>
  <si>
    <t>Deslocamento</t>
  </si>
  <si>
    <t>m³</t>
  </si>
  <si>
    <t>t</t>
  </si>
  <si>
    <t>Δ</t>
  </si>
  <si>
    <t>Pt</t>
  </si>
  <si>
    <t>EN</t>
  </si>
  <si>
    <t>Ship Length</t>
  </si>
  <si>
    <t>Ship Breadth</t>
  </si>
  <si>
    <t>Ship Draft</t>
  </si>
  <si>
    <t>Bulb center heigth</t>
  </si>
  <si>
    <t>Bulb Length</t>
  </si>
  <si>
    <t>Ship Speed</t>
  </si>
  <si>
    <t>L wave</t>
  </si>
  <si>
    <t>Suggested speed for this bulb length</t>
  </si>
  <si>
    <t>Suggested bulb length for this speed</t>
  </si>
  <si>
    <t>Suggested bulb center height</t>
  </si>
  <si>
    <t>Comprimento do Bulbo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</si>
</sst>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E+00"/>
    <numFmt numFmtId="166" formatCode="0.0000000"/>
    <numFmt numFmtId="167" formatCode="0.0"/>
    <numFmt numFmtId="168" formatCode="0.00000"/>
    <numFmt numFmtId="169" formatCode="0.0%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sz val="11"/>
      <color theme="0"/>
      <name val="Arial"/>
      <family val="2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ill="1" applyBorder="1"/>
    <xf numFmtId="0" fontId="8" fillId="0" borderId="0" xfId="0" applyFont="1" applyFill="1" applyBorder="1" applyAlignment="1" applyProtection="1">
      <alignment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2" fontId="0" fillId="0" borderId="0" xfId="0" applyNumberFormat="1" applyProtection="1"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168" fontId="0" fillId="0" borderId="0" xfId="0" applyNumberForma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2" fontId="0" fillId="0" borderId="0" xfId="0" applyNumberFormat="1" applyFill="1" applyBorder="1" applyAlignment="1" applyProtection="1">
      <alignment horizontal="center"/>
      <protection hidden="1"/>
    </xf>
    <xf numFmtId="167" fontId="1" fillId="0" borderId="0" xfId="0" applyNumberFormat="1" applyFont="1" applyFill="1" applyBorder="1" applyAlignment="1" applyProtection="1">
      <alignment horizontal="center"/>
      <protection hidden="1"/>
    </xf>
    <xf numFmtId="2" fontId="1" fillId="0" borderId="0" xfId="0" applyNumberFormat="1" applyFont="1" applyFill="1" applyBorder="1" applyAlignment="1" applyProtection="1">
      <alignment horizontal="center"/>
      <protection hidden="1"/>
    </xf>
    <xf numFmtId="2" fontId="11" fillId="0" borderId="0" xfId="0" applyNumberFormat="1" applyFont="1" applyFill="1" applyBorder="1" applyAlignment="1" applyProtection="1">
      <alignment horizontal="center" wrapText="1"/>
      <protection hidden="1"/>
    </xf>
    <xf numFmtId="2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quotePrefix="1" applyFont="1" applyFill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Protection="1">
      <protection hidden="1"/>
    </xf>
    <xf numFmtId="2" fontId="1" fillId="0" borderId="0" xfId="0" applyNumberFormat="1" applyFont="1" applyFill="1" applyBorder="1" applyAlignment="1" applyProtection="1">
      <alignment horizontal="center" vertical="center"/>
      <protection hidden="1"/>
    </xf>
    <xf numFmtId="168" fontId="0" fillId="0" borderId="0" xfId="0" applyNumberFormat="1" applyFill="1" applyBorder="1" applyAlignment="1" applyProtection="1">
      <alignment horizontal="center" vertical="center"/>
      <protection hidden="1"/>
    </xf>
    <xf numFmtId="168" fontId="0" fillId="0" borderId="0" xfId="0" applyNumberForma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11" fontId="0" fillId="0" borderId="0" xfId="0" applyNumberFormat="1" applyFill="1" applyBorder="1" applyAlignment="1" applyProtection="1">
      <alignment horizontal="center" vertical="center"/>
      <protection hidden="1"/>
    </xf>
    <xf numFmtId="166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center" vertical="center"/>
      <protection hidden="1"/>
    </xf>
    <xf numFmtId="165" fontId="0" fillId="0" borderId="0" xfId="0" applyNumberFormat="1" applyFill="1" applyBorder="1" applyAlignment="1" applyProtection="1">
      <alignment horizontal="center" vertical="center"/>
      <protection hidden="1"/>
    </xf>
    <xf numFmtId="2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quotePrefix="1" applyFill="1" applyBorder="1" applyProtection="1">
      <protection hidden="1"/>
    </xf>
    <xf numFmtId="0" fontId="19" fillId="4" borderId="0" xfId="0" applyFont="1" applyFill="1" applyBorder="1" applyAlignment="1" applyProtection="1">
      <alignment horizontal="center" vertical="center"/>
      <protection hidden="1"/>
    </xf>
    <xf numFmtId="0" fontId="19" fillId="4" borderId="8" xfId="0" applyFont="1" applyFill="1" applyBorder="1" applyAlignment="1" applyProtection="1">
      <alignment horizontal="center" vertical="center"/>
      <protection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hidden="1"/>
    </xf>
    <xf numFmtId="0" fontId="19" fillId="3" borderId="0" xfId="0" applyFont="1" applyFill="1" applyBorder="1" applyAlignment="1" applyProtection="1">
      <alignment horizontal="center" vertical="center"/>
      <protection hidden="1"/>
    </xf>
    <xf numFmtId="0" fontId="19" fillId="3" borderId="7" xfId="0" applyFont="1" applyFill="1" applyBorder="1" applyAlignment="1" applyProtection="1">
      <alignment horizontal="center" vertical="center"/>
      <protection hidden="1"/>
    </xf>
    <xf numFmtId="0" fontId="19" fillId="3" borderId="2" xfId="0" applyFont="1" applyFill="1" applyBorder="1" applyAlignment="1" applyProtection="1">
      <alignment horizontal="center" vertical="center"/>
      <protection hidden="1"/>
    </xf>
    <xf numFmtId="0" fontId="23" fillId="3" borderId="19" xfId="0" applyFont="1" applyFill="1" applyBorder="1" applyAlignment="1" applyProtection="1">
      <alignment vertical="top"/>
      <protection hidden="1"/>
    </xf>
    <xf numFmtId="0" fontId="23" fillId="3" borderId="20" xfId="0" applyFont="1" applyFill="1" applyBorder="1" applyAlignment="1" applyProtection="1">
      <alignment vertical="top"/>
      <protection hidden="1"/>
    </xf>
    <xf numFmtId="0" fontId="23" fillId="3" borderId="21" xfId="0" applyFont="1" applyFill="1" applyBorder="1" applyAlignment="1" applyProtection="1">
      <alignment vertical="top"/>
      <protection hidden="1"/>
    </xf>
    <xf numFmtId="0" fontId="18" fillId="4" borderId="25" xfId="0" applyFont="1" applyFill="1" applyBorder="1" applyAlignment="1" applyProtection="1">
      <alignment horizontal="center" vertical="center"/>
      <protection locked="0" hidden="1"/>
    </xf>
    <xf numFmtId="169" fontId="20" fillId="2" borderId="28" xfId="1" applyNumberFormat="1" applyFont="1" applyFill="1" applyBorder="1" applyAlignment="1" applyProtection="1">
      <alignment horizontal="center" vertical="center"/>
      <protection hidden="1"/>
    </xf>
    <xf numFmtId="0" fontId="19" fillId="3" borderId="0" xfId="0" applyFont="1" applyFill="1" applyBorder="1" applyAlignment="1" applyProtection="1">
      <alignment horizontal="left" vertical="center"/>
      <protection hidden="1"/>
    </xf>
    <xf numFmtId="0" fontId="19" fillId="3" borderId="0" xfId="0" applyFont="1" applyFill="1" applyBorder="1" applyAlignment="1" applyProtection="1">
      <alignment vertical="center"/>
      <protection hidden="1"/>
    </xf>
    <xf numFmtId="0" fontId="18" fillId="6" borderId="24" xfId="0" applyFont="1" applyFill="1" applyBorder="1" applyAlignment="1" applyProtection="1">
      <alignment horizontal="left" vertical="center"/>
      <protection hidden="1"/>
    </xf>
    <xf numFmtId="0" fontId="18" fillId="6" borderId="26" xfId="0" applyFont="1" applyFill="1" applyBorder="1" applyAlignment="1" applyProtection="1">
      <alignment horizontal="center" vertical="center"/>
      <protection hidden="1"/>
    </xf>
    <xf numFmtId="0" fontId="19" fillId="6" borderId="8" xfId="0" applyFont="1" applyFill="1" applyBorder="1" applyAlignment="1" applyProtection="1">
      <alignment horizontal="center" vertical="center"/>
      <protection hidden="1"/>
    </xf>
    <xf numFmtId="0" fontId="18" fillId="6" borderId="27" xfId="0" applyFont="1" applyFill="1" applyBorder="1" applyAlignment="1" applyProtection="1">
      <alignment horizontal="center" vertical="center"/>
      <protection hidden="1"/>
    </xf>
    <xf numFmtId="0" fontId="19" fillId="6" borderId="0" xfId="0" applyFont="1" applyFill="1" applyBorder="1" applyAlignment="1" applyProtection="1">
      <alignment horizontal="center" vertical="center"/>
      <protection hidden="1"/>
    </xf>
    <xf numFmtId="0" fontId="18" fillId="6" borderId="29" xfId="0" applyFont="1" applyFill="1" applyBorder="1" applyAlignment="1" applyProtection="1">
      <alignment horizontal="center" vertical="center"/>
      <protection hidden="1"/>
    </xf>
    <xf numFmtId="0" fontId="19" fillId="3" borderId="3" xfId="0" applyFont="1" applyFill="1" applyBorder="1" applyAlignment="1" applyProtection="1">
      <alignment horizontal="center" vertical="center"/>
      <protection hidden="1"/>
    </xf>
    <xf numFmtId="0" fontId="19" fillId="3" borderId="13" xfId="0" applyFont="1" applyFill="1" applyBorder="1" applyAlignment="1" applyProtection="1">
      <alignment vertical="top"/>
      <protection hidden="1"/>
    </xf>
    <xf numFmtId="0" fontId="19" fillId="3" borderId="14" xfId="0" applyFont="1" applyFill="1" applyBorder="1" applyAlignment="1" applyProtection="1">
      <alignment vertical="top"/>
      <protection hidden="1"/>
    </xf>
    <xf numFmtId="0" fontId="19" fillId="3" borderId="15" xfId="0" applyFont="1" applyFill="1" applyBorder="1" applyAlignment="1" applyProtection="1">
      <alignment vertical="top"/>
      <protection hidden="1"/>
    </xf>
    <xf numFmtId="0" fontId="19" fillId="3" borderId="0" xfId="0" applyFont="1" applyFill="1" applyAlignment="1" applyProtection="1">
      <alignment horizontal="center" vertical="center"/>
      <protection hidden="1"/>
    </xf>
    <xf numFmtId="0" fontId="19" fillId="3" borderId="2" xfId="0" applyFont="1" applyFill="1" applyBorder="1" applyAlignment="1" applyProtection="1">
      <alignment vertical="center"/>
      <protection hidden="1"/>
    </xf>
    <xf numFmtId="0" fontId="19" fillId="3" borderId="3" xfId="0" applyFont="1" applyFill="1" applyBorder="1" applyAlignment="1" applyProtection="1">
      <alignment vertical="center"/>
      <protection hidden="1"/>
    </xf>
    <xf numFmtId="0" fontId="19" fillId="3" borderId="0" xfId="0" applyFont="1" applyFill="1" applyAlignment="1" applyProtection="1">
      <alignment vertical="center"/>
      <protection hidden="1"/>
    </xf>
    <xf numFmtId="2" fontId="19" fillId="3" borderId="0" xfId="0" applyNumberFormat="1" applyFont="1" applyFill="1" applyBorder="1" applyAlignment="1" applyProtection="1">
      <alignment vertical="center"/>
      <protection hidden="1"/>
    </xf>
    <xf numFmtId="0" fontId="18" fillId="3" borderId="0" xfId="0" applyFont="1" applyFill="1" applyBorder="1" applyAlignment="1" applyProtection="1">
      <alignment vertical="center"/>
      <protection hidden="1"/>
    </xf>
    <xf numFmtId="0" fontId="19" fillId="3" borderId="4" xfId="0" applyFont="1" applyFill="1" applyBorder="1" applyAlignment="1" applyProtection="1">
      <alignment vertical="center"/>
      <protection hidden="1"/>
    </xf>
    <xf numFmtId="0" fontId="19" fillId="3" borderId="6" xfId="0" applyFont="1" applyFill="1" applyBorder="1" applyAlignment="1" applyProtection="1">
      <alignment horizontal="left" vertical="center"/>
      <protection hidden="1"/>
    </xf>
    <xf numFmtId="0" fontId="19" fillId="3" borderId="6" xfId="0" applyFont="1" applyFill="1" applyBorder="1" applyAlignment="1" applyProtection="1">
      <alignment vertical="center"/>
      <protection hidden="1"/>
    </xf>
    <xf numFmtId="0" fontId="19" fillId="3" borderId="5" xfId="0" applyFont="1" applyFill="1" applyBorder="1" applyAlignment="1" applyProtection="1">
      <alignment vertical="center"/>
      <protection hidden="1"/>
    </xf>
    <xf numFmtId="0" fontId="19" fillId="3" borderId="0" xfId="0" applyFont="1" applyFill="1" applyAlignment="1" applyProtection="1">
      <alignment horizontal="left" vertical="center"/>
      <protection hidden="1"/>
    </xf>
    <xf numFmtId="0" fontId="19" fillId="3" borderId="8" xfId="0" applyFont="1" applyFill="1" applyBorder="1" applyAlignment="1" applyProtection="1">
      <alignment horizontal="center" vertical="center"/>
      <protection hidden="1"/>
    </xf>
    <xf numFmtId="0" fontId="19" fillId="3" borderId="9" xfId="0" applyFont="1" applyFill="1" applyBorder="1" applyAlignment="1" applyProtection="1">
      <alignment horizontal="center" vertical="center"/>
      <protection hidden="1"/>
    </xf>
    <xf numFmtId="0" fontId="18" fillId="6" borderId="24" xfId="0" applyFont="1" applyFill="1" applyBorder="1" applyAlignment="1" applyProtection="1">
      <alignment horizontal="left"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locked="0" hidden="1"/>
    </xf>
    <xf numFmtId="0" fontId="21" fillId="5" borderId="10" xfId="0" applyFont="1" applyFill="1" applyBorder="1" applyAlignment="1" applyProtection="1">
      <alignment horizontal="center" vertical="center"/>
      <protection hidden="1"/>
    </xf>
    <xf numFmtId="0" fontId="21" fillId="5" borderId="8" xfId="0" applyFont="1" applyFill="1" applyBorder="1" applyAlignment="1" applyProtection="1">
      <alignment horizontal="center" vertical="center"/>
      <protection hidden="1"/>
    </xf>
    <xf numFmtId="0" fontId="21" fillId="5" borderId="11" xfId="0" applyFont="1" applyFill="1" applyBorder="1" applyAlignment="1" applyProtection="1">
      <alignment horizontal="center" vertical="center"/>
      <protection hidden="1"/>
    </xf>
    <xf numFmtId="0" fontId="21" fillId="5" borderId="12" xfId="0" applyFont="1" applyFill="1" applyBorder="1" applyAlignment="1" applyProtection="1">
      <alignment horizontal="center" vertical="center"/>
      <protection hidden="1"/>
    </xf>
    <xf numFmtId="0" fontId="22" fillId="5" borderId="13" xfId="0" applyFont="1" applyFill="1" applyBorder="1" applyAlignment="1" applyProtection="1">
      <alignment horizontal="center" vertical="center"/>
      <protection hidden="1"/>
    </xf>
    <xf numFmtId="0" fontId="22" fillId="5" borderId="14" xfId="0" applyFont="1" applyFill="1" applyBorder="1" applyAlignment="1" applyProtection="1">
      <alignment horizontal="center" vertical="center"/>
      <protection hidden="1"/>
    </xf>
    <xf numFmtId="0" fontId="22" fillId="5" borderId="15" xfId="0" applyFont="1" applyFill="1" applyBorder="1" applyAlignment="1" applyProtection="1">
      <alignment horizontal="center" vertical="center"/>
      <protection hidden="1"/>
    </xf>
    <xf numFmtId="0" fontId="23" fillId="3" borderId="16" xfId="0" applyFont="1" applyFill="1" applyBorder="1" applyAlignment="1" applyProtection="1">
      <alignment horizontal="left" vertical="top" wrapText="1"/>
      <protection hidden="1"/>
    </xf>
    <xf numFmtId="0" fontId="23" fillId="3" borderId="17" xfId="0" applyFont="1" applyFill="1" applyBorder="1" applyAlignment="1" applyProtection="1">
      <alignment horizontal="left" vertical="top" wrapText="1"/>
      <protection hidden="1"/>
    </xf>
    <xf numFmtId="0" fontId="23" fillId="3" borderId="18" xfId="0" applyFont="1" applyFill="1" applyBorder="1" applyAlignment="1" applyProtection="1">
      <alignment horizontal="left" vertical="top" wrapText="1"/>
      <protection hidden="1"/>
    </xf>
    <xf numFmtId="0" fontId="23" fillId="3" borderId="2" xfId="0" applyFont="1" applyFill="1" applyBorder="1" applyAlignment="1" applyProtection="1">
      <alignment horizontal="left" vertical="top" wrapText="1"/>
      <protection hidden="1"/>
    </xf>
    <xf numFmtId="0" fontId="23" fillId="3" borderId="0" xfId="0" applyFont="1" applyFill="1" applyBorder="1" applyAlignment="1" applyProtection="1">
      <alignment horizontal="left" vertical="top" wrapText="1"/>
      <protection hidden="1"/>
    </xf>
    <xf numFmtId="0" fontId="23" fillId="3" borderId="22" xfId="0" applyFont="1" applyFill="1" applyBorder="1" applyAlignment="1" applyProtection="1">
      <alignment horizontal="left" vertical="top" wrapText="1"/>
      <protection hidden="1"/>
    </xf>
    <xf numFmtId="0" fontId="23" fillId="3" borderId="23" xfId="0" applyFont="1" applyFill="1" applyBorder="1" applyAlignment="1" applyProtection="1">
      <alignment horizontal="left" vertical="top" wrapText="1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8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Alignment="1" applyProtection="1">
      <alignment horizont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</cellXfs>
  <cellStyles count="2">
    <cellStyle name="Normal" xfId="0" builtinId="0"/>
    <cellStyle name="Porcentagem" xfId="1" builtinId="5"/>
  </cellStyles>
  <dxfs count="3"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133A"/>
      <color rgb="FF9BEE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bulbo!$C$50</c:f>
          <c:strCache>
            <c:ptCount val="1"/>
            <c:pt idx="0">
              <c:v>Potência efetiva necessária para navegar a 13 nós [kW]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bulbo!$C$55</c:f>
              <c:strCache>
                <c:ptCount val="1"/>
                <c:pt idx="0">
                  <c:v>Com Bulbo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bulbo!$K$8:$K$49</c:f>
              <c:numCache>
                <c:formatCode>General</c:formatCode>
                <c:ptCount val="4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</c:numCache>
            </c:numRef>
          </c:xVal>
          <c:yVal>
            <c:numRef>
              <c:f>bulbo!$Y$8:$Y$49</c:f>
              <c:numCache>
                <c:formatCode>0.00</c:formatCode>
                <c:ptCount val="42"/>
                <c:pt idx="0">
                  <c:v>0.12777501685744352</c:v>
                </c:pt>
                <c:pt idx="1">
                  <c:v>0.93227329066836717</c:v>
                </c:pt>
                <c:pt idx="2">
                  <c:v>2.9897645533195645</c:v>
                </c:pt>
                <c:pt idx="3">
                  <c:v>6.8427484129235943</c:v>
                </c:pt>
                <c:pt idx="4">
                  <c:v>13.014777274325176</c:v>
                </c:pt>
                <c:pt idx="5">
                  <c:v>22.016251261997944</c:v>
                </c:pt>
                <c:pt idx="6">
                  <c:v>34.34753718211843</c:v>
                </c:pt>
                <c:pt idx="7">
                  <c:v>50.500913775570467</c:v>
                </c:pt>
                <c:pt idx="8">
                  <c:v>70.961980937480845</c:v>
                </c:pt>
                <c:pt idx="9">
                  <c:v>96.211132460041057</c:v>
                </c:pt>
                <c:pt idx="10">
                  <c:v>126.72613953460176</c:v>
                </c:pt>
                <c:pt idx="11">
                  <c:v>162.98747870148645</c:v>
                </c:pt>
                <c:pt idx="12">
                  <c:v>205.48910349851246</c:v>
                </c:pt>
                <c:pt idx="13">
                  <c:v>254.75544171398926</c:v>
                </c:pt>
                <c:pt idx="14">
                  <c:v>311.34535625621351</c:v>
                </c:pt>
                <c:pt idx="15">
                  <c:v>375.92491030901232</c:v>
                </c:pt>
                <c:pt idx="16">
                  <c:v>449.46816404329746</c:v>
                </c:pt>
                <c:pt idx="17">
                  <c:v>532.21202638598675</c:v>
                </c:pt>
                <c:pt idx="18">
                  <c:v>625.61932765525944</c:v>
                </c:pt>
                <c:pt idx="19">
                  <c:v>730.89913744241233</c:v>
                </c:pt>
                <c:pt idx="20">
                  <c:v>850.90983221896249</c:v>
                </c:pt>
                <c:pt idx="21">
                  <c:v>993.75533461713428</c:v>
                </c:pt>
                <c:pt idx="22">
                  <c:v>1136.89407031115</c:v>
                </c:pt>
                <c:pt idx="23">
                  <c:v>1315.4514866702018</c:v>
                </c:pt>
                <c:pt idx="24">
                  <c:v>1507.195682200891</c:v>
                </c:pt>
                <c:pt idx="25">
                  <c:v>1754.9091492870275</c:v>
                </c:pt>
                <c:pt idx="26">
                  <c:v>1930.1710806658496</c:v>
                </c:pt>
                <c:pt idx="27">
                  <c:v>2347.8759940278796</c:v>
                </c:pt>
                <c:pt idx="28">
                  <c:v>2617.0656723120032</c:v>
                </c:pt>
                <c:pt idx="29">
                  <c:v>2792.7294459783075</c:v>
                </c:pt>
                <c:pt idx="30">
                  <c:v>3345.3124640539595</c:v>
                </c:pt>
                <c:pt idx="31">
                  <c:v>4161.221943025892</c:v>
                </c:pt>
                <c:pt idx="32">
                  <c:v>4464.9866248713697</c:v>
                </c:pt>
                <c:pt idx="33">
                  <c:v>4526.3532462843195</c:v>
                </c:pt>
                <c:pt idx="34">
                  <c:v>4959.7287751592648</c:v>
                </c:pt>
                <c:pt idx="35">
                  <c:v>6010.0348782906094</c:v>
                </c:pt>
                <c:pt idx="36">
                  <c:v>7685.7872459679675</c:v>
                </c:pt>
                <c:pt idx="37">
                  <c:v>9251.2484196250098</c:v>
                </c:pt>
                <c:pt idx="38">
                  <c:v>9832.7806456143171</c:v>
                </c:pt>
                <c:pt idx="39">
                  <c:v>9692.1698960191497</c:v>
                </c:pt>
                <c:pt idx="40">
                  <c:v>9593.3006310525925</c:v>
                </c:pt>
                <c:pt idx="41">
                  <c:v>9947.4459112098975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A-4996-8CCA-740FB8EBB5E3}"/>
            </c:ext>
          </c:extLst>
        </c:ser>
        <c:ser>
          <c:idx val="4"/>
          <c:order val="1"/>
          <c:tx>
            <c:strRef>
              <c:f>bulbo!$C$56</c:f>
              <c:strCache>
                <c:ptCount val="1"/>
                <c:pt idx="0">
                  <c:v>Sem bulbo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sembulbo!$K$8:$K$49</c:f>
              <c:numCache>
                <c:formatCode>General</c:formatCode>
                <c:ptCount val="4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</c:numCache>
            </c:numRef>
          </c:xVal>
          <c:yVal>
            <c:numRef>
              <c:f>sembulbo!$Y$8:$Y$49</c:f>
              <c:numCache>
                <c:formatCode>0.00</c:formatCode>
                <c:ptCount val="42"/>
                <c:pt idx="0">
                  <c:v>0.12663361529207362</c:v>
                </c:pt>
                <c:pt idx="1">
                  <c:v>0.92396783977260588</c:v>
                </c:pt>
                <c:pt idx="2">
                  <c:v>2.9630245460896676</c:v>
                </c:pt>
                <c:pt idx="3">
                  <c:v>6.7811563229397356</c:v>
                </c:pt>
                <c:pt idx="4">
                  <c:v>12.896770296141085</c:v>
                </c:pt>
                <c:pt idx="5">
                  <c:v>21.815127441961007</c:v>
                </c:pt>
                <c:pt idx="6">
                  <c:v>34.031496809435936</c:v>
                </c:pt>
                <c:pt idx="7">
                  <c:v>50.033149618225671</c:v>
                </c:pt>
                <c:pt idx="8">
                  <c:v>70.300861437545478</c:v>
                </c:pt>
                <c:pt idx="9">
                  <c:v>95.310699719615585</c:v>
                </c:pt>
                <c:pt idx="10">
                  <c:v>125.5376331677991</c:v>
                </c:pt>
                <c:pt idx="11">
                  <c:v>161.4634362486878</c:v>
                </c:pt>
                <c:pt idx="12">
                  <c:v>203.59302059725545</c:v>
                </c:pt>
                <c:pt idx="13">
                  <c:v>252.48038363056381</c:v>
                </c:pt>
                <c:pt idx="14">
                  <c:v>308.73451514630301</c:v>
                </c:pt>
                <c:pt idx="15">
                  <c:v>373.1312413937398</c:v>
                </c:pt>
                <c:pt idx="16">
                  <c:v>446.92217710460386</c:v>
                </c:pt>
                <c:pt idx="17">
                  <c:v>530.22570903466828</c:v>
                </c:pt>
                <c:pt idx="18">
                  <c:v>625.04879468643867</c:v>
                </c:pt>
                <c:pt idx="19">
                  <c:v>733.00906039874792</c:v>
                </c:pt>
                <c:pt idx="20">
                  <c:v>858.26425465588227</c:v>
                </c:pt>
                <c:pt idx="21">
                  <c:v>1013.0481496408881</c:v>
                </c:pt>
                <c:pt idx="22">
                  <c:v>1162.4204491092314</c:v>
                </c:pt>
                <c:pt idx="23">
                  <c:v>1360.2134045418989</c:v>
                </c:pt>
                <c:pt idx="24">
                  <c:v>1571.96533604089</c:v>
                </c:pt>
                <c:pt idx="25">
                  <c:v>1863.2974110114183</c:v>
                </c:pt>
                <c:pt idx="26">
                  <c:v>2036.2843835845072</c:v>
                </c:pt>
                <c:pt idx="27">
                  <c:v>2575.4333266304011</c:v>
                </c:pt>
                <c:pt idx="28">
                  <c:v>2878.675220198943</c:v>
                </c:pt>
                <c:pt idx="29">
                  <c:v>3030.4252858992782</c:v>
                </c:pt>
                <c:pt idx="30">
                  <c:v>3754.6445435188234</c:v>
                </c:pt>
                <c:pt idx="31">
                  <c:v>4876.2373125546137</c:v>
                </c:pt>
                <c:pt idx="32">
                  <c:v>5201.2248739117413</c:v>
                </c:pt>
                <c:pt idx="33">
                  <c:v>5144.6186474655824</c:v>
                </c:pt>
                <c:pt idx="34">
                  <c:v>5651.9943127104061</c:v>
                </c:pt>
                <c:pt idx="35">
                  <c:v>7100.1491673645314</c:v>
                </c:pt>
                <c:pt idx="36">
                  <c:v>9501.9619958449366</c:v>
                </c:pt>
                <c:pt idx="37">
                  <c:v>11724.622367245345</c:v>
                </c:pt>
                <c:pt idx="38">
                  <c:v>12423.039154155871</c:v>
                </c:pt>
                <c:pt idx="39">
                  <c:v>11999.972314967923</c:v>
                </c:pt>
                <c:pt idx="40">
                  <c:v>11631.103547605515</c:v>
                </c:pt>
                <c:pt idx="41">
                  <c:v>11949.311447133439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4A-4996-8CCA-740FB8EBB5E3}"/>
            </c:ext>
          </c:extLst>
        </c:ser>
        <c:ser>
          <c:idx val="5"/>
          <c:order val="2"/>
          <c:tx>
            <c:strRef>
              <c:f>bulbo!$C$57</c:f>
              <c:strCache>
                <c:ptCount val="1"/>
                <c:pt idx="0">
                  <c:v>Sua seleção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03-F04A-4996-8CCA-740FB8EBB5E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bulbo!$K$52</c:f>
              <c:numCache>
                <c:formatCode>0.00</c:formatCode>
                <c:ptCount val="1"/>
                <c:pt idx="0">
                  <c:v>13</c:v>
                </c:pt>
              </c:numCache>
            </c:numRef>
          </c:xVal>
          <c:yVal>
            <c:numRef>
              <c:f>bulbo!$Y$52</c:f>
              <c:numCache>
                <c:formatCode>0.00</c:formatCode>
                <c:ptCount val="1"/>
                <c:pt idx="0">
                  <c:v>1754.9091492870275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4A-4996-8CCA-740FB8EBB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59439"/>
        <c:axId val="777115471"/>
      </c:scatterChart>
      <c:valAx>
        <c:axId val="68255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bulbo!$C$54</c:f>
              <c:strCache>
                <c:ptCount val="1"/>
                <c:pt idx="0">
                  <c:v>Velocidade [nós]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77115471"/>
        <c:crosses val="autoZero"/>
        <c:crossBetween val="midCat"/>
      </c:valAx>
      <c:valAx>
        <c:axId val="7771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bulbo!$C$53</c:f>
              <c:strCache>
                <c:ptCount val="1"/>
                <c:pt idx="0">
                  <c:v>Potência efetiva [kW]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82559439"/>
        <c:crosses val="autoZero"/>
        <c:crossBetween val="midCat"/>
      </c:valAx>
      <c:spPr>
        <a:noFill/>
      </c:spPr>
    </c:plotArea>
    <c:legend>
      <c:legendPos val="b"/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bg1">
            <a:lumMod val="75000"/>
          </a:schemeClr>
        </a:gs>
        <a:gs pos="50000">
          <a:schemeClr val="bg1">
            <a:lumMod val="95000"/>
          </a:schemeClr>
        </a:gs>
        <a:gs pos="0">
          <a:schemeClr val="bg1"/>
        </a:gs>
      </a:gsLst>
      <a:path path="circle">
        <a:fillToRect l="50000" t="50000" r="50000" b="50000"/>
      </a:path>
      <a:tileRect/>
    </a:gradFill>
    <a:ln w="57150"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797008441014774E-2"/>
          <c:y val="0.15819209039548024"/>
          <c:w val="0.94015252004402683"/>
          <c:h val="0.502191613441768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Planilha1!$AB$9</c:f>
              <c:strCache>
                <c:ptCount val="1"/>
                <c:pt idx="0">
                  <c:v>Onda do bulbo</c:v>
                </c:pt>
              </c:strCache>
            </c:strRef>
          </c:tx>
          <c:spPr>
            <a:ln w="3810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Planilha1!$AA$30:$AA$46</c:f>
              <c:numCache>
                <c:formatCode>General</c:formatCode>
                <c:ptCount val="17"/>
                <c:pt idx="0">
                  <c:v>0</c:v>
                </c:pt>
                <c:pt idx="1">
                  <c:v>3.8000000000000003</c:v>
                </c:pt>
                <c:pt idx="2">
                  <c:v>7.6000000000000005</c:v>
                </c:pt>
                <c:pt idx="3">
                  <c:v>11.4</c:v>
                </c:pt>
                <c:pt idx="4">
                  <c:v>15.200000000000001</c:v>
                </c:pt>
                <c:pt idx="5">
                  <c:v>19</c:v>
                </c:pt>
                <c:pt idx="6">
                  <c:v>22.8</c:v>
                </c:pt>
                <c:pt idx="7">
                  <c:v>26.599999999999998</c:v>
                </c:pt>
                <c:pt idx="8">
                  <c:v>30.400000000000002</c:v>
                </c:pt>
                <c:pt idx="9">
                  <c:v>34.200000000000003</c:v>
                </c:pt>
                <c:pt idx="10">
                  <c:v>38</c:v>
                </c:pt>
                <c:pt idx="11">
                  <c:v>41.800000000000004</c:v>
                </c:pt>
                <c:pt idx="12">
                  <c:v>45.6</c:v>
                </c:pt>
                <c:pt idx="13">
                  <c:v>49.4</c:v>
                </c:pt>
                <c:pt idx="14">
                  <c:v>53.199999999999996</c:v>
                </c:pt>
                <c:pt idx="15">
                  <c:v>57</c:v>
                </c:pt>
                <c:pt idx="16">
                  <c:v>60.800000000000004</c:v>
                </c:pt>
              </c:numCache>
            </c:numRef>
          </c:xVal>
          <c:yVal>
            <c:numRef>
              <c:f>Planilha1!$AB$30:$AB$46</c:f>
              <c:numCache>
                <c:formatCode>General</c:formatCode>
                <c:ptCount val="17"/>
                <c:pt idx="0">
                  <c:v>0.28619157882201041</c:v>
                </c:pt>
                <c:pt idx="1">
                  <c:v>-0.51689485112824474</c:v>
                </c:pt>
                <c:pt idx="2">
                  <c:v>-0.98122027006982182</c:v>
                </c:pt>
                <c:pt idx="3">
                  <c:v>-0.80247646519243143</c:v>
                </c:pt>
                <c:pt idx="4">
                  <c:v>-9.7808020002052021E-2</c:v>
                </c:pt>
                <c:pt idx="5">
                  <c:v>0.67096155459275075</c:v>
                </c:pt>
                <c:pt idx="6">
                  <c:v>0.99999834004162247</c:v>
                </c:pt>
                <c:pt idx="7">
                  <c:v>0.67365918599317587</c:v>
                </c:pt>
                <c:pt idx="8">
                  <c:v>-9.4180722849424872E-2</c:v>
                </c:pt>
                <c:pt idx="9">
                  <c:v>-0.8002967495129707</c:v>
                </c:pt>
                <c:pt idx="10">
                  <c:v>-0.98191667144610117</c:v>
                </c:pt>
                <c:pt idx="11">
                  <c:v>-0.52001096409640435</c:v>
                </c:pt>
                <c:pt idx="12">
                  <c:v>0.28269798311607391</c:v>
                </c:pt>
                <c:pt idx="13">
                  <c:v>0.9001331665031197</c:v>
                </c:pt>
                <c:pt idx="14">
                  <c:v>0.92764175096688972</c:v>
                </c:pt>
                <c:pt idx="15">
                  <c:v>0.34719524219364745</c:v>
                </c:pt>
                <c:pt idx="16">
                  <c:v>-0.46079505233447177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0-476E-9E6F-E06CE9B92CD2}"/>
            </c:ext>
          </c:extLst>
        </c:ser>
        <c:ser>
          <c:idx val="4"/>
          <c:order val="1"/>
          <c:tx>
            <c:strRef>
              <c:f>Planilha1!$X$9</c:f>
              <c:strCache>
                <c:ptCount val="1"/>
                <c:pt idx="0">
                  <c:v>Onda da Proa</c:v>
                </c:pt>
              </c:strCache>
            </c:strRef>
          </c:tx>
          <c:spPr>
            <a:ln w="38100">
              <a:solidFill>
                <a:srgbClr val="00B0F0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Planilha1!$W$30:$W$46</c:f>
              <c:numCache>
                <c:formatCode>General</c:formatCode>
                <c:ptCount val="17"/>
                <c:pt idx="0">
                  <c:v>0</c:v>
                </c:pt>
                <c:pt idx="1">
                  <c:v>3.8000000000000003</c:v>
                </c:pt>
                <c:pt idx="2">
                  <c:v>7.6000000000000005</c:v>
                </c:pt>
                <c:pt idx="3">
                  <c:v>11.4</c:v>
                </c:pt>
                <c:pt idx="4">
                  <c:v>15.200000000000001</c:v>
                </c:pt>
                <c:pt idx="5">
                  <c:v>19</c:v>
                </c:pt>
                <c:pt idx="6">
                  <c:v>22.8</c:v>
                </c:pt>
                <c:pt idx="7">
                  <c:v>26.599999999999998</c:v>
                </c:pt>
                <c:pt idx="8">
                  <c:v>30.400000000000002</c:v>
                </c:pt>
                <c:pt idx="9">
                  <c:v>34.200000000000003</c:v>
                </c:pt>
                <c:pt idx="10">
                  <c:v>38</c:v>
                </c:pt>
                <c:pt idx="11">
                  <c:v>41.800000000000004</c:v>
                </c:pt>
                <c:pt idx="12">
                  <c:v>45.6</c:v>
                </c:pt>
                <c:pt idx="13">
                  <c:v>49.4</c:v>
                </c:pt>
                <c:pt idx="14">
                  <c:v>53.199999999999996</c:v>
                </c:pt>
                <c:pt idx="15">
                  <c:v>57</c:v>
                </c:pt>
                <c:pt idx="16">
                  <c:v>60.800000000000004</c:v>
                </c:pt>
              </c:numCache>
            </c:numRef>
          </c:xVal>
          <c:yVal>
            <c:numRef>
              <c:f>Planilha1!$X$30:$X$46</c:f>
              <c:numCache>
                <c:formatCode>General</c:formatCode>
                <c:ptCount val="17"/>
                <c:pt idx="0">
                  <c:v>0</c:v>
                </c:pt>
                <c:pt idx="1">
                  <c:v>0.74026837389309819</c:v>
                </c:pt>
                <c:pt idx="2">
                  <c:v>0.99538186142893725</c:v>
                </c:pt>
                <c:pt idx="3">
                  <c:v>0.59814494349767633</c:v>
                </c:pt>
                <c:pt idx="4">
                  <c:v>-0.19110242945498296</c:v>
                </c:pt>
                <c:pt idx="5">
                  <c:v>-0.85510566026329982</c:v>
                </c:pt>
                <c:pt idx="6">
                  <c:v>-0.95869228533884276</c:v>
                </c:pt>
                <c:pt idx="7">
                  <c:v>-0.43397401026162846</c:v>
                </c:pt>
                <c:pt idx="8">
                  <c:v>0.37516086162793283</c:v>
                </c:pt>
                <c:pt idx="9">
                  <c:v>0.93842392322849266</c:v>
                </c:pt>
                <c:pt idx="10">
                  <c:v>0.88666550358636032</c:v>
                </c:pt>
                <c:pt idx="11">
                  <c:v>0.25380688190930523</c:v>
                </c:pt>
                <c:pt idx="12">
                  <c:v>-0.54539093956609441</c:v>
                </c:pt>
                <c:pt idx="13">
                  <c:v>-0.98715206830000557</c:v>
                </c:pt>
                <c:pt idx="14">
                  <c:v>-0.78195640892374163</c:v>
                </c:pt>
                <c:pt idx="15">
                  <c:v>-6.4284482713859364E-2</c:v>
                </c:pt>
                <c:pt idx="16">
                  <c:v>0.69551801668471669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0-476E-9E6F-E06CE9B92CD2}"/>
            </c:ext>
          </c:extLst>
        </c:ser>
        <c:ser>
          <c:idx val="8"/>
          <c:order val="2"/>
          <c:tx>
            <c:strRef>
              <c:f>Planilha1!$AD$9</c:f>
              <c:strCache>
                <c:ptCount val="1"/>
                <c:pt idx="0">
                  <c:v>Onda resultante</c:v>
                </c:pt>
              </c:strCache>
            </c:strRef>
          </c:tx>
          <c:spPr>
            <a:ln w="539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Planilha1!$AA$30:$AA$70</c:f>
              <c:numCache>
                <c:formatCode>General</c:formatCode>
                <c:ptCount val="41"/>
                <c:pt idx="0">
                  <c:v>0</c:v>
                </c:pt>
                <c:pt idx="1">
                  <c:v>3.8000000000000003</c:v>
                </c:pt>
                <c:pt idx="2">
                  <c:v>7.6000000000000005</c:v>
                </c:pt>
                <c:pt idx="3">
                  <c:v>11.4</c:v>
                </c:pt>
                <c:pt idx="4">
                  <c:v>15.200000000000001</c:v>
                </c:pt>
                <c:pt idx="5">
                  <c:v>19</c:v>
                </c:pt>
                <c:pt idx="6">
                  <c:v>22.8</c:v>
                </c:pt>
                <c:pt idx="7">
                  <c:v>26.599999999999998</c:v>
                </c:pt>
                <c:pt idx="8">
                  <c:v>30.400000000000002</c:v>
                </c:pt>
                <c:pt idx="9">
                  <c:v>34.200000000000003</c:v>
                </c:pt>
                <c:pt idx="10">
                  <c:v>38</c:v>
                </c:pt>
                <c:pt idx="11">
                  <c:v>41.800000000000004</c:v>
                </c:pt>
                <c:pt idx="12">
                  <c:v>45.6</c:v>
                </c:pt>
                <c:pt idx="13">
                  <c:v>49.4</c:v>
                </c:pt>
                <c:pt idx="14">
                  <c:v>53.199999999999996</c:v>
                </c:pt>
                <c:pt idx="15">
                  <c:v>57</c:v>
                </c:pt>
                <c:pt idx="16">
                  <c:v>60.800000000000004</c:v>
                </c:pt>
                <c:pt idx="17">
                  <c:v>64.599999999999994</c:v>
                </c:pt>
                <c:pt idx="18">
                  <c:v>68.400000000000006</c:v>
                </c:pt>
                <c:pt idx="19">
                  <c:v>72.2</c:v>
                </c:pt>
                <c:pt idx="20">
                  <c:v>76</c:v>
                </c:pt>
                <c:pt idx="21">
                  <c:v>79.8</c:v>
                </c:pt>
                <c:pt idx="22">
                  <c:v>83.600000000000009</c:v>
                </c:pt>
                <c:pt idx="23">
                  <c:v>87.399999999999991</c:v>
                </c:pt>
                <c:pt idx="24">
                  <c:v>91.2</c:v>
                </c:pt>
                <c:pt idx="25">
                  <c:v>95</c:v>
                </c:pt>
                <c:pt idx="26">
                  <c:v>98.8</c:v>
                </c:pt>
                <c:pt idx="27">
                  <c:v>102.60000000000001</c:v>
                </c:pt>
                <c:pt idx="28">
                  <c:v>106.39999999999999</c:v>
                </c:pt>
                <c:pt idx="29">
                  <c:v>110.2</c:v>
                </c:pt>
                <c:pt idx="30">
                  <c:v>114</c:v>
                </c:pt>
                <c:pt idx="31">
                  <c:v>117.8</c:v>
                </c:pt>
                <c:pt idx="32">
                  <c:v>121.60000000000001</c:v>
                </c:pt>
                <c:pt idx="33">
                  <c:v>125.39999999999999</c:v>
                </c:pt>
                <c:pt idx="34">
                  <c:v>129.19999999999999</c:v>
                </c:pt>
                <c:pt idx="35">
                  <c:v>133</c:v>
                </c:pt>
                <c:pt idx="36">
                  <c:v>136.80000000000001</c:v>
                </c:pt>
                <c:pt idx="37">
                  <c:v>140.6</c:v>
                </c:pt>
                <c:pt idx="38">
                  <c:v>144.4</c:v>
                </c:pt>
                <c:pt idx="39">
                  <c:v>148.19999999999999</c:v>
                </c:pt>
                <c:pt idx="40">
                  <c:v>152</c:v>
                </c:pt>
              </c:numCache>
            </c:numRef>
          </c:xVal>
          <c:yVal>
            <c:numRef>
              <c:f>Planilha1!$AD$30:$AD$70</c:f>
              <c:numCache>
                <c:formatCode>General</c:formatCode>
                <c:ptCount val="41"/>
                <c:pt idx="0">
                  <c:v>0.28619157882201041</c:v>
                </c:pt>
                <c:pt idx="1">
                  <c:v>0.22337352276485345</c:v>
                </c:pt>
                <c:pt idx="2">
                  <c:v>1.4161591359115433E-2</c:v>
                </c:pt>
                <c:pt idx="3">
                  <c:v>-0.2043315216947551</c:v>
                </c:pt>
                <c:pt idx="4">
                  <c:v>-0.28891044945703498</c:v>
                </c:pt>
                <c:pt idx="5">
                  <c:v>-0.18414410567054906</c:v>
                </c:pt>
                <c:pt idx="6">
                  <c:v>4.1306054702779704E-2</c:v>
                </c:pt>
                <c:pt idx="7">
                  <c:v>0.23968517573154741</c:v>
                </c:pt>
                <c:pt idx="8">
                  <c:v>0.28098013877850797</c:v>
                </c:pt>
                <c:pt idx="9">
                  <c:v>0.13812717371552197</c:v>
                </c:pt>
                <c:pt idx="10">
                  <c:v>-9.525116785974086E-2</c:v>
                </c:pt>
                <c:pt idx="11">
                  <c:v>-0.26620408218709912</c:v>
                </c:pt>
                <c:pt idx="12">
                  <c:v>-0.2626929564500205</c:v>
                </c:pt>
                <c:pt idx="13">
                  <c:v>-8.7018901796885872E-2</c:v>
                </c:pt>
                <c:pt idx="14">
                  <c:v>0.14568534204314809</c:v>
                </c:pt>
                <c:pt idx="15">
                  <c:v>0.28291075947978805</c:v>
                </c:pt>
                <c:pt idx="16">
                  <c:v>0.23472296435024492</c:v>
                </c:pt>
                <c:pt idx="17">
                  <c:v>3.2703130583285334E-2</c:v>
                </c:pt>
                <c:pt idx="18">
                  <c:v>-0.19074958369188988</c:v>
                </c:pt>
                <c:pt idx="19">
                  <c:v>-0.28918940283006744</c:v>
                </c:pt>
                <c:pt idx="20">
                  <c:v>-0.19810113078707936</c:v>
                </c:pt>
                <c:pt idx="21">
                  <c:v>2.281807147491266E-2</c:v>
                </c:pt>
                <c:pt idx="22">
                  <c:v>0.22878283388276899</c:v>
                </c:pt>
                <c:pt idx="23">
                  <c:v>0.28480858270132481</c:v>
                </c:pt>
                <c:pt idx="24">
                  <c:v>0.1541773292122447</c:v>
                </c:pt>
                <c:pt idx="25">
                  <c:v>-7.7498203987795389E-2</c:v>
                </c:pt>
                <c:pt idx="26">
                  <c:v>-0.25838319462979287</c:v>
                </c:pt>
                <c:pt idx="27">
                  <c:v>-0.2699297752462595</c:v>
                </c:pt>
                <c:pt idx="28">
                  <c:v>-0.1045705821561882</c:v>
                </c:pt>
                <c:pt idx="29">
                  <c:v>0.12932176822046548</c:v>
                </c:pt>
                <c:pt idx="30">
                  <c:v>0.27845960256320784</c:v>
                </c:pt>
                <c:pt idx="31">
                  <c:v>0.24510141032822957</c:v>
                </c:pt>
                <c:pt idx="32">
                  <c:v>5.1109384381792466E-2</c:v>
                </c:pt>
                <c:pt idx="33">
                  <c:v>-0.17637855797281843</c:v>
                </c:pt>
                <c:pt idx="34">
                  <c:v>-0.28827204530682771</c:v>
                </c:pt>
                <c:pt idx="35">
                  <c:v>-0.21123865650631302</c:v>
                </c:pt>
                <c:pt idx="36">
                  <c:v>4.235695066418188E-3</c:v>
                </c:pt>
                <c:pt idx="37">
                  <c:v>0.21693406939756277</c:v>
                </c:pt>
                <c:pt idx="38">
                  <c:v>0.28745883818603424</c:v>
                </c:pt>
                <c:pt idx="39">
                  <c:v>0.16958968810546449</c:v>
                </c:pt>
                <c:pt idx="40">
                  <c:v>-5.9424647642662753E-2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00-476E-9E6F-E06CE9B9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08224"/>
        <c:axId val="1528128208"/>
      </c:scatterChart>
      <c:valAx>
        <c:axId val="1724008224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1528128208"/>
        <c:crosses val="autoZero"/>
        <c:crossBetween val="midCat"/>
        <c:majorUnit val="4"/>
      </c:valAx>
      <c:valAx>
        <c:axId val="1528128208"/>
        <c:scaling>
          <c:orientation val="minMax"/>
          <c:max val="2"/>
          <c:min val="-2"/>
        </c:scaling>
        <c:delete val="1"/>
        <c:axPos val="r"/>
        <c:numFmt formatCode="General" sourceLinked="1"/>
        <c:majorTickMark val="out"/>
        <c:minorTickMark val="none"/>
        <c:tickLblPos val="nextTo"/>
        <c:crossAx val="1724008224"/>
        <c:crosses val="autoZero"/>
        <c:crossBetween val="midCat"/>
      </c:valAx>
      <c:spPr>
        <a:noFill/>
      </c:spPr>
    </c:plotArea>
    <c:legend>
      <c:legendPos val="b"/>
      <c:overlay val="0"/>
      <c:txPr>
        <a:bodyPr/>
        <a:lstStyle/>
        <a:p>
          <a:pPr>
            <a:defRPr sz="105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823250004398"/>
          <c:y val="9.777784621371563E-2"/>
          <c:w val="0.70955086818077862"/>
          <c:h val="0.804444307572568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Planilha1!$AB$9</c:f>
              <c:strCache>
                <c:ptCount val="1"/>
                <c:pt idx="0">
                  <c:v>Onda do bulbo</c:v>
                </c:pt>
              </c:strCache>
            </c:strRef>
          </c:tx>
          <c:spPr>
            <a:ln w="3810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Planilha1!$AA$10:$AA$30</c:f>
              <c:numCache>
                <c:formatCode>General</c:formatCode>
                <c:ptCount val="21"/>
                <c:pt idx="0">
                  <c:v>-13</c:v>
                </c:pt>
                <c:pt idx="1">
                  <c:v>-12.35</c:v>
                </c:pt>
                <c:pt idx="2">
                  <c:v>-11.700000000000001</c:v>
                </c:pt>
                <c:pt idx="3">
                  <c:v>-11.049999999999999</c:v>
                </c:pt>
                <c:pt idx="4">
                  <c:v>-10.4</c:v>
                </c:pt>
                <c:pt idx="5">
                  <c:v>-9.75</c:v>
                </c:pt>
                <c:pt idx="6">
                  <c:v>-9.1</c:v>
                </c:pt>
                <c:pt idx="7">
                  <c:v>-8.4500000000000011</c:v>
                </c:pt>
                <c:pt idx="8">
                  <c:v>-7.8</c:v>
                </c:pt>
                <c:pt idx="9">
                  <c:v>-7.15</c:v>
                </c:pt>
                <c:pt idx="10">
                  <c:v>-6.5</c:v>
                </c:pt>
                <c:pt idx="11">
                  <c:v>-5.8500000000000005</c:v>
                </c:pt>
                <c:pt idx="12">
                  <c:v>-5.2</c:v>
                </c:pt>
                <c:pt idx="13">
                  <c:v>-4.55</c:v>
                </c:pt>
                <c:pt idx="14">
                  <c:v>-3.9</c:v>
                </c:pt>
                <c:pt idx="15">
                  <c:v>-3.25</c:v>
                </c:pt>
                <c:pt idx="16">
                  <c:v>-2.6</c:v>
                </c:pt>
                <c:pt idx="17">
                  <c:v>-1.95</c:v>
                </c:pt>
                <c:pt idx="18">
                  <c:v>-1.3</c:v>
                </c:pt>
                <c:pt idx="19">
                  <c:v>-0.65</c:v>
                </c:pt>
                <c:pt idx="20">
                  <c:v>0</c:v>
                </c:pt>
              </c:numCache>
            </c:numRef>
          </c:xVal>
          <c:yVal>
            <c:numRef>
              <c:f>Planilha1!$AB$10:$AB$30</c:f>
              <c:numCache>
                <c:formatCode>General</c:formatCode>
                <c:ptCount val="21"/>
                <c:pt idx="0">
                  <c:v>0</c:v>
                </c:pt>
                <c:pt idx="1">
                  <c:v>0.14208467813315381</c:v>
                </c:pt>
                <c:pt idx="2">
                  <c:v>0.28128631793832259</c:v>
                </c:pt>
                <c:pt idx="3">
                  <c:v>0.41478038078017088</c:v>
                </c:pt>
                <c:pt idx="4">
                  <c:v>0.53985814039216273</c:v>
                </c:pt>
                <c:pt idx="5">
                  <c:v>0.65398164560547656</c:v>
                </c:pt>
                <c:pt idx="6">
                  <c:v>0.75483521788265917</c:v>
                </c:pt>
                <c:pt idx="7">
                  <c:v>0.84037243872025458</c:v>
                </c:pt>
                <c:pt idx="8">
                  <c:v>0.90885767349963875</c:v>
                </c:pt>
                <c:pt idx="9">
                  <c:v>0.9589012892261477</c:v>
                </c:pt>
                <c:pt idx="10">
                  <c:v>0.98948785155382646</c:v>
                </c:pt>
                <c:pt idx="11">
                  <c:v>0.99999672895033354</c:v>
                </c:pt>
                <c:pt idx="12">
                  <c:v>0.99021468592317052</c:v>
                </c:pt>
                <c:pt idx="13">
                  <c:v>0.9603402097782443</c:v>
                </c:pt>
                <c:pt idx="14">
                  <c:v>0.91097948311656396</c:v>
                </c:pt>
                <c:pt idx="15">
                  <c:v>0.84313408379108679</c:v>
                </c:pt>
                <c:pt idx="16">
                  <c:v>0.75818066190372935</c:v>
                </c:pt>
                <c:pt idx="17">
                  <c:v>0.65784300621632485</c:v>
                </c:pt>
                <c:pt idx="18">
                  <c:v>0.54415706677561793</c:v>
                </c:pt>
                <c:pt idx="19">
                  <c:v>0.41942964347774708</c:v>
                </c:pt>
                <c:pt idx="20">
                  <c:v>0.28619157882201041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7-438F-AD8D-9E7F55C8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08224"/>
        <c:axId val="1528128208"/>
      </c:scatterChart>
      <c:valAx>
        <c:axId val="1724008224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1528128208"/>
        <c:crosses val="autoZero"/>
        <c:crossBetween val="midCat"/>
        <c:majorUnit val="4"/>
      </c:valAx>
      <c:valAx>
        <c:axId val="1528128208"/>
        <c:scaling>
          <c:orientation val="minMax"/>
          <c:max val="2"/>
          <c:min val="-2"/>
        </c:scaling>
        <c:delete val="1"/>
        <c:axPos val="r"/>
        <c:numFmt formatCode="General" sourceLinked="1"/>
        <c:majorTickMark val="out"/>
        <c:minorTickMark val="none"/>
        <c:tickLblPos val="nextTo"/>
        <c:crossAx val="1724008224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trlProps/ctrlProp1.xml><?xml version="1.0" encoding="utf-8"?>
<formControlPr xmlns="http://schemas.microsoft.com/office/spreadsheetml/2009/9/main" objectType="Spin" dx="22" fmlaLink="'INFLUENCIA DE BULBO'!$A$7" max="20" page="10" val="12"/>
</file>

<file path=xl/ctrlProps/ctrlProp2.xml><?xml version="1.0" encoding="utf-8"?>
<formControlPr xmlns="http://schemas.microsoft.com/office/spreadsheetml/2009/9/main" objectType="Spin" dx="22" fmlaLink="MAIN!$C$2" max="250" min="90" page="10" val="160"/>
</file>

<file path=xl/ctrlProps/ctrlProp3.xml><?xml version="1.0" encoding="utf-8"?>
<formControlPr xmlns="http://schemas.microsoft.com/office/spreadsheetml/2009/9/main" objectType="Spin" dx="22" fmlaLink="$C$3" max="30" min="9" page="10" val="20"/>
</file>

<file path=xl/ctrlProps/ctrlProp4.xml><?xml version="1.0" encoding="utf-8"?>
<formControlPr xmlns="http://schemas.microsoft.com/office/spreadsheetml/2009/9/main" objectType="Spin" dx="22" fmlaLink="$C$4" max="15" min="4" page="10" val="6"/>
</file>

<file path=xl/ctrlProps/ctrlProp5.xml><?xml version="1.0" encoding="utf-8"?>
<formControlPr xmlns="http://schemas.microsoft.com/office/spreadsheetml/2009/9/main" objectType="Spin" dx="22" fmlaLink="MAIN!$C$7" max="21" min="2" page="10" val="13"/>
</file>

<file path=xl/ctrlProps/ctrlProp6.xml><?xml version="1.0" encoding="utf-8"?>
<formControlPr xmlns="http://schemas.microsoft.com/office/spreadsheetml/2009/9/main" objectType="Spin" dx="22" fmlaLink="$C$6" max="30" page="10" val="13"/>
</file>

<file path=xl/ctrlProps/ctrlProp7.xml><?xml version="1.0" encoding="utf-8"?>
<formControlPr xmlns="http://schemas.microsoft.com/office/spreadsheetml/2009/9/main" objectType="Radio" checked="Checked" firstButton="1" fmlaLink="Planilha2!$A$1" lockText="1" noThreeD="1"/>
</file>

<file path=xl/ctrlProps/ctrlProp8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feed/update/urn:li:activity:6557736970364211200" TargetMode="External"/><Relationship Id="rId3" Type="http://schemas.openxmlformats.org/officeDocument/2006/relationships/chart" Target="../charts/chart2.xml"/><Relationship Id="rId7" Type="http://schemas.openxmlformats.org/officeDocument/2006/relationships/hyperlink" Target="https://www.linkedin.com/feed/update/urn:li:activity:6555058541244268545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hyperlink" Target="https://www.linkedin.com/feed/update/urn:li:activity:6552942030786486272" TargetMode="External"/><Relationship Id="rId5" Type="http://schemas.openxmlformats.org/officeDocument/2006/relationships/hyperlink" Target="https://www.linkedin.com/feed/update/urn:li:activity:6561995596931100673" TargetMode="External"/><Relationship Id="rId10" Type="http://schemas.microsoft.com/office/2007/relationships/hdphoto" Target="../media/hdphoto1.wdp"/><Relationship Id="rId4" Type="http://schemas.openxmlformats.org/officeDocument/2006/relationships/chart" Target="../charts/chart3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</xdr:row>
      <xdr:rowOff>19051</xdr:rowOff>
    </xdr:from>
    <xdr:to>
      <xdr:col>16</xdr:col>
      <xdr:colOff>597901</xdr:colOff>
      <xdr:row>8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4</xdr:row>
          <xdr:rowOff>38100</xdr:rowOff>
        </xdr:from>
        <xdr:to>
          <xdr:col>4</xdr:col>
          <xdr:colOff>466725</xdr:colOff>
          <xdr:row>4</xdr:row>
          <xdr:rowOff>400050</xdr:rowOff>
        </xdr:to>
        <xdr:sp macro="" textlink="">
          <xdr:nvSpPr>
            <xdr:cNvPr id="1225" name="Spinner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1</xdr:row>
          <xdr:rowOff>28575</xdr:rowOff>
        </xdr:from>
        <xdr:to>
          <xdr:col>4</xdr:col>
          <xdr:colOff>466725</xdr:colOff>
          <xdr:row>1</xdr:row>
          <xdr:rowOff>400050</xdr:rowOff>
        </xdr:to>
        <xdr:sp macro="" textlink="">
          <xdr:nvSpPr>
            <xdr:cNvPr id="1227" name="Spinner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2</xdr:row>
          <xdr:rowOff>28575</xdr:rowOff>
        </xdr:from>
        <xdr:to>
          <xdr:col>4</xdr:col>
          <xdr:colOff>466725</xdr:colOff>
          <xdr:row>2</xdr:row>
          <xdr:rowOff>400050</xdr:rowOff>
        </xdr:to>
        <xdr:sp macro="" textlink="">
          <xdr:nvSpPr>
            <xdr:cNvPr id="1228" name="Spinner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3</xdr:row>
          <xdr:rowOff>9525</xdr:rowOff>
        </xdr:from>
        <xdr:to>
          <xdr:col>4</xdr:col>
          <xdr:colOff>466725</xdr:colOff>
          <xdr:row>3</xdr:row>
          <xdr:rowOff>390525</xdr:rowOff>
        </xdr:to>
        <xdr:sp macro="" textlink="">
          <xdr:nvSpPr>
            <xdr:cNvPr id="1229" name="Spinner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6</xdr:row>
          <xdr:rowOff>38100</xdr:rowOff>
        </xdr:from>
        <xdr:to>
          <xdr:col>4</xdr:col>
          <xdr:colOff>466725</xdr:colOff>
          <xdr:row>6</xdr:row>
          <xdr:rowOff>409575</xdr:rowOff>
        </xdr:to>
        <xdr:sp macro="" textlink="">
          <xdr:nvSpPr>
            <xdr:cNvPr id="1235" name="Spinner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0</xdr:colOff>
      <xdr:row>8</xdr:row>
      <xdr:rowOff>66675</xdr:rowOff>
    </xdr:from>
    <xdr:to>
      <xdr:col>16</xdr:col>
      <xdr:colOff>581025</xdr:colOff>
      <xdr:row>24</xdr:row>
      <xdr:rowOff>168815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0" y="3781425"/>
          <a:ext cx="11991975" cy="3550190"/>
          <a:chOff x="0" y="12315825"/>
          <a:chExt cx="12011334" cy="3397790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2315825"/>
            <a:ext cx="12011334" cy="3397790"/>
          </a:xfrm>
          <a:prstGeom prst="rect">
            <a:avLst/>
          </a:prstGeom>
          <a:ln w="57150">
            <a:solidFill>
              <a:schemeClr val="tx1"/>
            </a:solidFill>
          </a:ln>
        </xdr:spPr>
      </xdr:pic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aphicFramePr/>
        </xdr:nvGraphicFramePr>
        <xdr:xfrm>
          <a:off x="710453" y="13416174"/>
          <a:ext cx="9938497" cy="2100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aphicFramePr>
            <a:graphicFrameLocks/>
          </xdr:cNvGraphicFramePr>
        </xdr:nvGraphicFramePr>
        <xdr:xfrm>
          <a:off x="10140740" y="13543360"/>
          <a:ext cx="1136860" cy="14287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5</xdr:row>
          <xdr:rowOff>38100</xdr:rowOff>
        </xdr:from>
        <xdr:to>
          <xdr:col>4</xdr:col>
          <xdr:colOff>466725</xdr:colOff>
          <xdr:row>5</xdr:row>
          <xdr:rowOff>409575</xdr:rowOff>
        </xdr:to>
        <xdr:sp macro="" textlink="">
          <xdr:nvSpPr>
            <xdr:cNvPr id="1237" name="Spinner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247650</xdr:colOff>
      <xdr:row>8</xdr:row>
      <xdr:rowOff>95250</xdr:rowOff>
    </xdr:from>
    <xdr:to>
      <xdr:col>16</xdr:col>
      <xdr:colOff>590550</xdr:colOff>
      <xdr:row>9</xdr:row>
      <xdr:rowOff>152400</xdr:rowOff>
    </xdr:to>
    <xdr:sp macro="" textlink="Planilha1!AF31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077075" y="3724275"/>
          <a:ext cx="4848225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FF6E048-45B5-4458-B1A1-B9C163B4C7F5}" type="TxLink">
            <a:rPr lang="en-US" sz="1100" b="1" i="0" u="none" strike="noStrike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Bulbo está reduzindo o efeito de onda ao longo do casco</a:t>
          </a:fld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85724</xdr:colOff>
      <xdr:row>8</xdr:row>
      <xdr:rowOff>190500</xdr:rowOff>
    </xdr:from>
    <xdr:to>
      <xdr:col>5</xdr:col>
      <xdr:colOff>428625</xdr:colOff>
      <xdr:row>12</xdr:row>
      <xdr:rowOff>28575</xdr:rowOff>
    </xdr:to>
    <xdr:sp macro="" textlink="Planilha1!G12">
      <xdr:nvSpPr>
        <xdr:cNvPr id="3" name="Seta: para a Direi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57449" y="3819525"/>
          <a:ext cx="2343151" cy="819150"/>
        </a:xfrm>
        <a:custGeom>
          <a:avLst/>
          <a:gdLst>
            <a:gd name="connsiteX0" fmla="*/ 0 w 2343151"/>
            <a:gd name="connsiteY0" fmla="*/ 204788 h 819150"/>
            <a:gd name="connsiteX1" fmla="*/ 1695449 w 2343151"/>
            <a:gd name="connsiteY1" fmla="*/ 204788 h 819150"/>
            <a:gd name="connsiteX2" fmla="*/ 1695449 w 2343151"/>
            <a:gd name="connsiteY2" fmla="*/ 0 h 819150"/>
            <a:gd name="connsiteX3" fmla="*/ 2343151 w 2343151"/>
            <a:gd name="connsiteY3" fmla="*/ 409575 h 819150"/>
            <a:gd name="connsiteX4" fmla="*/ 1695449 w 2343151"/>
            <a:gd name="connsiteY4" fmla="*/ 819150 h 819150"/>
            <a:gd name="connsiteX5" fmla="*/ 1695449 w 2343151"/>
            <a:gd name="connsiteY5" fmla="*/ 614363 h 819150"/>
            <a:gd name="connsiteX6" fmla="*/ 0 w 2343151"/>
            <a:gd name="connsiteY6" fmla="*/ 614363 h 819150"/>
            <a:gd name="connsiteX7" fmla="*/ 0 w 2343151"/>
            <a:gd name="connsiteY7" fmla="*/ 204788 h 819150"/>
            <a:gd name="connsiteX0" fmla="*/ 0 w 2343151"/>
            <a:gd name="connsiteY0" fmla="*/ 204788 h 819150"/>
            <a:gd name="connsiteX1" fmla="*/ 1695449 w 2343151"/>
            <a:gd name="connsiteY1" fmla="*/ 204788 h 819150"/>
            <a:gd name="connsiteX2" fmla="*/ 1695449 w 2343151"/>
            <a:gd name="connsiteY2" fmla="*/ 0 h 819150"/>
            <a:gd name="connsiteX3" fmla="*/ 2343151 w 2343151"/>
            <a:gd name="connsiteY3" fmla="*/ 409575 h 819150"/>
            <a:gd name="connsiteX4" fmla="*/ 1695449 w 2343151"/>
            <a:gd name="connsiteY4" fmla="*/ 819150 h 819150"/>
            <a:gd name="connsiteX5" fmla="*/ 1762124 w 2343151"/>
            <a:gd name="connsiteY5" fmla="*/ 614363 h 819150"/>
            <a:gd name="connsiteX6" fmla="*/ 0 w 2343151"/>
            <a:gd name="connsiteY6" fmla="*/ 614363 h 819150"/>
            <a:gd name="connsiteX7" fmla="*/ 0 w 2343151"/>
            <a:gd name="connsiteY7" fmla="*/ 204788 h 819150"/>
            <a:gd name="connsiteX0" fmla="*/ 0 w 2343151"/>
            <a:gd name="connsiteY0" fmla="*/ 204788 h 819150"/>
            <a:gd name="connsiteX1" fmla="*/ 1752599 w 2343151"/>
            <a:gd name="connsiteY1" fmla="*/ 204788 h 819150"/>
            <a:gd name="connsiteX2" fmla="*/ 1695449 w 2343151"/>
            <a:gd name="connsiteY2" fmla="*/ 0 h 819150"/>
            <a:gd name="connsiteX3" fmla="*/ 2343151 w 2343151"/>
            <a:gd name="connsiteY3" fmla="*/ 409575 h 819150"/>
            <a:gd name="connsiteX4" fmla="*/ 1695449 w 2343151"/>
            <a:gd name="connsiteY4" fmla="*/ 819150 h 819150"/>
            <a:gd name="connsiteX5" fmla="*/ 1762124 w 2343151"/>
            <a:gd name="connsiteY5" fmla="*/ 614363 h 819150"/>
            <a:gd name="connsiteX6" fmla="*/ 0 w 2343151"/>
            <a:gd name="connsiteY6" fmla="*/ 614363 h 819150"/>
            <a:gd name="connsiteX7" fmla="*/ 0 w 2343151"/>
            <a:gd name="connsiteY7" fmla="*/ 204788 h 819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343151" h="819150">
              <a:moveTo>
                <a:pt x="0" y="204788"/>
              </a:moveTo>
              <a:lnTo>
                <a:pt x="1752599" y="204788"/>
              </a:lnTo>
              <a:lnTo>
                <a:pt x="1695449" y="0"/>
              </a:lnTo>
              <a:lnTo>
                <a:pt x="2343151" y="409575"/>
              </a:lnTo>
              <a:lnTo>
                <a:pt x="1695449" y="819150"/>
              </a:lnTo>
              <a:lnTo>
                <a:pt x="1762124" y="614363"/>
              </a:lnTo>
              <a:lnTo>
                <a:pt x="0" y="614363"/>
              </a:lnTo>
              <a:lnTo>
                <a:pt x="0" y="204788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40EF34D-64C6-4E41-87D4-CA9F304CCEED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Velocidade sugerida para este comprimento de bulbo 12.39Nós</a:t>
          </a:fld>
          <a:endParaRPr lang="pt-BR" sz="900"/>
        </a:p>
      </xdr:txBody>
    </xdr:sp>
    <xdr:clientData/>
  </xdr:twoCellAnchor>
  <xdr:twoCellAnchor>
    <xdr:from>
      <xdr:col>10</xdr:col>
      <xdr:colOff>361951</xdr:colOff>
      <xdr:row>21</xdr:row>
      <xdr:rowOff>38100</xdr:rowOff>
    </xdr:from>
    <xdr:to>
      <xdr:col>16</xdr:col>
      <xdr:colOff>438151</xdr:colOff>
      <xdr:row>23</xdr:row>
      <xdr:rowOff>171450</xdr:rowOff>
    </xdr:to>
    <xdr:sp macro="" textlink="Planilha1!G13">
      <xdr:nvSpPr>
        <xdr:cNvPr id="18" name="Retângul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115301" y="6515100"/>
          <a:ext cx="373380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95B78FDF-733D-4AC9-9BEC-033EBD954B6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Comprimento do bulbo sugerido para esta velocidade 14.32m</a:t>
          </a:fld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190502</xdr:colOff>
      <xdr:row>22</xdr:row>
      <xdr:rowOff>47625</xdr:rowOff>
    </xdr:from>
    <xdr:to>
      <xdr:col>16</xdr:col>
      <xdr:colOff>447676</xdr:colOff>
      <xdr:row>24</xdr:row>
      <xdr:rowOff>180975</xdr:rowOff>
    </xdr:to>
    <xdr:sp macro="" textlink="Planilha1!G14">
      <xdr:nvSpPr>
        <xdr:cNvPr id="19" name="Retângul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163052" y="6724650"/>
          <a:ext cx="2695574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BAE532EF-558E-4C7E-862C-D342C48A743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Altura do centro do bulbo sugerida 2.34m</a:t>
          </a:fld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19050</xdr:colOff>
      <xdr:row>1</xdr:row>
      <xdr:rowOff>19051</xdr:rowOff>
    </xdr:from>
    <xdr:to>
      <xdr:col>2</xdr:col>
      <xdr:colOff>723900</xdr:colOff>
      <xdr:row>1</xdr:row>
      <xdr:rowOff>419101</xdr:rowOff>
    </xdr:to>
    <xdr:sp macro="" textlink="C2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390775" y="419101"/>
          <a:ext cx="704850" cy="400050"/>
        </a:xfrm>
        <a:prstGeom prst="rect">
          <a:avLst/>
        </a:prstGeom>
        <a:solidFill>
          <a:schemeClr val="bg1"/>
        </a:solidFill>
        <a:scene3d>
          <a:camera prst="orthographicFront"/>
          <a:lightRig rig="threePt" dir="t"/>
        </a:scene3d>
        <a:sp3d extrusionH="19050">
          <a:bevelT w="50800" h="50800" prst="slope"/>
          <a:bevelB w="50800" h="50800" prst="slope"/>
          <a:extrusionClr>
            <a:schemeClr val="bg2"/>
          </a:extrusionClr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673DB27-604E-49F9-89B2-5E1F441F1B2D}" type="TxLink"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160</a:t>
          </a:fld>
          <a:endParaRPr lang="pt-BR" sz="1100"/>
        </a:p>
      </xdr:txBody>
    </xdr:sp>
    <xdr:clientData/>
  </xdr:twoCellAnchor>
  <xdr:twoCellAnchor>
    <xdr:from>
      <xdr:col>2</xdr:col>
      <xdr:colOff>19050</xdr:colOff>
      <xdr:row>2</xdr:row>
      <xdr:rowOff>0</xdr:rowOff>
    </xdr:from>
    <xdr:to>
      <xdr:col>2</xdr:col>
      <xdr:colOff>723900</xdr:colOff>
      <xdr:row>2</xdr:row>
      <xdr:rowOff>400050</xdr:rowOff>
    </xdr:to>
    <xdr:sp macro="" textlink="C3">
      <xdr:nvSpPr>
        <xdr:cNvPr id="21" name="Retângul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390775" y="838200"/>
          <a:ext cx="704850" cy="400050"/>
        </a:xfrm>
        <a:prstGeom prst="rect">
          <a:avLst/>
        </a:prstGeom>
        <a:solidFill>
          <a:schemeClr val="bg1"/>
        </a:solidFill>
        <a:scene3d>
          <a:camera prst="orthographicFront"/>
          <a:lightRig rig="threePt" dir="t"/>
        </a:scene3d>
        <a:sp3d extrusionH="19050">
          <a:bevelT w="50800" h="50800" prst="slope"/>
          <a:bevelB w="50800" h="50800" prst="slope"/>
          <a:extrusionClr>
            <a:schemeClr val="bg2"/>
          </a:extrusionClr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EF571BE-CE19-4663-BB6C-9AB8B7EC524E}" type="TxLink"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20</a:t>
          </a:fld>
          <a:endParaRPr lang="pt-BR" sz="1100"/>
        </a:p>
      </xdr:txBody>
    </xdr:sp>
    <xdr:clientData/>
  </xdr:twoCellAnchor>
  <xdr:twoCellAnchor>
    <xdr:from>
      <xdr:col>2</xdr:col>
      <xdr:colOff>19050</xdr:colOff>
      <xdr:row>3</xdr:row>
      <xdr:rowOff>0</xdr:rowOff>
    </xdr:from>
    <xdr:to>
      <xdr:col>2</xdr:col>
      <xdr:colOff>723900</xdr:colOff>
      <xdr:row>3</xdr:row>
      <xdr:rowOff>400050</xdr:rowOff>
    </xdr:to>
    <xdr:sp macro="" textlink="C4">
      <xdr:nvSpPr>
        <xdr:cNvPr id="22" name="Retângul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390775" y="1276350"/>
          <a:ext cx="704850" cy="400050"/>
        </a:xfrm>
        <a:prstGeom prst="rect">
          <a:avLst/>
        </a:prstGeom>
        <a:solidFill>
          <a:schemeClr val="bg1"/>
        </a:solidFill>
        <a:scene3d>
          <a:camera prst="orthographicFront"/>
          <a:lightRig rig="threePt" dir="t"/>
        </a:scene3d>
        <a:sp3d extrusionH="19050">
          <a:bevelT w="50800" h="50800" prst="slope"/>
          <a:bevelB w="50800" h="50800" prst="slope"/>
          <a:extrusionClr>
            <a:schemeClr val="bg2"/>
          </a:extrusionClr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CA6F902-B6D2-4B6C-8F7B-0013C421761F}" type="TxLink"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6</a:t>
          </a:fld>
          <a:endParaRPr lang="pt-BR" sz="1100"/>
        </a:p>
      </xdr:txBody>
    </xdr:sp>
    <xdr:clientData/>
  </xdr:twoCellAnchor>
  <xdr:twoCellAnchor>
    <xdr:from>
      <xdr:col>2</xdr:col>
      <xdr:colOff>19050</xdr:colOff>
      <xdr:row>4</xdr:row>
      <xdr:rowOff>0</xdr:rowOff>
    </xdr:from>
    <xdr:to>
      <xdr:col>2</xdr:col>
      <xdr:colOff>723900</xdr:colOff>
      <xdr:row>4</xdr:row>
      <xdr:rowOff>400050</xdr:rowOff>
    </xdr:to>
    <xdr:sp macro="" textlink="C5">
      <xdr:nvSpPr>
        <xdr:cNvPr id="23" name="Retângul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390775" y="1714500"/>
          <a:ext cx="704850" cy="400050"/>
        </a:xfrm>
        <a:prstGeom prst="rect">
          <a:avLst/>
        </a:prstGeom>
        <a:solidFill>
          <a:schemeClr val="bg1"/>
        </a:solidFill>
        <a:scene3d>
          <a:camera prst="orthographicFront"/>
          <a:lightRig rig="threePt" dir="t"/>
        </a:scene3d>
        <a:sp3d extrusionH="19050">
          <a:bevelT w="50800" h="50800" prst="slope"/>
          <a:bevelB w="50800" h="50800" prst="slope"/>
          <a:extrusionClr>
            <a:schemeClr val="bg2"/>
          </a:extrusionClr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756061C-BF1A-41BE-B78B-E5E93404030A}" type="TxLink"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2.16</a:t>
          </a:fld>
          <a:endParaRPr lang="pt-BR" sz="1100"/>
        </a:p>
      </xdr:txBody>
    </xdr:sp>
    <xdr:clientData/>
  </xdr:twoCellAnchor>
  <xdr:twoCellAnchor>
    <xdr:from>
      <xdr:col>2</xdr:col>
      <xdr:colOff>19050</xdr:colOff>
      <xdr:row>5</xdr:row>
      <xdr:rowOff>0</xdr:rowOff>
    </xdr:from>
    <xdr:to>
      <xdr:col>2</xdr:col>
      <xdr:colOff>723900</xdr:colOff>
      <xdr:row>5</xdr:row>
      <xdr:rowOff>400050</xdr:rowOff>
    </xdr:to>
    <xdr:sp macro="" textlink="C6">
      <xdr:nvSpPr>
        <xdr:cNvPr id="24" name="Retângul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390775" y="2152650"/>
          <a:ext cx="704850" cy="400050"/>
        </a:xfrm>
        <a:prstGeom prst="rect">
          <a:avLst/>
        </a:prstGeom>
        <a:solidFill>
          <a:schemeClr val="bg1"/>
        </a:solidFill>
        <a:scene3d>
          <a:camera prst="orthographicFront"/>
          <a:lightRig rig="threePt" dir="t"/>
        </a:scene3d>
        <a:sp3d extrusionH="19050">
          <a:bevelT w="50800" h="50800" prst="slope"/>
          <a:bevelB w="50800" h="50800" prst="slope"/>
          <a:extrusionClr>
            <a:schemeClr val="bg2"/>
          </a:extrusionClr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098505C-3F1F-4A89-93C5-65750647B889}" type="TxLink"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13</a:t>
          </a:fld>
          <a:endParaRPr lang="pt-BR" sz="1100"/>
        </a:p>
      </xdr:txBody>
    </xdr:sp>
    <xdr:clientData/>
  </xdr:twoCellAnchor>
  <xdr:twoCellAnchor>
    <xdr:from>
      <xdr:col>2</xdr:col>
      <xdr:colOff>19050</xdr:colOff>
      <xdr:row>6</xdr:row>
      <xdr:rowOff>0</xdr:rowOff>
    </xdr:from>
    <xdr:to>
      <xdr:col>2</xdr:col>
      <xdr:colOff>723900</xdr:colOff>
      <xdr:row>6</xdr:row>
      <xdr:rowOff>400050</xdr:rowOff>
    </xdr:to>
    <xdr:sp macro="" textlink="C7">
      <xdr:nvSpPr>
        <xdr:cNvPr id="25" name="Retângul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390775" y="2590800"/>
          <a:ext cx="704850" cy="400050"/>
        </a:xfrm>
        <a:prstGeom prst="rect">
          <a:avLst/>
        </a:prstGeom>
        <a:solidFill>
          <a:schemeClr val="bg1"/>
        </a:solidFill>
        <a:scene3d>
          <a:camera prst="orthographicFront"/>
          <a:lightRig rig="threePt" dir="t"/>
        </a:scene3d>
        <a:sp3d extrusionH="19050">
          <a:bevelT w="50800" h="50800" prst="slope"/>
          <a:bevelB w="50800" h="50800" prst="slope"/>
          <a:extrusionClr>
            <a:schemeClr val="bg2"/>
          </a:extrusionClr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A261C49-6FD1-4D40-8A4C-90E240C206CE}" type="TxLink">
            <a:rPr lang="en-US" sz="11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13</a:t>
          </a:fld>
          <a:endParaRPr lang="pt-BR" sz="1100"/>
        </a:p>
      </xdr:txBody>
    </xdr:sp>
    <xdr:clientData/>
  </xdr:twoCellAnchor>
  <xdr:twoCellAnchor>
    <xdr:from>
      <xdr:col>17</xdr:col>
      <xdr:colOff>19050</xdr:colOff>
      <xdr:row>4</xdr:row>
      <xdr:rowOff>428626</xdr:rowOff>
    </xdr:from>
    <xdr:to>
      <xdr:col>19</xdr:col>
      <xdr:colOff>828675</xdr:colOff>
      <xdr:row>24</xdr:row>
      <xdr:rowOff>180975</xdr:rowOff>
    </xdr:to>
    <xdr:sp macro="" textlink="Planilha2!A11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039600" y="2143126"/>
          <a:ext cx="3790950" cy="5114924"/>
        </a:xfrm>
        <a:prstGeom prst="rect">
          <a:avLst/>
        </a:prstGeom>
        <a:gradFill>
          <a:gsLst>
            <a:gs pos="100000">
              <a:schemeClr val="bg1">
                <a:lumMod val="75000"/>
              </a:schemeClr>
            </a:gs>
            <a:gs pos="49000">
              <a:schemeClr val="bg1">
                <a:lumMod val="85000"/>
              </a:schemeClr>
            </a:gs>
            <a:gs pos="0">
              <a:schemeClr val="bg1">
                <a:lumMod val="95000"/>
              </a:schemeClr>
            </a:gs>
          </a:gsLst>
          <a:lin ang="5400000" scaled="1"/>
        </a:gra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0941FBF-21DC-42F0-8E79-CE28678B43B7}" type="TxLink">
            <a:rPr lang="en-US" sz="16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
Outros artigos:</a:t>
          </a:fld>
          <a:endParaRPr lang="pt-BR" sz="1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200025</xdr:colOff>
      <xdr:row>5</xdr:row>
      <xdr:rowOff>161925</xdr:rowOff>
    </xdr:from>
    <xdr:to>
      <xdr:col>19</xdr:col>
      <xdr:colOff>628650</xdr:colOff>
      <xdr:row>6</xdr:row>
      <xdr:rowOff>171450</xdr:rowOff>
    </xdr:to>
    <xdr:sp macro="" textlink="Planilha2!A12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220575" y="2314575"/>
          <a:ext cx="3409950" cy="447675"/>
        </a:xfrm>
        <a:prstGeom prst="rect">
          <a:avLst/>
        </a:prstGeom>
        <a:solidFill>
          <a:schemeClr val="bg1">
            <a:lumMod val="75000"/>
          </a:schemeClr>
        </a:solidFill>
        <a:scene3d>
          <a:camera prst="orthographicFront"/>
          <a:lightRig rig="threePt" dir="t"/>
        </a:scene3d>
        <a:sp3d>
          <a:bevelT prst="slope"/>
          <a:bevelB w="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AB868C6-E6C1-4BB7-82A0-F46385A06BA7}" type="TxLink">
            <a:rPr lang="en-US" sz="12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Ir para o artigo</a:t>
          </a:fld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219075</xdr:colOff>
      <xdr:row>7</xdr:row>
      <xdr:rowOff>285750</xdr:rowOff>
    </xdr:from>
    <xdr:to>
      <xdr:col>19</xdr:col>
      <xdr:colOff>647700</xdr:colOff>
      <xdr:row>8</xdr:row>
      <xdr:rowOff>133350</xdr:rowOff>
    </xdr:to>
    <xdr:sp macro="" textlink="Planilha2!A13">
      <xdr:nvSpPr>
        <xdr:cNvPr id="27" name="Retângulo 2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2239625" y="3314700"/>
          <a:ext cx="3409950" cy="447675"/>
        </a:xfrm>
        <a:prstGeom prst="rect">
          <a:avLst/>
        </a:prstGeom>
        <a:solidFill>
          <a:schemeClr val="bg1">
            <a:lumMod val="75000"/>
          </a:schemeClr>
        </a:solidFill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FD0CF83-6188-449A-B45C-C3D7CEA7B89D}" type="TxLink">
            <a:rPr lang="en-US" sz="12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Calado X Profundidade</a:t>
          </a:fld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228600</xdr:colOff>
      <xdr:row>8</xdr:row>
      <xdr:rowOff>276225</xdr:rowOff>
    </xdr:from>
    <xdr:to>
      <xdr:col>19</xdr:col>
      <xdr:colOff>657225</xdr:colOff>
      <xdr:row>10</xdr:row>
      <xdr:rowOff>85725</xdr:rowOff>
    </xdr:to>
    <xdr:sp macro="" textlink="Planilha2!A14">
      <xdr:nvSpPr>
        <xdr:cNvPr id="28" name="Retângulo 2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2249150" y="3905250"/>
          <a:ext cx="3409950" cy="447675"/>
        </a:xfrm>
        <a:prstGeom prst="rect">
          <a:avLst/>
        </a:prstGeom>
        <a:solidFill>
          <a:schemeClr val="bg1">
            <a:lumMod val="75000"/>
          </a:schemeClr>
        </a:solidFill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9325851-2FCF-4B09-9587-E8E70AB49405}" type="TxLink">
            <a:rPr lang="en-US" sz="12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Tração estática</a:t>
          </a:fld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238125</xdr:colOff>
      <xdr:row>11</xdr:row>
      <xdr:rowOff>38100</xdr:rowOff>
    </xdr:from>
    <xdr:to>
      <xdr:col>19</xdr:col>
      <xdr:colOff>666750</xdr:colOff>
      <xdr:row>13</xdr:row>
      <xdr:rowOff>76200</xdr:rowOff>
    </xdr:to>
    <xdr:sp macro="" textlink="Planilha2!A15">
      <xdr:nvSpPr>
        <xdr:cNvPr id="29" name="Retângulo 2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2258675" y="4505325"/>
          <a:ext cx="3409950" cy="447675"/>
        </a:xfrm>
        <a:prstGeom prst="rect">
          <a:avLst/>
        </a:prstGeom>
        <a:solidFill>
          <a:schemeClr val="bg1">
            <a:lumMod val="75000"/>
          </a:schemeClr>
        </a:solidFill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D2DCD92-DB75-4F18-A430-01DBAA15C409}" type="TxLink">
            <a:rPr lang="en-US" sz="12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Marcas de calado</a:t>
          </a:fld>
          <a:endParaRPr lang="pt-BR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295275</xdr:rowOff>
    </xdr:from>
    <xdr:to>
      <xdr:col>1</xdr:col>
      <xdr:colOff>438150</xdr:colOff>
      <xdr:row>9</xdr:row>
      <xdr:rowOff>47625</xdr:rowOff>
    </xdr:to>
    <xdr:sp macro="" textlink="bulbo!J5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3924300"/>
          <a:ext cx="80962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178EFAD2-605A-45D9-BEE9-7D785BB924C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L  160m</a:t>
          </a:fld>
          <a:endParaRPr lang="pt-BR" sz="1100"/>
        </a:p>
      </xdr:txBody>
    </xdr:sp>
    <xdr:clientData/>
  </xdr:twoCellAnchor>
  <xdr:twoCellAnchor>
    <xdr:from>
      <xdr:col>0</xdr:col>
      <xdr:colOff>0</xdr:colOff>
      <xdr:row>9</xdr:row>
      <xdr:rowOff>76200</xdr:rowOff>
    </xdr:from>
    <xdr:to>
      <xdr:col>1</xdr:col>
      <xdr:colOff>438150</xdr:colOff>
      <xdr:row>10</xdr:row>
      <xdr:rowOff>66675</xdr:rowOff>
    </xdr:to>
    <xdr:sp macro="" textlink="bulbo!J6">
      <xdr:nvSpPr>
        <xdr:cNvPr id="30" name="Retângul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4143375"/>
          <a:ext cx="80962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29E7AE5E-B4FC-44A2-B814-D684EBD5B432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B 20m</a:t>
          </a:fld>
          <a:endParaRPr lang="pt-BR" sz="1100"/>
        </a:p>
      </xdr:txBody>
    </xdr:sp>
    <xdr:clientData/>
  </xdr:twoCellAnchor>
  <xdr:twoCellAnchor>
    <xdr:from>
      <xdr:col>0</xdr:col>
      <xdr:colOff>0</xdr:colOff>
      <xdr:row>10</xdr:row>
      <xdr:rowOff>76200</xdr:rowOff>
    </xdr:from>
    <xdr:to>
      <xdr:col>1</xdr:col>
      <xdr:colOff>438150</xdr:colOff>
      <xdr:row>11</xdr:row>
      <xdr:rowOff>66675</xdr:rowOff>
    </xdr:to>
    <xdr:sp macro="" textlink="bulbo!J7">
      <xdr:nvSpPr>
        <xdr:cNvPr id="31" name="Retângul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4343400"/>
          <a:ext cx="80962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2F351DEE-C129-4089-B06E-84A7186CD7B7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T 6m</a:t>
          </a:fld>
          <a:endParaRPr lang="pt-BR" sz="1100"/>
        </a:p>
      </xdr:txBody>
    </xdr:sp>
    <xdr:clientData/>
  </xdr:twoCellAnchor>
  <xdr:twoCellAnchor>
    <xdr:from>
      <xdr:col>0</xdr:col>
      <xdr:colOff>0</xdr:colOff>
      <xdr:row>11</xdr:row>
      <xdr:rowOff>85725</xdr:rowOff>
    </xdr:from>
    <xdr:to>
      <xdr:col>1</xdr:col>
      <xdr:colOff>752475</xdr:colOff>
      <xdr:row>12</xdr:row>
      <xdr:rowOff>95250</xdr:rowOff>
    </xdr:to>
    <xdr:sp macro="" textlink="bulbo!J19">
      <xdr:nvSpPr>
        <xdr:cNvPr id="32" name="Retângul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4552950"/>
          <a:ext cx="1123950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B3E4C0A-6F0B-4682-B3B2-F5878EE23AA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Δ 15744t</a:t>
          </a:fld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</xdr:col>
          <xdr:colOff>1828800</xdr:colOff>
          <xdr:row>0</xdr:row>
          <xdr:rowOff>228600</xdr:rowOff>
        </xdr:to>
        <xdr:sp macro="" textlink="">
          <xdr:nvSpPr>
            <xdr:cNvPr id="1238" name="Option Button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0C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Português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238125</xdr:rowOff>
        </xdr:from>
        <xdr:to>
          <xdr:col>1</xdr:col>
          <xdr:colOff>1828800</xdr:colOff>
          <xdr:row>0</xdr:row>
          <xdr:rowOff>457200</xdr:rowOff>
        </xdr:to>
        <xdr:sp macro="" textlink="">
          <xdr:nvSpPr>
            <xdr:cNvPr id="1239" name="Option Button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0C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English</a:t>
              </a:r>
            </a:p>
          </xdr:txBody>
        </xdr:sp>
        <xdr:clientData/>
      </xdr:twoCellAnchor>
    </mc:Choice>
    <mc:Fallback/>
  </mc:AlternateContent>
  <xdr:twoCellAnchor editAs="oneCell">
    <xdr:from>
      <xdr:col>17</xdr:col>
      <xdr:colOff>47625</xdr:colOff>
      <xdr:row>14</xdr:row>
      <xdr:rowOff>186555</xdr:rowOff>
    </xdr:from>
    <xdr:to>
      <xdr:col>19</xdr:col>
      <xdr:colOff>800100</xdr:colOff>
      <xdr:row>24</xdr:row>
      <xdr:rowOff>152400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75" y="5349105"/>
          <a:ext cx="3733800" cy="1966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14</xdr:row>
      <xdr:rowOff>0</xdr:rowOff>
    </xdr:from>
    <xdr:ext cx="65" cy="313099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3217236" y="5569527"/>
          <a:ext cx="65" cy="31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2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14</xdr:row>
      <xdr:rowOff>0</xdr:rowOff>
    </xdr:from>
    <xdr:ext cx="65" cy="31309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086725" y="3048000"/>
          <a:ext cx="65" cy="31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20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9B52-329C-4845-94D1-3B3239242475}">
  <dimension ref="A1:T25"/>
  <sheetViews>
    <sheetView showGridLines="0" tabSelected="1" zoomScaleNormal="100" workbookViewId="0">
      <selection activeCell="U7" sqref="U7"/>
    </sheetView>
  </sheetViews>
  <sheetFormatPr defaultRowHeight="14.25" x14ac:dyDescent="0.25"/>
  <cols>
    <col min="1" max="1" width="5.5703125" style="70" customWidth="1"/>
    <col min="2" max="2" width="30" style="77" customWidth="1"/>
    <col min="3" max="3" width="11.140625" style="70" customWidth="1"/>
    <col min="4" max="4" width="10.5703125" style="70" customWidth="1"/>
    <col min="5" max="5" width="8.28515625" style="70" customWidth="1"/>
    <col min="6" max="8" width="9.140625" style="70"/>
    <col min="9" max="9" width="10.5703125" style="70" bestFit="1" customWidth="1"/>
    <col min="10" max="10" width="12.7109375" style="70" bestFit="1" customWidth="1"/>
    <col min="11" max="17" width="9.140625" style="70"/>
    <col min="18" max="18" width="27.85546875" style="70" bestFit="1" customWidth="1"/>
    <col min="19" max="19" width="16.85546875" style="70" customWidth="1"/>
    <col min="20" max="20" width="12.5703125" style="70" bestFit="1" customWidth="1"/>
    <col min="21" max="16384" width="9.140625" style="70"/>
  </cols>
  <sheetData>
    <row r="1" spans="1:20" ht="38.25" customHeight="1" thickTop="1" thickBot="1" x14ac:dyDescent="0.3">
      <c r="A1" s="83" t="str">
        <f>IF(Planilha2!A1=1,"EFEITO DO BULBO NO NAVIO","BULBOUS BOW EFFECT ON SHIPS")</f>
        <v>EFEITO DO BULBO NO NAVIO</v>
      </c>
      <c r="B1" s="84"/>
      <c r="C1" s="84"/>
      <c r="D1" s="84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87" t="str">
        <f>IF(Planilha2!A1=1,"Considerações dos cálculos","DATA CONSIDERATIONS")</f>
        <v>Considerações dos cálculos</v>
      </c>
      <c r="S1" s="88"/>
      <c r="T1" s="89"/>
    </row>
    <row r="2" spans="1:20" s="67" customFormat="1" ht="34.5" customHeight="1" thickTop="1" thickBot="1" x14ac:dyDescent="0.3">
      <c r="A2" s="48"/>
      <c r="B2" s="57" t="str">
        <f>IF(Planilha2!$A$1=1,Planilha2!A4,Planilha2!B4)</f>
        <v>Comprimento do navio</v>
      </c>
      <c r="C2" s="53">
        <v>160</v>
      </c>
      <c r="D2" s="58" t="s">
        <v>69</v>
      </c>
      <c r="E2" s="59"/>
      <c r="F2" s="44"/>
      <c r="G2" s="78"/>
      <c r="H2" s="78"/>
      <c r="I2" s="78"/>
      <c r="J2" s="78"/>
      <c r="K2" s="78"/>
      <c r="L2" s="78"/>
      <c r="M2" s="78"/>
      <c r="N2" s="78"/>
      <c r="O2" s="78"/>
      <c r="P2" s="78"/>
      <c r="Q2" s="79"/>
      <c r="R2" s="90" t="str">
        <f>IF(Planilha2!A1=1,"-Está sendo utilizado o método de Holtrop &amp; Mennen para o cálculo de resistência ao avanço;
-Bulbo de geometria transversal circular;
-Ondas geradas apenas na proa do bulbo e na proa do navio;
-Bulbo e casco com diferentes sistemas de onda;
","- Holtrop &amp; Mennen method is being used for the calculation of hull resistance;
-Bulb of circular transverse geometry;
-Waves generated only at the bow of the bulb and the bow of the ship;
- Bulb and hull with different wave systems;
")</f>
        <v xml:space="preserve">-Está sendo utilizado o método de Holtrop &amp; Mennen para o cálculo de resistência ao avanço;
-Bulbo de geometria transversal circular;
-Ondas geradas apenas na proa do bulbo e na proa do navio;
-Bulbo e casco com diferentes sistemas de onda;
</v>
      </c>
      <c r="S2" s="91"/>
      <c r="T2" s="92"/>
    </row>
    <row r="3" spans="1:20" s="67" customFormat="1" ht="34.5" customHeight="1" thickTop="1" thickBot="1" x14ac:dyDescent="0.3">
      <c r="A3" s="49"/>
      <c r="B3" s="57" t="str">
        <f>IF(Planilha2!$A$1=1,Planilha2!A5,Planilha2!B5)</f>
        <v>Boca do navio</v>
      </c>
      <c r="C3" s="45">
        <v>20</v>
      </c>
      <c r="D3" s="60" t="s">
        <v>69</v>
      </c>
      <c r="E3" s="61"/>
      <c r="F3" s="43"/>
      <c r="G3" s="47"/>
      <c r="H3" s="47"/>
      <c r="I3" s="47"/>
      <c r="J3" s="47"/>
      <c r="K3" s="47"/>
      <c r="L3" s="47"/>
      <c r="M3" s="47"/>
      <c r="N3" s="47"/>
      <c r="O3" s="47"/>
      <c r="P3" s="47"/>
      <c r="Q3" s="63"/>
      <c r="R3" s="93"/>
      <c r="S3" s="94"/>
      <c r="T3" s="95"/>
    </row>
    <row r="4" spans="1:20" s="67" customFormat="1" ht="34.5" customHeight="1" thickTop="1" thickBot="1" x14ac:dyDescent="0.3">
      <c r="A4" s="49"/>
      <c r="B4" s="57" t="str">
        <f>IF(Planilha2!$A$1=1,Planilha2!A6,Planilha2!B6)</f>
        <v>Calado do navio</v>
      </c>
      <c r="C4" s="45">
        <v>6</v>
      </c>
      <c r="D4" s="60" t="s">
        <v>69</v>
      </c>
      <c r="E4" s="61"/>
      <c r="F4" s="43"/>
      <c r="G4" s="47"/>
      <c r="H4" s="47"/>
      <c r="I4" s="47"/>
      <c r="J4" s="47"/>
      <c r="K4" s="47"/>
      <c r="L4" s="47"/>
      <c r="M4" s="47"/>
      <c r="N4" s="47"/>
      <c r="O4" s="47"/>
      <c r="P4" s="47"/>
      <c r="Q4" s="63"/>
      <c r="R4" s="93"/>
      <c r="S4" s="94"/>
      <c r="T4" s="95"/>
    </row>
    <row r="5" spans="1:20" s="67" customFormat="1" ht="34.5" customHeight="1" thickTop="1" thickBot="1" x14ac:dyDescent="0.3">
      <c r="A5" s="49"/>
      <c r="B5" s="57" t="str">
        <f>IF(Planilha2!$A$1=1,Planilha2!A7,Planilha2!B7)</f>
        <v>Altura do centro do Bulbo</v>
      </c>
      <c r="C5" s="46">
        <f>VLOOKUP('INFLUENCIA DE BULBO'!$A$7,'INFLUENCIA DE BULBO'!A8:$C$28,3,FALSE)</f>
        <v>2.1599999999999997</v>
      </c>
      <c r="D5" s="60" t="s">
        <v>69</v>
      </c>
      <c r="E5" s="61"/>
      <c r="F5" s="43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96" t="str">
        <f>IF(Planilha2!A1=1,"POTÊNCIA EFETIVA NÃO  É A MESMA POTÊNCIA DO MOTOR!","EFFECTIVE POWER IS NOT THE SAME AS ENGINE POWER!")</f>
        <v>POTÊNCIA EFETIVA NÃO  É A MESMA POTÊNCIA DO MOTOR!</v>
      </c>
      <c r="S5" s="94"/>
      <c r="T5" s="95"/>
    </row>
    <row r="6" spans="1:20" s="67" customFormat="1" ht="34.5" customHeight="1" thickTop="1" thickBot="1" x14ac:dyDescent="0.3">
      <c r="A6" s="49"/>
      <c r="B6" s="57" t="str">
        <f>IF(Planilha2!$A$1=1,Planilha2!A8,Planilha2!B8)</f>
        <v>Comprimento do Bulbo</v>
      </c>
      <c r="C6" s="45">
        <v>13</v>
      </c>
      <c r="D6" s="60" t="s">
        <v>69</v>
      </c>
      <c r="E6" s="61"/>
      <c r="F6" s="43"/>
      <c r="G6" s="47"/>
      <c r="H6" s="47"/>
      <c r="I6" s="47"/>
      <c r="J6" s="47"/>
      <c r="K6" s="47"/>
      <c r="L6" s="47"/>
      <c r="M6" s="47"/>
      <c r="N6" s="47"/>
      <c r="O6" s="47"/>
      <c r="P6" s="47"/>
      <c r="Q6" s="63"/>
      <c r="R6" s="50"/>
      <c r="S6" s="51"/>
      <c r="T6" s="52"/>
    </row>
    <row r="7" spans="1:20" s="67" customFormat="1" ht="34.5" customHeight="1" thickTop="1" thickBot="1" x14ac:dyDescent="0.3">
      <c r="A7" s="49"/>
      <c r="B7" s="57" t="str">
        <f>IF(Planilha2!$A$1=1,Planilha2!A9,Planilha2!B9)</f>
        <v>Velocidade do navio</v>
      </c>
      <c r="C7" s="45">
        <v>13</v>
      </c>
      <c r="D7" s="60" t="str">
        <f>IF(Planilha2!A1=1,"Nós","Knots")</f>
        <v>Nós</v>
      </c>
      <c r="E7" s="61"/>
      <c r="F7" s="43"/>
      <c r="G7" s="47"/>
      <c r="H7" s="47"/>
      <c r="I7" s="47"/>
      <c r="J7" s="47"/>
      <c r="K7" s="47"/>
      <c r="L7" s="47"/>
      <c r="M7" s="47"/>
      <c r="N7" s="47"/>
      <c r="O7" s="47"/>
      <c r="P7" s="47"/>
      <c r="Q7" s="63"/>
      <c r="R7" s="64"/>
      <c r="S7" s="65"/>
      <c r="T7" s="66"/>
    </row>
    <row r="8" spans="1:20" s="67" customFormat="1" ht="47.25" customHeight="1" thickTop="1" thickBot="1" x14ac:dyDescent="0.3">
      <c r="A8" s="49"/>
      <c r="B8" s="80" t="str">
        <f>IF(Planilha2!$A$1=1,Planilha2!A10,Planilha2!B10)</f>
        <v xml:space="preserve">Bulbo proporciona uma Redução de Potência efetiva de </v>
      </c>
      <c r="C8" s="54">
        <f>IF(sembulbo!Y51&gt;bulbo!Y52,(1-bulbo!Y52/sembulbo!Y51),-(1-sembulbo!Y51/bulbo!Y52))</f>
        <v>5.8170134882308711E-2</v>
      </c>
      <c r="D8" s="62"/>
      <c r="E8" s="61"/>
      <c r="F8" s="43"/>
      <c r="G8" s="47"/>
      <c r="H8" s="47"/>
      <c r="I8" s="47"/>
      <c r="J8" s="47"/>
      <c r="K8" s="47"/>
      <c r="L8" s="47"/>
      <c r="M8" s="47"/>
      <c r="N8" s="47"/>
      <c r="O8" s="47"/>
      <c r="P8" s="47"/>
      <c r="Q8" s="63"/>
      <c r="R8" s="64"/>
      <c r="S8" s="65"/>
      <c r="T8" s="66"/>
    </row>
    <row r="9" spans="1:20" s="67" customFormat="1" ht="34.5" customHeight="1" thickTop="1" thickBot="1" x14ac:dyDescent="0.3">
      <c r="A9" s="49"/>
      <c r="B9" s="55"/>
      <c r="C9" s="56"/>
      <c r="D9" s="5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63"/>
      <c r="R9" s="64"/>
      <c r="S9" s="65"/>
      <c r="T9" s="66"/>
    </row>
    <row r="10" spans="1:20" ht="15.75" thickTop="1" thickBot="1" x14ac:dyDescent="0.3">
      <c r="A10" s="68"/>
      <c r="B10" s="55"/>
      <c r="C10" s="56"/>
      <c r="D10" s="56"/>
      <c r="E10" s="56"/>
      <c r="F10" s="47"/>
      <c r="G10" s="47"/>
      <c r="H10" s="47"/>
      <c r="I10" s="56"/>
      <c r="J10" s="56"/>
      <c r="K10" s="47"/>
      <c r="L10" s="47"/>
      <c r="M10" s="47"/>
      <c r="N10" s="47"/>
      <c r="O10" s="56"/>
      <c r="P10" s="56"/>
      <c r="Q10" s="69"/>
      <c r="R10" s="64"/>
      <c r="S10" s="65"/>
      <c r="T10" s="66"/>
    </row>
    <row r="11" spans="1:20" ht="15.75" thickTop="1" thickBot="1" x14ac:dyDescent="0.3">
      <c r="A11" s="68"/>
      <c r="B11" s="55"/>
      <c r="C11" s="56"/>
      <c r="D11" s="56"/>
      <c r="E11" s="56"/>
      <c r="F11" s="71"/>
      <c r="G11" s="71"/>
      <c r="H11" s="71"/>
      <c r="I11" s="56"/>
      <c r="J11" s="56"/>
      <c r="K11" s="71"/>
      <c r="L11" s="71"/>
      <c r="M11" s="71"/>
      <c r="N11" s="71"/>
      <c r="O11" s="56"/>
      <c r="P11" s="56"/>
      <c r="Q11" s="69"/>
      <c r="R11" s="64"/>
      <c r="S11" s="65"/>
      <c r="T11" s="66"/>
    </row>
    <row r="12" spans="1:20" ht="15.75" thickTop="1" thickBot="1" x14ac:dyDescent="0.3">
      <c r="A12" s="68"/>
      <c r="B12" s="55"/>
      <c r="C12" s="56"/>
      <c r="D12" s="56"/>
      <c r="E12" s="56"/>
      <c r="F12" s="71"/>
      <c r="G12" s="71"/>
      <c r="H12" s="71"/>
      <c r="I12" s="56"/>
      <c r="J12" s="56"/>
      <c r="K12" s="71"/>
      <c r="L12" s="71"/>
      <c r="M12" s="71"/>
      <c r="N12" s="71"/>
      <c r="O12" s="56"/>
      <c r="P12" s="56"/>
      <c r="Q12" s="69"/>
      <c r="R12" s="64"/>
      <c r="S12" s="65"/>
      <c r="T12" s="66"/>
    </row>
    <row r="13" spans="1:20" ht="16.5" thickTop="1" thickBot="1" x14ac:dyDescent="0.3">
      <c r="A13" s="68"/>
      <c r="B13" s="55"/>
      <c r="C13" s="56"/>
      <c r="D13" s="72"/>
      <c r="E13" s="56"/>
      <c r="F13" s="71"/>
      <c r="G13" s="71"/>
      <c r="H13" s="71"/>
      <c r="I13" s="56"/>
      <c r="J13" s="56"/>
      <c r="K13" s="71"/>
      <c r="L13" s="71"/>
      <c r="M13" s="71"/>
      <c r="N13" s="71"/>
      <c r="O13" s="56"/>
      <c r="P13" s="56"/>
      <c r="Q13" s="69"/>
      <c r="R13" s="64"/>
      <c r="S13" s="65"/>
      <c r="T13" s="66"/>
    </row>
    <row r="14" spans="1:20" ht="15.75" thickTop="1" thickBot="1" x14ac:dyDescent="0.3">
      <c r="A14" s="68"/>
      <c r="B14" s="55"/>
      <c r="C14" s="56"/>
      <c r="D14" s="56"/>
      <c r="E14" s="56"/>
      <c r="F14" s="71"/>
      <c r="G14" s="71"/>
      <c r="H14" s="71"/>
      <c r="I14" s="56"/>
      <c r="J14" s="56"/>
      <c r="K14" s="71"/>
      <c r="L14" s="71"/>
      <c r="M14" s="71"/>
      <c r="N14" s="71"/>
      <c r="O14" s="56"/>
      <c r="P14" s="56"/>
      <c r="Q14" s="69"/>
      <c r="R14" s="64"/>
      <c r="S14" s="65"/>
      <c r="T14" s="66"/>
    </row>
    <row r="15" spans="1:20" ht="15.75" thickTop="1" thickBot="1" x14ac:dyDescent="0.3">
      <c r="A15" s="68"/>
      <c r="B15" s="55"/>
      <c r="C15" s="56"/>
      <c r="D15" s="56"/>
      <c r="E15" s="56"/>
      <c r="F15" s="71"/>
      <c r="G15" s="71"/>
      <c r="H15" s="71"/>
      <c r="I15" s="56"/>
      <c r="J15" s="56"/>
      <c r="K15" s="71"/>
      <c r="L15" s="71"/>
      <c r="M15" s="71"/>
      <c r="N15" s="71"/>
      <c r="O15" s="56"/>
      <c r="P15" s="56"/>
      <c r="Q15" s="69"/>
      <c r="R15" s="64"/>
      <c r="S15" s="65"/>
      <c r="T15" s="66"/>
    </row>
    <row r="16" spans="1:20" ht="15.75" thickTop="1" thickBot="1" x14ac:dyDescent="0.3">
      <c r="A16" s="68"/>
      <c r="B16" s="55"/>
      <c r="C16" s="56"/>
      <c r="D16" s="56"/>
      <c r="E16" s="56"/>
      <c r="F16" s="71"/>
      <c r="G16" s="71"/>
      <c r="H16" s="71"/>
      <c r="I16" s="56"/>
      <c r="J16" s="56"/>
      <c r="K16" s="71"/>
      <c r="L16" s="71"/>
      <c r="M16" s="71"/>
      <c r="N16" s="71"/>
      <c r="O16" s="56"/>
      <c r="P16" s="56"/>
      <c r="Q16" s="69"/>
      <c r="R16" s="64"/>
      <c r="S16" s="65"/>
      <c r="T16" s="66"/>
    </row>
    <row r="17" spans="1:20" ht="15.75" thickTop="1" thickBot="1" x14ac:dyDescent="0.3">
      <c r="A17" s="68"/>
      <c r="B17" s="55"/>
      <c r="C17" s="56"/>
      <c r="D17" s="56"/>
      <c r="E17" s="56"/>
      <c r="F17" s="71"/>
      <c r="G17" s="71"/>
      <c r="H17" s="71"/>
      <c r="I17" s="56"/>
      <c r="J17" s="56"/>
      <c r="K17" s="56"/>
      <c r="L17" s="56"/>
      <c r="M17" s="56"/>
      <c r="N17" s="56"/>
      <c r="O17" s="56"/>
      <c r="P17" s="56"/>
      <c r="Q17" s="69"/>
      <c r="R17" s="64"/>
      <c r="S17" s="65"/>
      <c r="T17" s="66"/>
    </row>
    <row r="18" spans="1:20" ht="15.75" thickTop="1" thickBot="1" x14ac:dyDescent="0.3">
      <c r="A18" s="68"/>
      <c r="B18" s="55"/>
      <c r="C18" s="56"/>
      <c r="D18" s="56"/>
      <c r="E18" s="56"/>
      <c r="F18" s="71"/>
      <c r="G18" s="71"/>
      <c r="H18" s="71"/>
      <c r="I18" s="56"/>
      <c r="J18" s="56"/>
      <c r="K18" s="56"/>
      <c r="L18" s="56"/>
      <c r="M18" s="56"/>
      <c r="N18" s="56"/>
      <c r="O18" s="56"/>
      <c r="P18" s="56"/>
      <c r="Q18" s="69"/>
      <c r="R18" s="64"/>
      <c r="S18" s="65"/>
      <c r="T18" s="66"/>
    </row>
    <row r="19" spans="1:20" ht="15.75" thickTop="1" thickBot="1" x14ac:dyDescent="0.3">
      <c r="A19" s="68"/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69"/>
      <c r="R19" s="64"/>
      <c r="S19" s="65"/>
      <c r="T19" s="66"/>
    </row>
    <row r="20" spans="1:20" ht="15.75" thickTop="1" thickBot="1" x14ac:dyDescent="0.3">
      <c r="A20" s="68"/>
      <c r="B20" s="55"/>
      <c r="C20" s="56"/>
      <c r="D20" s="56"/>
      <c r="E20" s="56"/>
      <c r="F20" s="71"/>
      <c r="G20" s="71"/>
      <c r="H20" s="71"/>
      <c r="I20" s="56"/>
      <c r="J20" s="56"/>
      <c r="K20" s="56"/>
      <c r="L20" s="56"/>
      <c r="M20" s="56"/>
      <c r="N20" s="56"/>
      <c r="O20" s="56"/>
      <c r="P20" s="56"/>
      <c r="Q20" s="69"/>
      <c r="R20" s="64"/>
      <c r="S20" s="65"/>
      <c r="T20" s="66"/>
    </row>
    <row r="21" spans="1:20" ht="15.75" thickTop="1" thickBot="1" x14ac:dyDescent="0.3">
      <c r="A21" s="68"/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69"/>
      <c r="R21" s="64"/>
      <c r="S21" s="65"/>
      <c r="T21" s="66"/>
    </row>
    <row r="22" spans="1:20" ht="15.75" thickTop="1" thickBot="1" x14ac:dyDescent="0.3">
      <c r="A22" s="68"/>
      <c r="B22" s="55"/>
      <c r="C22" s="56"/>
      <c r="D22" s="56"/>
      <c r="E22" s="56"/>
      <c r="F22" s="71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69"/>
      <c r="R22" s="64"/>
      <c r="S22" s="65"/>
      <c r="T22" s="66"/>
    </row>
    <row r="23" spans="1:20" ht="15.75" thickTop="1" thickBot="1" x14ac:dyDescent="0.3">
      <c r="A23" s="68"/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69"/>
      <c r="R23" s="64"/>
      <c r="S23" s="65"/>
      <c r="T23" s="66"/>
    </row>
    <row r="24" spans="1:20" ht="15.75" thickTop="1" thickBot="1" x14ac:dyDescent="0.3">
      <c r="A24" s="68"/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69"/>
      <c r="R24" s="64"/>
      <c r="S24" s="65"/>
      <c r="T24" s="66"/>
    </row>
    <row r="25" spans="1:20" ht="15.75" thickTop="1" thickBot="1" x14ac:dyDescent="0.3">
      <c r="A25" s="73"/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6"/>
      <c r="R25" s="64"/>
      <c r="S25" s="65"/>
      <c r="T25" s="66"/>
    </row>
  </sheetData>
  <sheetProtection algorithmName="SHA-512" hashValue="85I0xvAD7zMO3qIyR0ksUKOKstO90KGSK7sldVBlDeiVoHPHFW7yEmZ8WUyiOP04zokiUooCDFO7j+y5JugJLA==" saltValue="TIevPUx6NulGFzPplUGwPQ==" spinCount="100000" sheet="1" objects="1" scenarios="1" selectLockedCells="1" selectUnlockedCells="1"/>
  <mergeCells count="4">
    <mergeCell ref="A1:Q1"/>
    <mergeCell ref="R1:T1"/>
    <mergeCell ref="R2:T4"/>
    <mergeCell ref="R5:T5"/>
  </mergeCells>
  <conditionalFormatting sqref="C8">
    <cfRule type="cellIs" dxfId="2" priority="1" operator="greaterThan">
      <formula>0</formula>
    </cfRule>
    <cfRule type="cellIs" dxfId="1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5" r:id="rId3" name="Spinner 201">
              <controlPr defaultSize="0" autoPict="0">
                <anchor moveWithCells="1" sizeWithCells="1">
                  <from>
                    <xdr:col>4</xdr:col>
                    <xdr:colOff>66675</xdr:colOff>
                    <xdr:row>4</xdr:row>
                    <xdr:rowOff>38100</xdr:rowOff>
                  </from>
                  <to>
                    <xdr:col>4</xdr:col>
                    <xdr:colOff>466725</xdr:colOff>
                    <xdr:row>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4" name="Spinner 203">
              <controlPr defaultSize="0" autoPict="0">
                <anchor moveWithCells="1" sizeWithCells="1">
                  <from>
                    <xdr:col>4</xdr:col>
                    <xdr:colOff>66675</xdr:colOff>
                    <xdr:row>1</xdr:row>
                    <xdr:rowOff>28575</xdr:rowOff>
                  </from>
                  <to>
                    <xdr:col>4</xdr:col>
                    <xdr:colOff>466725</xdr:colOff>
                    <xdr:row>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5" name="Spinner 204">
              <controlPr defaultSize="0" autoPict="0">
                <anchor moveWithCells="1" sizeWithCells="1">
                  <from>
                    <xdr:col>4</xdr:col>
                    <xdr:colOff>66675</xdr:colOff>
                    <xdr:row>2</xdr:row>
                    <xdr:rowOff>28575</xdr:rowOff>
                  </from>
                  <to>
                    <xdr:col>4</xdr:col>
                    <xdr:colOff>466725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6" name="Spinner 205">
              <controlPr defaultSize="0" autoPict="0">
                <anchor moveWithCells="1" sizeWithCells="1">
                  <from>
                    <xdr:col>4</xdr:col>
                    <xdr:colOff>66675</xdr:colOff>
                    <xdr:row>3</xdr:row>
                    <xdr:rowOff>9525</xdr:rowOff>
                  </from>
                  <to>
                    <xdr:col>4</xdr:col>
                    <xdr:colOff>466725</xdr:colOff>
                    <xdr:row>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7" name="Spinner 211">
              <controlPr defaultSize="0" autoPict="0">
                <anchor moveWithCells="1" sizeWithCells="1">
                  <from>
                    <xdr:col>4</xdr:col>
                    <xdr:colOff>66675</xdr:colOff>
                    <xdr:row>6</xdr:row>
                    <xdr:rowOff>38100</xdr:rowOff>
                  </from>
                  <to>
                    <xdr:col>4</xdr:col>
                    <xdr:colOff>466725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8" name="Spinner 213">
              <controlPr defaultSize="0" autoPict="0">
                <anchor moveWithCells="1" sizeWithCells="1">
                  <from>
                    <xdr:col>4</xdr:col>
                    <xdr:colOff>66675</xdr:colOff>
                    <xdr:row>5</xdr:row>
                    <xdr:rowOff>38100</xdr:rowOff>
                  </from>
                  <to>
                    <xdr:col>4</xdr:col>
                    <xdr:colOff>466725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9" name="Option Button 214">
              <controlPr defaultSize="0" autoFill="0" autoLine="0" autoPict="0">
                <anchor moveWithCells="1">
                  <from>
                    <xdr:col>0</xdr:col>
                    <xdr:colOff>0</xdr:colOff>
                    <xdr:row>0</xdr:row>
                    <xdr:rowOff>9525</xdr:rowOff>
                  </from>
                  <to>
                    <xdr:col>1</xdr:col>
                    <xdr:colOff>1828800</xdr:colOff>
                    <xdr:row>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0" name="Option Button 215">
              <controlPr defaultSize="0" autoFill="0" autoLine="0" autoPict="0">
                <anchor moveWithCells="1">
                  <from>
                    <xdr:col>0</xdr:col>
                    <xdr:colOff>0</xdr:colOff>
                    <xdr:row>0</xdr:row>
                    <xdr:rowOff>238125</xdr:rowOff>
                  </from>
                  <to>
                    <xdr:col>1</xdr:col>
                    <xdr:colOff>1828800</xdr:colOff>
                    <xdr:row>0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AD78"/>
  <sheetViews>
    <sheetView showGridLines="0" topLeftCell="A34" zoomScaleNormal="100" workbookViewId="0">
      <selection sqref="A1:Y1"/>
    </sheetView>
  </sheetViews>
  <sheetFormatPr defaultRowHeight="15" x14ac:dyDescent="0.25"/>
  <cols>
    <col min="1" max="1" width="5.7109375" style="4" customWidth="1"/>
    <col min="2" max="2" width="3.42578125" style="4" customWidth="1"/>
    <col min="3" max="3" width="13.42578125" style="4" bestFit="1" customWidth="1"/>
    <col min="4" max="4" width="12.7109375" style="4" customWidth="1"/>
    <col min="5" max="5" width="9.140625" style="4"/>
    <col min="6" max="6" width="8.42578125" style="4" customWidth="1"/>
    <col min="7" max="7" width="15.5703125" style="4" customWidth="1"/>
    <col min="8" max="8" width="14.85546875" style="4" customWidth="1"/>
    <col min="9" max="9" width="15.85546875" style="4" customWidth="1"/>
    <col min="10" max="10" width="24.85546875" style="4" customWidth="1"/>
    <col min="11" max="11" width="10.42578125" style="4" customWidth="1"/>
    <col min="12" max="25" width="16.7109375" style="4" customWidth="1"/>
    <col min="26" max="26" width="20.28515625" style="4" customWidth="1"/>
    <col min="27" max="27" width="19.7109375" style="4" customWidth="1"/>
    <col min="28" max="28" width="18.140625" style="4" customWidth="1"/>
    <col min="29" max="29" width="11" style="4" customWidth="1"/>
    <col min="30" max="30" width="12" style="4" customWidth="1"/>
    <col min="31" max="16384" width="9.140625" style="4"/>
  </cols>
  <sheetData>
    <row r="1" spans="1:30" ht="45.6" customHeight="1" x14ac:dyDescent="0.25">
      <c r="A1" s="98" t="s">
        <v>89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30" ht="15" customHeight="1" x14ac:dyDescent="0.25">
      <c r="AB2" s="102"/>
      <c r="AC2" s="102"/>
      <c r="AD2" s="102"/>
    </row>
    <row r="3" spans="1:30" ht="15" customHeight="1" x14ac:dyDescent="0.25">
      <c r="AB3" s="102"/>
      <c r="AC3" s="102"/>
      <c r="AD3" s="102"/>
    </row>
    <row r="4" spans="1:30" ht="15" customHeight="1" x14ac:dyDescent="0.35">
      <c r="C4" s="103" t="s">
        <v>0</v>
      </c>
      <c r="D4" s="103"/>
      <c r="E4" s="103"/>
      <c r="F4" s="103"/>
      <c r="G4" s="103"/>
      <c r="H4" s="103"/>
      <c r="I4" s="103"/>
      <c r="J4" s="11"/>
      <c r="K4" s="104" t="s">
        <v>1</v>
      </c>
      <c r="L4" s="104"/>
      <c r="M4" s="100" t="s">
        <v>2</v>
      </c>
      <c r="N4" s="100" t="s">
        <v>3</v>
      </c>
      <c r="O4" s="100"/>
      <c r="P4" s="100"/>
      <c r="Q4" s="100" t="s">
        <v>4</v>
      </c>
      <c r="R4" s="100"/>
      <c r="S4" s="100"/>
      <c r="T4" s="100" t="s">
        <v>5</v>
      </c>
      <c r="U4" s="100"/>
      <c r="V4" s="100" t="s">
        <v>6</v>
      </c>
      <c r="W4" s="100" t="s">
        <v>7</v>
      </c>
      <c r="X4" s="100" t="s">
        <v>8</v>
      </c>
      <c r="Y4" s="100" t="s">
        <v>9</v>
      </c>
      <c r="AC4" s="2"/>
      <c r="AD4" s="2"/>
    </row>
    <row r="5" spans="1:30" ht="15" customHeight="1" x14ac:dyDescent="0.25">
      <c r="C5" s="101" t="s">
        <v>95</v>
      </c>
      <c r="D5" s="101"/>
      <c r="E5" s="101"/>
      <c r="F5" s="101"/>
      <c r="G5" s="15" t="s">
        <v>134</v>
      </c>
      <c r="H5" s="15">
        <f>MAIN!C2</f>
        <v>160</v>
      </c>
      <c r="I5" s="16" t="s">
        <v>69</v>
      </c>
      <c r="J5" s="12" t="str">
        <f>G5&amp;" "&amp;H5&amp;I5</f>
        <v>L  160m</v>
      </c>
      <c r="K5" s="104"/>
      <c r="L5" s="104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AC5" s="2"/>
      <c r="AD5" s="2"/>
    </row>
    <row r="6" spans="1:30" ht="15" customHeight="1" x14ac:dyDescent="0.25">
      <c r="C6" s="101" t="s">
        <v>96</v>
      </c>
      <c r="D6" s="101"/>
      <c r="E6" s="101"/>
      <c r="F6" s="101"/>
      <c r="G6" s="15" t="s">
        <v>11</v>
      </c>
      <c r="H6" s="15">
        <f>MAIN!C3</f>
        <v>20</v>
      </c>
      <c r="I6" s="16" t="s">
        <v>69</v>
      </c>
      <c r="J6" s="12" t="str">
        <f t="shared" ref="J6:J19" si="0">G6&amp;" "&amp;H6&amp;I6</f>
        <v>B 20m</v>
      </c>
      <c r="K6" s="104"/>
      <c r="L6" s="104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AC6" s="2"/>
      <c r="AD6" s="2"/>
    </row>
    <row r="7" spans="1:30" ht="15" customHeight="1" x14ac:dyDescent="0.25">
      <c r="C7" s="101" t="s">
        <v>97</v>
      </c>
      <c r="D7" s="101"/>
      <c r="E7" s="101"/>
      <c r="F7" s="101"/>
      <c r="G7" s="15" t="s">
        <v>12</v>
      </c>
      <c r="H7" s="15">
        <f>MAIN!C4</f>
        <v>6</v>
      </c>
      <c r="I7" s="16" t="s">
        <v>69</v>
      </c>
      <c r="J7" s="12" t="str">
        <f t="shared" si="0"/>
        <v>T 6m</v>
      </c>
      <c r="K7" s="3" t="s">
        <v>13</v>
      </c>
      <c r="L7" s="3" t="s">
        <v>14</v>
      </c>
      <c r="M7" s="3" t="s">
        <v>86</v>
      </c>
      <c r="N7" s="3" t="s">
        <v>87</v>
      </c>
      <c r="O7" s="3" t="s">
        <v>15</v>
      </c>
      <c r="P7" s="3" t="s">
        <v>16</v>
      </c>
      <c r="Q7" s="3" t="s">
        <v>88</v>
      </c>
      <c r="R7" s="3" t="s">
        <v>17</v>
      </c>
      <c r="S7" s="3" t="s">
        <v>92</v>
      </c>
      <c r="T7" s="3" t="s">
        <v>19</v>
      </c>
      <c r="U7" s="3" t="s">
        <v>20</v>
      </c>
      <c r="V7" s="3" t="s">
        <v>21</v>
      </c>
      <c r="W7" s="3" t="s">
        <v>22</v>
      </c>
      <c r="X7" s="3" t="s">
        <v>23</v>
      </c>
      <c r="Y7" s="3" t="s">
        <v>22</v>
      </c>
      <c r="AC7" s="3"/>
      <c r="AD7" s="3"/>
    </row>
    <row r="8" spans="1:30" ht="15" customHeight="1" x14ac:dyDescent="0.3">
      <c r="C8" s="101" t="s">
        <v>100</v>
      </c>
      <c r="D8" s="101"/>
      <c r="E8" s="101"/>
      <c r="F8" s="101"/>
      <c r="G8" s="15" t="s">
        <v>91</v>
      </c>
      <c r="H8" s="15">
        <f>T</f>
        <v>6</v>
      </c>
      <c r="I8" s="16" t="s">
        <v>69</v>
      </c>
      <c r="J8" s="12" t="str">
        <f t="shared" si="0"/>
        <v>T_f 6m</v>
      </c>
      <c r="K8" s="17">
        <v>0.5</v>
      </c>
      <c r="L8" s="18">
        <f t="shared" ref="L8:L28" si="1">0.51444*K8</f>
        <v>0.25722</v>
      </c>
      <c r="M8" s="19">
        <f>0.5*rho*(L8^2)*Sm*coef_ca</f>
        <v>61.065287160420603</v>
      </c>
      <c r="N8" s="20">
        <f>P8*0.5*rho*L8^2*Sm</f>
        <v>352.10007697187694</v>
      </c>
      <c r="O8" s="18">
        <f>L8*Lbp/visco</f>
        <v>34642424.24242425</v>
      </c>
      <c r="P8" s="18">
        <f>0.075/ (LOG10(O8)-2)^2</f>
        <v>2.4440109793262619E-3</v>
      </c>
      <c r="Q8" s="20">
        <f t="shared" ref="Q8:Q38" si="2">coef_1*coef_2*coef_5*Vol_desl*rho*grav*EXP(coef_m1*(R8^coef_d)+S8*COS(lambda*(R8^-2)))</f>
        <v>4.0528641113104339E-59</v>
      </c>
      <c r="R8" s="18">
        <f t="shared" ref="R8:R28" si="3">L8/((grav*Lbp)^0.5)</f>
        <v>6.492474295448864E-3</v>
      </c>
      <c r="S8" s="18">
        <f t="shared" ref="S8:S38" si="4">coef_15*0.4*EXP(-0.034*(R8^-2))</f>
        <v>0</v>
      </c>
      <c r="T8" s="18">
        <f>L8/SQRT(9.81*(T_f-h_bulbo-0.25*SQRT(A_bulbo))+0.15*L8^2)</f>
        <v>4.8359426584652074E-2</v>
      </c>
      <c r="U8" s="20">
        <f>0.11*EXP(-3*coef_pb^(-2))*T8^3*A_bulbo^1.5*rho*grav/(1+T8^2)/1000</f>
        <v>4.854151844681927E-5</v>
      </c>
      <c r="V8" s="21">
        <f>(coef_k1*N8+Q8+M8)/1000</f>
        <v>0.49670527567089895</v>
      </c>
      <c r="W8" s="21">
        <f t="shared" ref="W8:W28" si="5">(L8*V8)</f>
        <v>0.12776253100806864</v>
      </c>
      <c r="X8" s="22">
        <f t="shared" ref="X8:X38" si="6">IF(h_bulbo&gt;0,V8+U8,V8)</f>
        <v>0.49675381718934575</v>
      </c>
      <c r="Y8" s="22">
        <f t="shared" ref="Y8:Y38" si="7">X8*L8</f>
        <v>0.12777501685744352</v>
      </c>
    </row>
    <row r="9" spans="1:30" ht="15" customHeight="1" x14ac:dyDescent="0.3">
      <c r="C9" s="101" t="s">
        <v>101</v>
      </c>
      <c r="D9" s="101"/>
      <c r="E9" s="101"/>
      <c r="F9" s="101"/>
      <c r="G9" s="23" t="s">
        <v>135</v>
      </c>
      <c r="H9" s="15">
        <f>cb*Lbp*B*T</f>
        <v>15360</v>
      </c>
      <c r="I9" s="16" t="s">
        <v>136</v>
      </c>
      <c r="J9" s="12" t="str">
        <f t="shared" si="0"/>
        <v>Deslocamento 15360m³</v>
      </c>
      <c r="K9" s="17">
        <v>1</v>
      </c>
      <c r="L9" s="18">
        <f t="shared" si="1"/>
        <v>0.51444000000000001</v>
      </c>
      <c r="M9" s="19">
        <f t="shared" ref="M9:M28" si="8">0.5*rho*(L9^2)*Sm*coef_ca</f>
        <v>244.26114864168241</v>
      </c>
      <c r="N9" s="20">
        <f t="shared" ref="N9:N28" si="9">P9*0.5*rho*L9^2*Sm</f>
        <v>1266.9620381515335</v>
      </c>
      <c r="O9" s="18">
        <f t="shared" ref="O9:O28" si="10">L9*Lbp/visco</f>
        <v>69284848.484848499</v>
      </c>
      <c r="P9" s="18">
        <f t="shared" ref="P9:P28" si="11">0.075/ (LOG10(O9)-2)^2</f>
        <v>2.1985717514336478E-3</v>
      </c>
      <c r="Q9" s="20">
        <f t="shared" si="2"/>
        <v>2.7090496140004256E-28</v>
      </c>
      <c r="R9" s="18">
        <f t="shared" si="3"/>
        <v>1.2984948590897728E-2</v>
      </c>
      <c r="S9" s="18">
        <f t="shared" si="4"/>
        <v>-1.8005615621769027E-88</v>
      </c>
      <c r="T9" s="18">
        <f t="shared" ref="T9:T38" si="12">L9/SQRT(9.81*(T_f-h_bulbo-0.25*SQRT(A_bulbo))+0.15*L9^2)</f>
        <v>9.6668000550507796E-2</v>
      </c>
      <c r="U9" s="20">
        <f t="shared" ref="U9:U38" si="13">0.11*EXP(-3*coef_pb^(-2))*T9^3*A_bulbo^1.5*rho*grav/(1+T9^2)/1000</f>
        <v>3.8502869691828923E-4</v>
      </c>
      <c r="V9" s="21">
        <f t="shared" ref="V9:V38" si="14">(coef_k1*N9+Q9+M9)/1000</f>
        <v>1.8118249290598021</v>
      </c>
      <c r="W9" s="21">
        <f t="shared" si="5"/>
        <v>0.93207521650552461</v>
      </c>
      <c r="X9" s="22">
        <f t="shared" si="6"/>
        <v>1.8122099577567203</v>
      </c>
      <c r="Y9" s="22">
        <f t="shared" si="7"/>
        <v>0.93227329066836717</v>
      </c>
    </row>
    <row r="10" spans="1:30" ht="15" customHeight="1" x14ac:dyDescent="0.3">
      <c r="C10" s="101" t="s">
        <v>27</v>
      </c>
      <c r="D10" s="101"/>
      <c r="E10" s="101"/>
      <c r="F10" s="101"/>
      <c r="G10" s="15" t="s">
        <v>26</v>
      </c>
      <c r="H10" s="24">
        <v>2</v>
      </c>
      <c r="I10" s="16" t="s">
        <v>28</v>
      </c>
      <c r="J10" s="12" t="str">
        <f t="shared" si="0"/>
        <v>LCB 2%</v>
      </c>
      <c r="K10" s="17">
        <v>1.5</v>
      </c>
      <c r="L10" s="18">
        <f t="shared" si="1"/>
        <v>0.77166000000000001</v>
      </c>
      <c r="M10" s="19">
        <f t="shared" si="8"/>
        <v>549.58758444378543</v>
      </c>
      <c r="N10" s="20">
        <f t="shared" si="9"/>
        <v>2686.2458774347401</v>
      </c>
      <c r="O10" s="18">
        <f t="shared" si="10"/>
        <v>103927272.72727273</v>
      </c>
      <c r="P10" s="18">
        <f t="shared" si="11"/>
        <v>2.0717640135101555E-3</v>
      </c>
      <c r="Q10" s="20">
        <f t="shared" si="2"/>
        <v>2.0652401244383251E-17</v>
      </c>
      <c r="R10" s="18">
        <f t="shared" si="3"/>
        <v>1.9477422886346591E-2</v>
      </c>
      <c r="S10" s="18">
        <f t="shared" si="4"/>
        <v>-8.0998786205006772E-40</v>
      </c>
      <c r="T10" s="18">
        <f t="shared" si="12"/>
        <v>0.14487513621391146</v>
      </c>
      <c r="U10" s="20">
        <f t="shared" si="13"/>
        <v>1.281282786189717E-3</v>
      </c>
      <c r="V10" s="21">
        <f t="shared" si="14"/>
        <v>3.8731770969659869</v>
      </c>
      <c r="W10" s="21">
        <f t="shared" si="5"/>
        <v>2.9887758386447736</v>
      </c>
      <c r="X10" s="22">
        <f t="shared" si="6"/>
        <v>3.8744583797521766</v>
      </c>
      <c r="Y10" s="22">
        <f t="shared" si="7"/>
        <v>2.9897645533195645</v>
      </c>
    </row>
    <row r="11" spans="1:30" ht="15" customHeight="1" x14ac:dyDescent="0.3">
      <c r="C11" s="101" t="s">
        <v>102</v>
      </c>
      <c r="D11" s="101"/>
      <c r="E11" s="101"/>
      <c r="F11" s="101"/>
      <c r="G11" s="15" t="s">
        <v>29</v>
      </c>
      <c r="H11" s="15">
        <v>0.8</v>
      </c>
      <c r="I11" s="25" t="s">
        <v>30</v>
      </c>
      <c r="J11" s="12" t="str">
        <f t="shared" si="0"/>
        <v>CB 0.8---</v>
      </c>
      <c r="K11" s="17">
        <v>2</v>
      </c>
      <c r="L11" s="18">
        <f t="shared" si="1"/>
        <v>1.02888</v>
      </c>
      <c r="M11" s="19">
        <f t="shared" si="8"/>
        <v>977.04459456672964</v>
      </c>
      <c r="N11" s="20">
        <f t="shared" si="9"/>
        <v>4583.2284331699811</v>
      </c>
      <c r="O11" s="18">
        <f t="shared" si="10"/>
        <v>138569696.969697</v>
      </c>
      <c r="P11" s="18">
        <f t="shared" si="11"/>
        <v>1.9883304037736733E-3</v>
      </c>
      <c r="Q11" s="20">
        <f t="shared" si="2"/>
        <v>8.9444755064601001E-12</v>
      </c>
      <c r="R11" s="18">
        <f t="shared" si="3"/>
        <v>2.5969897181795456E-2</v>
      </c>
      <c r="S11" s="18">
        <f t="shared" si="4"/>
        <v>-8.650738787593616E-23</v>
      </c>
      <c r="T11" s="18">
        <f t="shared" si="12"/>
        <v>0.19293077849964582</v>
      </c>
      <c r="U11" s="20">
        <f t="shared" si="13"/>
        <v>2.9786337821329101E-3</v>
      </c>
      <c r="V11" s="21">
        <f t="shared" si="14"/>
        <v>6.6476982312785093</v>
      </c>
      <c r="W11" s="21">
        <f t="shared" si="5"/>
        <v>6.8396837561978332</v>
      </c>
      <c r="X11" s="22">
        <f t="shared" si="6"/>
        <v>6.6506768650606425</v>
      </c>
      <c r="Y11" s="22">
        <f t="shared" si="7"/>
        <v>6.8427484129235943</v>
      </c>
    </row>
    <row r="12" spans="1:30" ht="15" customHeight="1" x14ac:dyDescent="0.3">
      <c r="C12" s="101" t="s">
        <v>103</v>
      </c>
      <c r="D12" s="101"/>
      <c r="E12" s="101"/>
      <c r="F12" s="101"/>
      <c r="G12" s="15" t="s">
        <v>31</v>
      </c>
      <c r="H12" s="15">
        <f>0.67*cb+0.32</f>
        <v>0.85600000000000009</v>
      </c>
      <c r="I12" s="25" t="s">
        <v>30</v>
      </c>
      <c r="J12" s="12" t="str">
        <f t="shared" si="0"/>
        <v>Cwp 0.856---</v>
      </c>
      <c r="K12" s="17">
        <v>2.5</v>
      </c>
      <c r="L12" s="18">
        <f t="shared" si="1"/>
        <v>1.2861</v>
      </c>
      <c r="M12" s="19">
        <f t="shared" si="8"/>
        <v>1526.6321790105151</v>
      </c>
      <c r="N12" s="20">
        <f t="shared" si="9"/>
        <v>6940.5355289670115</v>
      </c>
      <c r="O12" s="18">
        <f t="shared" si="10"/>
        <v>173212121.21212125</v>
      </c>
      <c r="P12" s="18">
        <f t="shared" si="11"/>
        <v>1.9270367880725274E-3</v>
      </c>
      <c r="Q12" s="20">
        <f t="shared" si="2"/>
        <v>2.641807806114309E-8</v>
      </c>
      <c r="R12" s="18">
        <f t="shared" si="3"/>
        <v>3.2462371477244317E-2</v>
      </c>
      <c r="S12" s="18">
        <f t="shared" si="4"/>
        <v>-6.5894721283872604E-15</v>
      </c>
      <c r="T12" s="18">
        <f t="shared" si="12"/>
        <v>0.24078566016207242</v>
      </c>
      <c r="U12" s="20">
        <f t="shared" si="13"/>
        <v>5.6767494908395643E-3</v>
      </c>
      <c r="V12" s="21">
        <f>(coef_k1*N12+Q12+M12)/1000</f>
        <v>10.11389192660369</v>
      </c>
      <c r="W12" s="21">
        <f t="shared" si="5"/>
        <v>13.007476406805006</v>
      </c>
      <c r="X12" s="22">
        <f t="shared" si="6"/>
        <v>10.119568676094531</v>
      </c>
      <c r="Y12" s="22">
        <f t="shared" si="7"/>
        <v>13.014777274325176</v>
      </c>
    </row>
    <row r="13" spans="1:30" ht="15" customHeight="1" x14ac:dyDescent="0.3">
      <c r="C13" s="101" t="s">
        <v>104</v>
      </c>
      <c r="D13" s="101"/>
      <c r="E13" s="101"/>
      <c r="F13" s="101"/>
      <c r="G13" s="15" t="s">
        <v>32</v>
      </c>
      <c r="H13" s="15">
        <f>0.8+0.21*cb</f>
        <v>0.96800000000000008</v>
      </c>
      <c r="I13" s="25" t="s">
        <v>30</v>
      </c>
      <c r="J13" s="12" t="str">
        <f t="shared" si="0"/>
        <v>Cx 0.968---</v>
      </c>
      <c r="K13" s="17">
        <v>3</v>
      </c>
      <c r="L13" s="18">
        <f t="shared" si="1"/>
        <v>1.54332</v>
      </c>
      <c r="M13" s="19">
        <f t="shared" si="8"/>
        <v>2198.3503377751417</v>
      </c>
      <c r="N13" s="20">
        <f t="shared" si="9"/>
        <v>9745.4197380341138</v>
      </c>
      <c r="O13" s="18">
        <f t="shared" si="10"/>
        <v>207854545.45454547</v>
      </c>
      <c r="P13" s="18">
        <f t="shared" si="11"/>
        <v>1.8790359139696014E-3</v>
      </c>
      <c r="Q13" s="20">
        <f t="shared" si="2"/>
        <v>6.0695514676680283E-6</v>
      </c>
      <c r="R13" s="18">
        <f t="shared" si="3"/>
        <v>3.8954845772693182E-2</v>
      </c>
      <c r="S13" s="18">
        <f t="shared" si="4"/>
        <v>-1.2598557793452712E-10</v>
      </c>
      <c r="T13" s="18">
        <f t="shared" si="12"/>
        <v>0.2883915495044026</v>
      </c>
      <c r="U13" s="20">
        <f t="shared" si="13"/>
        <v>9.5265465535097002E-3</v>
      </c>
      <c r="V13" s="21">
        <f t="shared" si="14"/>
        <v>14.255986284225553</v>
      </c>
      <c r="W13" s="21">
        <f t="shared" si="5"/>
        <v>22.001548752170983</v>
      </c>
      <c r="X13" s="22">
        <f t="shared" si="6"/>
        <v>14.265512830779063</v>
      </c>
      <c r="Y13" s="22">
        <f t="shared" si="7"/>
        <v>22.016251261997944</v>
      </c>
    </row>
    <row r="14" spans="1:30" ht="15" customHeight="1" x14ac:dyDescent="0.3">
      <c r="C14" s="101" t="s">
        <v>93</v>
      </c>
      <c r="D14" s="101"/>
      <c r="E14" s="101"/>
      <c r="F14" s="101"/>
      <c r="G14" s="15" t="s">
        <v>33</v>
      </c>
      <c r="H14" s="15">
        <v>0</v>
      </c>
      <c r="I14" s="25" t="s">
        <v>30</v>
      </c>
      <c r="J14" s="12" t="str">
        <f t="shared" si="0"/>
        <v>Cstern 0---</v>
      </c>
      <c r="K14" s="17">
        <v>3.5</v>
      </c>
      <c r="L14" s="18">
        <f t="shared" si="1"/>
        <v>1.80054</v>
      </c>
      <c r="M14" s="19">
        <f t="shared" si="8"/>
        <v>2992.1990708606095</v>
      </c>
      <c r="N14" s="20">
        <f t="shared" si="9"/>
        <v>12987.88576535951</v>
      </c>
      <c r="O14" s="18">
        <f t="shared" si="10"/>
        <v>242496969.69696975</v>
      </c>
      <c r="P14" s="18">
        <f t="shared" si="11"/>
        <v>1.8398372719718565E-3</v>
      </c>
      <c r="Q14" s="20">
        <f t="shared" si="2"/>
        <v>3.1514550899019555E-4</v>
      </c>
      <c r="R14" s="18">
        <f t="shared" si="3"/>
        <v>4.5447320068142047E-2</v>
      </c>
      <c r="S14" s="18">
        <f t="shared" si="4"/>
        <v>-4.8074229278577332E-8</v>
      </c>
      <c r="T14" s="18">
        <f t="shared" si="12"/>
        <v>0.33570148575127107</v>
      </c>
      <c r="U14" s="20">
        <f t="shared" si="13"/>
        <v>1.462742442908284E-2</v>
      </c>
      <c r="V14" s="21">
        <f t="shared" si="14"/>
        <v>19.061614804079269</v>
      </c>
      <c r="W14" s="21">
        <f t="shared" si="5"/>
        <v>34.321199919336891</v>
      </c>
      <c r="X14" s="22">
        <f t="shared" si="6"/>
        <v>19.076242228508352</v>
      </c>
      <c r="Y14" s="22">
        <f t="shared" si="7"/>
        <v>34.34753718211843</v>
      </c>
    </row>
    <row r="15" spans="1:30" ht="15" customHeight="1" x14ac:dyDescent="0.3">
      <c r="C15" s="101" t="s">
        <v>105</v>
      </c>
      <c r="D15" s="101"/>
      <c r="E15" s="101"/>
      <c r="F15" s="101"/>
      <c r="G15" s="23" t="s">
        <v>34</v>
      </c>
      <c r="H15" s="15">
        <f>1.188*10^-6</f>
        <v>1.1879999999999999E-6</v>
      </c>
      <c r="I15" s="16" t="s">
        <v>35</v>
      </c>
      <c r="J15" s="12" t="str">
        <f t="shared" si="0"/>
        <v>ν 0.000001188[m²/s]</v>
      </c>
      <c r="K15" s="17">
        <v>4</v>
      </c>
      <c r="L15" s="18">
        <f t="shared" si="1"/>
        <v>2.05776</v>
      </c>
      <c r="M15" s="19">
        <f t="shared" si="8"/>
        <v>3908.1783782669186</v>
      </c>
      <c r="N15" s="20">
        <f t="shared" si="9"/>
        <v>16659.755394820309</v>
      </c>
      <c r="O15" s="18">
        <f t="shared" si="10"/>
        <v>277139393.939394</v>
      </c>
      <c r="P15" s="18">
        <f t="shared" si="11"/>
        <v>1.8068648908714105E-3</v>
      </c>
      <c r="Q15" s="20">
        <f t="shared" si="2"/>
        <v>6.363966645978535E-3</v>
      </c>
      <c r="R15" s="18">
        <f t="shared" si="3"/>
        <v>5.1939794363590912E-2</v>
      </c>
      <c r="S15" s="18">
        <f t="shared" si="4"/>
        <v>-2.2775320882145223E-6</v>
      </c>
      <c r="T15" s="18">
        <f t="shared" si="12"/>
        <v>0.38266999949206165</v>
      </c>
      <c r="U15" s="20">
        <f t="shared" si="13"/>
        <v>2.1028471566333445E-2</v>
      </c>
      <c r="V15" s="21">
        <f t="shared" si="14"/>
        <v>24.520664328162727</v>
      </c>
      <c r="W15" s="21">
        <f t="shared" si="5"/>
        <v>50.457642227920132</v>
      </c>
      <c r="X15" s="22">
        <f t="shared" si="6"/>
        <v>24.541692799729059</v>
      </c>
      <c r="Y15" s="22">
        <f t="shared" si="7"/>
        <v>50.500913775570467</v>
      </c>
    </row>
    <row r="16" spans="1:30" ht="15" customHeight="1" x14ac:dyDescent="0.3">
      <c r="C16" s="101" t="s">
        <v>106</v>
      </c>
      <c r="D16" s="101"/>
      <c r="E16" s="101"/>
      <c r="F16" s="101"/>
      <c r="G16" s="15" t="s">
        <v>36</v>
      </c>
      <c r="H16" s="15">
        <v>1025</v>
      </c>
      <c r="I16" s="16" t="s">
        <v>37</v>
      </c>
      <c r="J16" s="12" t="str">
        <f t="shared" si="0"/>
        <v>ρ 1025[kg/m³]</v>
      </c>
      <c r="K16" s="17">
        <v>4.5</v>
      </c>
      <c r="L16" s="18">
        <f t="shared" si="1"/>
        <v>2.3149800000000003</v>
      </c>
      <c r="M16" s="19">
        <f t="shared" si="8"/>
        <v>4946.2882599940694</v>
      </c>
      <c r="N16" s="20">
        <f t="shared" si="9"/>
        <v>20754.135087020684</v>
      </c>
      <c r="O16" s="18">
        <f t="shared" si="10"/>
        <v>311781818.18181825</v>
      </c>
      <c r="P16" s="18">
        <f t="shared" si="11"/>
        <v>1.7785113982971574E-3</v>
      </c>
      <c r="Q16" s="20">
        <f t="shared" si="2"/>
        <v>6.7885711939092069E-2</v>
      </c>
      <c r="R16" s="18">
        <f t="shared" si="3"/>
        <v>5.8432268659039777E-2</v>
      </c>
      <c r="S16" s="18">
        <f t="shared" si="4"/>
        <v>-3.2078758999683599E-5</v>
      </c>
      <c r="T16" s="18">
        <f t="shared" si="12"/>
        <v>0.42925331592344518</v>
      </c>
      <c r="U16" s="20">
        <f t="shared" si="13"/>
        <v>2.8732862770426613E-2</v>
      </c>
      <c r="V16" s="21">
        <f t="shared" si="14"/>
        <v>30.624655476429414</v>
      </c>
      <c r="W16" s="21">
        <f t="shared" si="5"/>
        <v>70.895464934824574</v>
      </c>
      <c r="X16" s="22">
        <f t="shared" si="6"/>
        <v>30.653388339199839</v>
      </c>
      <c r="Y16" s="22">
        <f t="shared" si="7"/>
        <v>70.961980937480845</v>
      </c>
    </row>
    <row r="17" spans="3:25" ht="15" customHeight="1" x14ac:dyDescent="0.3">
      <c r="C17" s="101" t="s">
        <v>107</v>
      </c>
      <c r="D17" s="101"/>
      <c r="E17" s="101"/>
      <c r="F17" s="101"/>
      <c r="G17" s="15" t="s">
        <v>38</v>
      </c>
      <c r="H17" s="15">
        <v>9.81</v>
      </c>
      <c r="I17" s="16" t="s">
        <v>39</v>
      </c>
      <c r="J17" s="12" t="str">
        <f t="shared" si="0"/>
        <v>g 9.81[m/s²]</v>
      </c>
      <c r="K17" s="17">
        <v>5</v>
      </c>
      <c r="L17" s="18">
        <f t="shared" si="1"/>
        <v>2.5722</v>
      </c>
      <c r="M17" s="19">
        <f t="shared" si="8"/>
        <v>6106.5287160420603</v>
      </c>
      <c r="N17" s="20">
        <f t="shared" si="9"/>
        <v>25265.084861728188</v>
      </c>
      <c r="O17" s="18">
        <f t="shared" si="10"/>
        <v>346424242.4242425</v>
      </c>
      <c r="P17" s="18">
        <f t="shared" si="11"/>
        <v>1.7537100623981235E-3</v>
      </c>
      <c r="Q17" s="20">
        <f t="shared" si="2"/>
        <v>0.46063180243409002</v>
      </c>
      <c r="R17" s="18">
        <f t="shared" si="3"/>
        <v>6.4924742954488635E-2</v>
      </c>
      <c r="S17" s="18">
        <f t="shared" si="4"/>
        <v>-2.1277169886107922E-4</v>
      </c>
      <c r="T17" s="18">
        <f t="shared" si="12"/>
        <v>0.47540953896931665</v>
      </c>
      <c r="U17" s="20">
        <f t="shared" si="13"/>
        <v>3.7704445948132062E-2</v>
      </c>
      <c r="V17" s="21">
        <f t="shared" si="14"/>
        <v>37.366514689438333</v>
      </c>
      <c r="W17" s="21">
        <f t="shared" si="5"/>
        <v>96.114149084173278</v>
      </c>
      <c r="X17" s="22">
        <f t="shared" si="6"/>
        <v>37.404219135386462</v>
      </c>
      <c r="Y17" s="22">
        <f t="shared" si="7"/>
        <v>96.211132460041057</v>
      </c>
    </row>
    <row r="18" spans="3:25" ht="15" customHeight="1" x14ac:dyDescent="0.3">
      <c r="C18" s="99" t="s">
        <v>108</v>
      </c>
      <c r="D18" s="99"/>
      <c r="E18" s="99"/>
      <c r="F18" s="99"/>
      <c r="G18" s="15" t="s">
        <v>40</v>
      </c>
      <c r="H18" s="15">
        <f>MAIN!C7</f>
        <v>13</v>
      </c>
      <c r="I18" s="16" t="s">
        <v>94</v>
      </c>
      <c r="J18" s="12" t="str">
        <f t="shared" si="0"/>
        <v>Vs 13knots</v>
      </c>
      <c r="K18" s="17">
        <v>5.5</v>
      </c>
      <c r="L18" s="18">
        <f t="shared" si="1"/>
        <v>2.8294199999999998</v>
      </c>
      <c r="M18" s="19">
        <f t="shared" si="8"/>
        <v>7388.8997464108925</v>
      </c>
      <c r="N18" s="20">
        <f t="shared" si="9"/>
        <v>30187.398836678298</v>
      </c>
      <c r="O18" s="18">
        <f t="shared" si="10"/>
        <v>381066666.66666663</v>
      </c>
      <c r="P18" s="18">
        <f t="shared" si="11"/>
        <v>1.7317187328358544E-3</v>
      </c>
      <c r="Q18" s="20">
        <f t="shared" si="2"/>
        <v>2.2421025066862592</v>
      </c>
      <c r="R18" s="18">
        <f t="shared" si="3"/>
        <v>7.1417217249937492E-2</v>
      </c>
      <c r="S18" s="18">
        <f t="shared" si="4"/>
        <v>-8.6273257646064881E-4</v>
      </c>
      <c r="T18" s="18">
        <f t="shared" si="12"/>
        <v>0.52109881473383801</v>
      </c>
      <c r="U18" s="20">
        <f t="shared" si="13"/>
        <v>4.7875494361959335E-2</v>
      </c>
      <c r="V18" s="21">
        <f t="shared" si="14"/>
        <v>44.74085842799731</v>
      </c>
      <c r="W18" s="21">
        <f t="shared" si="5"/>
        <v>126.59067965334414</v>
      </c>
      <c r="X18" s="22">
        <f t="shared" si="6"/>
        <v>44.78873392235927</v>
      </c>
      <c r="Y18" s="22">
        <f t="shared" si="7"/>
        <v>126.72613953460176</v>
      </c>
    </row>
    <row r="19" spans="3:25" ht="15" customHeight="1" x14ac:dyDescent="0.3">
      <c r="C19" s="99" t="s">
        <v>109</v>
      </c>
      <c r="D19" s="99"/>
      <c r="E19" s="99"/>
      <c r="F19" s="99"/>
      <c r="G19" s="23" t="s">
        <v>138</v>
      </c>
      <c r="H19" s="15">
        <f>Vol_desl*rho/1000</f>
        <v>15744</v>
      </c>
      <c r="I19" s="16" t="s">
        <v>137</v>
      </c>
      <c r="J19" s="12" t="str">
        <f t="shared" si="0"/>
        <v>Δ 15744t</v>
      </c>
      <c r="K19" s="17">
        <v>6</v>
      </c>
      <c r="L19" s="18">
        <f t="shared" si="1"/>
        <v>3.0866400000000001</v>
      </c>
      <c r="M19" s="19">
        <f t="shared" si="8"/>
        <v>8793.4013511005669</v>
      </c>
      <c r="N19" s="20">
        <f t="shared" si="9"/>
        <v>35516.452581460551</v>
      </c>
      <c r="O19" s="18">
        <f t="shared" si="10"/>
        <v>415709090.90909094</v>
      </c>
      <c r="P19" s="18">
        <f t="shared" si="11"/>
        <v>1.7120014255749523E-3</v>
      </c>
      <c r="Q19" s="20">
        <f t="shared" si="2"/>
        <v>8.4675031925556574</v>
      </c>
      <c r="R19" s="18">
        <f t="shared" si="3"/>
        <v>7.7909691545386364E-2</v>
      </c>
      <c r="S19" s="18">
        <f t="shared" si="4"/>
        <v>-2.5019660538713232E-3</v>
      </c>
      <c r="T19" s="18">
        <f t="shared" si="12"/>
        <v>0.56628347313726557</v>
      </c>
      <c r="U19" s="20">
        <f t="shared" si="13"/>
        <v>5.9154727150758209E-2</v>
      </c>
      <c r="V19" s="21">
        <f t="shared" si="14"/>
        <v>52.745020266203326</v>
      </c>
      <c r="W19" s="21">
        <f t="shared" si="5"/>
        <v>162.80488935447383</v>
      </c>
      <c r="X19" s="22">
        <f t="shared" si="6"/>
        <v>52.804174993354081</v>
      </c>
      <c r="Y19" s="22">
        <f t="shared" si="7"/>
        <v>162.98747870148645</v>
      </c>
    </row>
    <row r="20" spans="3:25" ht="15" customHeight="1" x14ac:dyDescent="0.3">
      <c r="C20" s="99" t="s">
        <v>110</v>
      </c>
      <c r="D20" s="99"/>
      <c r="E20" s="99"/>
      <c r="F20" s="99"/>
      <c r="G20" s="15" t="s">
        <v>54</v>
      </c>
      <c r="H20" s="15">
        <f>cb/C_x</f>
        <v>0.82644628099173556</v>
      </c>
      <c r="I20" s="16"/>
      <c r="J20" s="12"/>
      <c r="K20" s="17">
        <v>6.5</v>
      </c>
      <c r="L20" s="18">
        <f t="shared" si="1"/>
        <v>3.3438600000000003</v>
      </c>
      <c r="M20" s="19">
        <f t="shared" si="8"/>
        <v>10320.033530111083</v>
      </c>
      <c r="N20" s="20">
        <f t="shared" si="9"/>
        <v>41248.092840027224</v>
      </c>
      <c r="O20" s="18">
        <f t="shared" si="10"/>
        <v>450351515.15151519</v>
      </c>
      <c r="P20" s="18">
        <f t="shared" si="11"/>
        <v>1.6941591320925624E-3</v>
      </c>
      <c r="Q20" s="20">
        <f t="shared" si="2"/>
        <v>26.503921983297975</v>
      </c>
      <c r="R20" s="18">
        <f t="shared" si="3"/>
        <v>8.4402165840835236E-2</v>
      </c>
      <c r="S20" s="18">
        <f t="shared" si="4"/>
        <v>-5.7298255829598037E-3</v>
      </c>
      <c r="T20" s="18">
        <f t="shared" si="12"/>
        <v>0.6109281469833745</v>
      </c>
      <c r="U20" s="20">
        <f t="shared" si="13"/>
        <v>7.1434911133451073E-2</v>
      </c>
      <c r="V20" s="21">
        <f t="shared" si="14"/>
        <v>61.381228626966966</v>
      </c>
      <c r="W20" s="21">
        <f t="shared" si="5"/>
        <v>205.25023515656977</v>
      </c>
      <c r="X20" s="22">
        <f t="shared" si="6"/>
        <v>61.452663538100417</v>
      </c>
      <c r="Y20" s="22">
        <f t="shared" si="7"/>
        <v>205.48910349851246</v>
      </c>
    </row>
    <row r="21" spans="3:25" ht="15" customHeight="1" x14ac:dyDescent="0.3">
      <c r="C21" s="99" t="s">
        <v>111</v>
      </c>
      <c r="D21" s="99"/>
      <c r="E21" s="99"/>
      <c r="F21" s="99"/>
      <c r="G21" s="15" t="s">
        <v>56</v>
      </c>
      <c r="H21" s="15">
        <f>Lbp*(2*T+B)*(C_x^0.5)*(0.453+0.4425*cb-0.2862*C_x-0.003467*(B/T)+0.3696*cwp)+2.38*(A_bulbo/cb)</f>
        <v>4248.7348590030788</v>
      </c>
      <c r="I21" s="16" t="s">
        <v>112</v>
      </c>
      <c r="J21" s="12"/>
      <c r="K21" s="17">
        <v>7</v>
      </c>
      <c r="L21" s="18">
        <f t="shared" si="1"/>
        <v>3.6010800000000001</v>
      </c>
      <c r="M21" s="19">
        <f t="shared" si="8"/>
        <v>11968.796283442438</v>
      </c>
      <c r="N21" s="20">
        <f t="shared" si="9"/>
        <v>47378.555382301165</v>
      </c>
      <c r="O21" s="18">
        <f t="shared" si="10"/>
        <v>484993939.3939395</v>
      </c>
      <c r="P21" s="18">
        <f t="shared" si="11"/>
        <v>1.6778872570051362E-3</v>
      </c>
      <c r="Q21" s="20">
        <f t="shared" si="2"/>
        <v>71.102818781480039</v>
      </c>
      <c r="R21" s="18">
        <f t="shared" si="3"/>
        <v>9.0894640136284094E-2</v>
      </c>
      <c r="S21" s="18">
        <f t="shared" si="4"/>
        <v>-1.1058068794455195E-2</v>
      </c>
      <c r="T21" s="18">
        <f t="shared" si="12"/>
        <v>0.65499986810078747</v>
      </c>
      <c r="U21" s="20">
        <f t="shared" si="13"/>
        <v>8.4599590975597438E-2</v>
      </c>
      <c r="V21" s="21">
        <f>(coef_k1*N21+Q21+M21)/1000</f>
        <v>70.659577631965647</v>
      </c>
      <c r="W21" s="21">
        <f t="shared" si="5"/>
        <v>254.45079181891884</v>
      </c>
      <c r="X21" s="22">
        <f t="shared" si="6"/>
        <v>70.744177222941246</v>
      </c>
      <c r="Y21" s="22">
        <f t="shared" si="7"/>
        <v>254.75544171398926</v>
      </c>
    </row>
    <row r="22" spans="3:25" ht="15" customHeight="1" x14ac:dyDescent="0.3">
      <c r="G22" s="15" t="s">
        <v>119</v>
      </c>
      <c r="H22" s="4">
        <f>1.25*SQRT(Lbp)/0.51444</f>
        <v>30.735145596846859</v>
      </c>
      <c r="J22" s="12"/>
      <c r="K22" s="17">
        <v>7.5</v>
      </c>
      <c r="L22" s="18">
        <f t="shared" si="1"/>
        <v>3.8582999999999998</v>
      </c>
      <c r="M22" s="19">
        <f t="shared" si="8"/>
        <v>13739.689611094633</v>
      </c>
      <c r="N22" s="20">
        <f t="shared" si="9"/>
        <v>53904.402241502299</v>
      </c>
      <c r="O22" s="18">
        <f t="shared" si="10"/>
        <v>519636363.63636369</v>
      </c>
      <c r="P22" s="18">
        <f t="shared" si="11"/>
        <v>1.6629483052440159E-3</v>
      </c>
      <c r="Q22" s="20">
        <f t="shared" si="2"/>
        <v>162.8798174943833</v>
      </c>
      <c r="R22" s="18">
        <f t="shared" si="3"/>
        <v>9.7387114431732952E-2</v>
      </c>
      <c r="S22" s="18">
        <f t="shared" si="4"/>
        <v>-1.8794755597945179E-2</v>
      </c>
      <c r="T22" s="18">
        <f t="shared" si="12"/>
        <v>0.69846814057847184</v>
      </c>
      <c r="U22" s="20">
        <f t="shared" si="13"/>
        <v>9.8528709403073914E-2</v>
      </c>
      <c r="V22" s="21">
        <f t="shared" si="14"/>
        <v>80.596429240008206</v>
      </c>
      <c r="W22" s="21">
        <f t="shared" si="5"/>
        <v>310.96520293672364</v>
      </c>
      <c r="X22" s="22">
        <f t="shared" si="6"/>
        <v>80.694957949411275</v>
      </c>
      <c r="Y22" s="22">
        <f t="shared" si="7"/>
        <v>311.34535625621351</v>
      </c>
    </row>
    <row r="23" spans="3:25" ht="15" customHeight="1" x14ac:dyDescent="0.3">
      <c r="I23" s="4">
        <f>T_f-h_bulbo</f>
        <v>3.8400000000000003</v>
      </c>
      <c r="J23" s="12"/>
      <c r="K23" s="17">
        <v>8</v>
      </c>
      <c r="L23" s="18">
        <f t="shared" si="1"/>
        <v>4.1155200000000001</v>
      </c>
      <c r="M23" s="19">
        <f t="shared" si="8"/>
        <v>15632.713513067674</v>
      </c>
      <c r="N23" s="20">
        <f t="shared" si="9"/>
        <v>60822.472732054957</v>
      </c>
      <c r="O23" s="18">
        <f t="shared" si="10"/>
        <v>554278787.87878799</v>
      </c>
      <c r="P23" s="18">
        <f t="shared" si="11"/>
        <v>1.649153723314903E-3</v>
      </c>
      <c r="Q23" s="20">
        <f t="shared" si="2"/>
        <v>344.09396415710722</v>
      </c>
      <c r="R23" s="18">
        <f t="shared" si="3"/>
        <v>0.10387958872718182</v>
      </c>
      <c r="S23" s="18">
        <f t="shared" si="4"/>
        <v>-2.9011309414529573E-2</v>
      </c>
      <c r="T23" s="18">
        <f t="shared" si="12"/>
        <v>0.74130499146935458</v>
      </c>
      <c r="U23" s="20">
        <f t="shared" si="13"/>
        <v>0.11310305035980527</v>
      </c>
      <c r="V23" s="21">
        <f t="shared" si="14"/>
        <v>91.230131901484015</v>
      </c>
      <c r="W23" s="21">
        <f t="shared" si="5"/>
        <v>375.45943244319551</v>
      </c>
      <c r="X23" s="22">
        <f t="shared" si="6"/>
        <v>91.343234951843826</v>
      </c>
      <c r="Y23" s="22">
        <f t="shared" si="7"/>
        <v>375.92491030901232</v>
      </c>
    </row>
    <row r="24" spans="3:25" ht="15" customHeight="1" x14ac:dyDescent="0.3">
      <c r="H24" s="4">
        <f>(T_f-h_bulbo-0.25*SQRT(A_bulbo))</f>
        <v>2.8828749205110218</v>
      </c>
      <c r="I24" s="4">
        <f>0.25*SQRT(A_bulbo)</f>
        <v>0.95712507948897851</v>
      </c>
      <c r="J24" s="12"/>
      <c r="K24" s="17">
        <v>8.5</v>
      </c>
      <c r="L24" s="18">
        <f t="shared" si="1"/>
        <v>4.3727400000000003</v>
      </c>
      <c r="M24" s="19">
        <f t="shared" si="8"/>
        <v>17647.867989361559</v>
      </c>
      <c r="N24" s="20">
        <f t="shared" si="9"/>
        <v>68129.844523240041</v>
      </c>
      <c r="O24" s="18">
        <f t="shared" si="10"/>
        <v>588921212.12121224</v>
      </c>
      <c r="P24" s="18">
        <f t="shared" si="11"/>
        <v>1.6363514575833229E-3</v>
      </c>
      <c r="Q24" s="20">
        <f t="shared" si="2"/>
        <v>718.14581938728304</v>
      </c>
      <c r="R24" s="18">
        <f t="shared" si="3"/>
        <v>0.11037206302263068</v>
      </c>
      <c r="S24" s="18">
        <f t="shared" si="4"/>
        <v>-4.1573531683465628E-2</v>
      </c>
      <c r="T24" s="18">
        <f t="shared" si="12"/>
        <v>0.78348499965817864</v>
      </c>
      <c r="U24" s="20">
        <f t="shared" si="13"/>
        <v>0.12820755828041699</v>
      </c>
      <c r="V24" s="21">
        <f t="shared" si="14"/>
        <v>102.660470488733</v>
      </c>
      <c r="W24" s="21">
        <f t="shared" si="5"/>
        <v>448.90754572490238</v>
      </c>
      <c r="X24" s="22">
        <f t="shared" si="6"/>
        <v>102.78867804701342</v>
      </c>
      <c r="Y24" s="22">
        <f t="shared" si="7"/>
        <v>449.46816404329746</v>
      </c>
    </row>
    <row r="25" spans="3:25" ht="15" customHeight="1" x14ac:dyDescent="0.3">
      <c r="C25" s="3" t="s">
        <v>41</v>
      </c>
      <c r="D25" s="26">
        <f>2223105*(coef_7^3.78613)*((T/B)^1.07961)*((90-coef_ie)^-1.37565)</f>
        <v>1.0554046086059008</v>
      </c>
      <c r="J25" s="12"/>
      <c r="K25" s="17">
        <v>9</v>
      </c>
      <c r="L25" s="18">
        <f t="shared" si="1"/>
        <v>4.6299600000000005</v>
      </c>
      <c r="M25" s="19">
        <f t="shared" si="8"/>
        <v>19785.153039976278</v>
      </c>
      <c r="N25" s="20">
        <f t="shared" si="9"/>
        <v>75823.802216705444</v>
      </c>
      <c r="O25" s="18">
        <f t="shared" si="10"/>
        <v>623563636.36363649</v>
      </c>
      <c r="P25" s="18">
        <f t="shared" si="11"/>
        <v>1.6244172057665654E-3</v>
      </c>
      <c r="Q25" s="20">
        <f t="shared" si="2"/>
        <v>1206.8112769962629</v>
      </c>
      <c r="R25" s="18">
        <f t="shared" si="3"/>
        <v>0.11686453731807955</v>
      </c>
      <c r="S25" s="18">
        <f t="shared" si="4"/>
        <v>-5.6202494856622674E-2</v>
      </c>
      <c r="T25" s="18">
        <f t="shared" si="12"/>
        <v>0.82498530387467461</v>
      </c>
      <c r="U25" s="20">
        <f t="shared" si="13"/>
        <v>0.14373365947177658</v>
      </c>
      <c r="V25" s="21">
        <f>(coef_k1*N25+Q25+M25)/1000</f>
        <v>114.80586123680955</v>
      </c>
      <c r="W25" s="21">
        <f t="shared" si="5"/>
        <v>531.54654529197876</v>
      </c>
      <c r="X25" s="22">
        <f t="shared" si="6"/>
        <v>114.94959489628133</v>
      </c>
      <c r="Y25" s="22">
        <f t="shared" si="7"/>
        <v>532.21202638598675</v>
      </c>
    </row>
    <row r="26" spans="3:25" ht="15" customHeight="1" x14ac:dyDescent="0.3">
      <c r="C26" s="3" t="s">
        <v>42</v>
      </c>
      <c r="D26" s="26">
        <f>EXP(-1.89*(coef_3)^0.5)</f>
        <v>0.64961143031280111</v>
      </c>
      <c r="J26" s="12"/>
      <c r="K26" s="17">
        <v>9.5</v>
      </c>
      <c r="L26" s="18">
        <f t="shared" si="1"/>
        <v>4.8871799999999999</v>
      </c>
      <c r="M26" s="19">
        <f t="shared" si="8"/>
        <v>22044.568664911832</v>
      </c>
      <c r="N26" s="20">
        <f t="shared" si="9"/>
        <v>83901.811633173929</v>
      </c>
      <c r="O26" s="18">
        <f t="shared" si="10"/>
        <v>658206060.60606062</v>
      </c>
      <c r="P26" s="18">
        <f t="shared" si="11"/>
        <v>1.6132481249405918E-3</v>
      </c>
      <c r="Q26" s="20">
        <f t="shared" si="2"/>
        <v>1999.6767662152108</v>
      </c>
      <c r="R26" s="18">
        <f t="shared" si="3"/>
        <v>0.1233570116135284</v>
      </c>
      <c r="S26" s="18">
        <f t="shared" si="4"/>
        <v>-7.2538570040329459E-2</v>
      </c>
      <c r="T26" s="18">
        <f t="shared" si="12"/>
        <v>0.86578559107683639</v>
      </c>
      <c r="U26" s="20">
        <f t="shared" si="13"/>
        <v>0.15958074616488097</v>
      </c>
      <c r="V26" s="21">
        <f t="shared" si="14"/>
        <v>127.85275513163364</v>
      </c>
      <c r="W26" s="21">
        <f t="shared" si="5"/>
        <v>624.8394278242173</v>
      </c>
      <c r="X26" s="22">
        <f t="shared" si="6"/>
        <v>128.01233587779853</v>
      </c>
      <c r="Y26" s="22">
        <f t="shared" si="7"/>
        <v>625.61932765525944</v>
      </c>
    </row>
    <row r="27" spans="3:25" ht="15" customHeight="1" x14ac:dyDescent="0.3">
      <c r="C27" s="3" t="s">
        <v>43</v>
      </c>
      <c r="D27" s="26">
        <f>0.56*A_bulbo^1.5/(B*T*(0.31*(A_bulbo^0.5)+T_f-h_bulbo))</f>
        <v>5.2095259377620835E-2</v>
      </c>
      <c r="G27" s="97" t="s">
        <v>62</v>
      </c>
      <c r="H27" s="97"/>
      <c r="J27" s="12"/>
      <c r="K27" s="17">
        <v>10</v>
      </c>
      <c r="L27" s="18">
        <f t="shared" si="1"/>
        <v>5.1444000000000001</v>
      </c>
      <c r="M27" s="19">
        <f t="shared" si="8"/>
        <v>24426.114864168241</v>
      </c>
      <c r="N27" s="20">
        <f t="shared" si="9"/>
        <v>92361.498517194472</v>
      </c>
      <c r="O27" s="18">
        <f t="shared" si="10"/>
        <v>692848484.84848499</v>
      </c>
      <c r="P27" s="18">
        <f t="shared" si="11"/>
        <v>1.6027582156782612E-3</v>
      </c>
      <c r="Q27" s="20">
        <f t="shared" si="2"/>
        <v>3199.5244273425301</v>
      </c>
      <c r="R27" s="18">
        <f t="shared" si="3"/>
        <v>0.12984948590897727</v>
      </c>
      <c r="S27" s="18">
        <f t="shared" si="4"/>
        <v>-9.0194419996890499E-2</v>
      </c>
      <c r="T27" s="18">
        <f t="shared" si="12"/>
        <v>0.90586806662917985</v>
      </c>
      <c r="U27" s="20">
        <f t="shared" si="13"/>
        <v>0.17565699095516601</v>
      </c>
      <c r="V27" s="21">
        <f t="shared" si="14"/>
        <v>141.90099673783971</v>
      </c>
      <c r="W27" s="21">
        <f t="shared" si="5"/>
        <v>729.99548761814265</v>
      </c>
      <c r="X27" s="22">
        <f t="shared" si="6"/>
        <v>142.07665372879487</v>
      </c>
      <c r="Y27" s="22">
        <f t="shared" si="7"/>
        <v>730.89913744241233</v>
      </c>
    </row>
    <row r="28" spans="3:25" ht="15" customHeight="1" x14ac:dyDescent="0.3">
      <c r="C28" s="3" t="s">
        <v>44</v>
      </c>
      <c r="D28" s="26">
        <f>IF(T_f/Lbp&lt;=0.04,T_f/Lbp,0.04)</f>
        <v>3.7499999999999999E-2</v>
      </c>
      <c r="G28" s="4" t="s">
        <v>63</v>
      </c>
      <c r="H28" s="13">
        <f>MAIN!C5</f>
        <v>2.1599999999999997</v>
      </c>
      <c r="J28" s="12"/>
      <c r="K28" s="17">
        <v>10.5</v>
      </c>
      <c r="L28" s="18">
        <f t="shared" si="1"/>
        <v>5.4016200000000003</v>
      </c>
      <c r="M28" s="19">
        <f t="shared" si="8"/>
        <v>26929.791637745486</v>
      </c>
      <c r="N28" s="20">
        <f t="shared" si="9"/>
        <v>101200.63071231483</v>
      </c>
      <c r="O28" s="18">
        <f t="shared" si="10"/>
        <v>727490909.09090924</v>
      </c>
      <c r="P28" s="18">
        <f t="shared" si="11"/>
        <v>1.59287487582534E-3</v>
      </c>
      <c r="Q28" s="20">
        <f t="shared" si="2"/>
        <v>5195.2865823328984</v>
      </c>
      <c r="R28" s="18">
        <f t="shared" si="3"/>
        <v>0.13634196020442615</v>
      </c>
      <c r="S28" s="18">
        <f t="shared" si="4"/>
        <v>-0.1087925344575672</v>
      </c>
      <c r="T28" s="18">
        <f t="shared" si="12"/>
        <v>0.94521740785647623</v>
      </c>
      <c r="U28" s="20">
        <f t="shared" si="13"/>
        <v>0.19187964909726343</v>
      </c>
      <c r="V28" s="21">
        <f t="shared" si="14"/>
        <v>157.3367566153868</v>
      </c>
      <c r="W28" s="21">
        <f t="shared" si="5"/>
        <v>849.87337126880573</v>
      </c>
      <c r="X28" s="22">
        <f t="shared" si="6"/>
        <v>157.52863626448408</v>
      </c>
      <c r="Y28" s="22">
        <f t="shared" si="7"/>
        <v>850.90983221896249</v>
      </c>
    </row>
    <row r="29" spans="3:25" ht="15" customHeight="1" x14ac:dyDescent="0.3">
      <c r="C29" s="3" t="s">
        <v>45</v>
      </c>
      <c r="D29" s="26">
        <f>1-0.8*(A_tram)/(B*T*C_x)</f>
        <v>1</v>
      </c>
      <c r="G29" s="4" t="s">
        <v>120</v>
      </c>
      <c r="H29" s="13">
        <f>h_bulbo</f>
        <v>2.1599999999999997</v>
      </c>
      <c r="J29" s="12"/>
      <c r="K29" s="17">
        <v>11</v>
      </c>
      <c r="L29" s="18">
        <f t="shared" ref="L29:L38" si="15">0.51444*K29</f>
        <v>5.6588399999999996</v>
      </c>
      <c r="M29" s="19">
        <f t="shared" ref="M29:M38" si="16">0.5*rho*(L29^2)*Sm*coef_ca</f>
        <v>29555.59898564357</v>
      </c>
      <c r="N29" s="20">
        <f t="shared" ref="N29:N38" si="17">P29*0.5*rho*L29^2*Sm</f>
        <v>110417.10309880482</v>
      </c>
      <c r="O29" s="18">
        <f t="shared" ref="O29:O38" si="18">L29*Lbp/visco</f>
        <v>762133333.33333325</v>
      </c>
      <c r="P29" s="18">
        <f t="shared" ref="P29:P38" si="19">0.075/ (LOG10(O29)-2)^2</f>
        <v>1.5835362869137182E-3</v>
      </c>
      <c r="Q29" s="20">
        <f t="shared" si="2"/>
        <v>9232.4964989898472</v>
      </c>
      <c r="R29" s="18">
        <f t="shared" ref="R29:R38" si="20">L29/((grav*Lbp)^0.5)</f>
        <v>0.14283443449987498</v>
      </c>
      <c r="S29" s="18">
        <f t="shared" si="4"/>
        <v>-0.12798829514533305</v>
      </c>
      <c r="T29" s="18">
        <f t="shared" si="12"/>
        <v>0.98382070266518751</v>
      </c>
      <c r="U29" s="20">
        <f t="shared" si="13"/>
        <v>0.20817498645456703</v>
      </c>
      <c r="V29" s="21">
        <f t="shared" si="14"/>
        <v>175.40296344777124</v>
      </c>
      <c r="W29" s="21">
        <f t="shared" ref="W29:W38" si="21">(L29*V29)</f>
        <v>992.57730567678573</v>
      </c>
      <c r="X29" s="22">
        <f t="shared" si="6"/>
        <v>175.61113843422581</v>
      </c>
      <c r="Y29" s="22">
        <f t="shared" si="7"/>
        <v>993.75533461713428</v>
      </c>
    </row>
    <row r="30" spans="3:25" ht="16.5" customHeight="1" x14ac:dyDescent="0.3">
      <c r="C30" s="27" t="s">
        <v>61</v>
      </c>
      <c r="D30" s="4">
        <f>0.2*(1-0.2)</f>
        <v>0.16000000000000003</v>
      </c>
      <c r="G30" s="4" t="s">
        <v>64</v>
      </c>
      <c r="H30" s="4">
        <f>H28*H29*PI()</f>
        <v>14.657414684588534</v>
      </c>
      <c r="J30" s="12"/>
      <c r="K30" s="17">
        <v>11.5</v>
      </c>
      <c r="L30" s="18">
        <f t="shared" si="15"/>
        <v>5.9160599999999999</v>
      </c>
      <c r="M30" s="19">
        <f t="shared" si="16"/>
        <v>32303.536907862501</v>
      </c>
      <c r="N30" s="20">
        <f t="shared" si="17"/>
        <v>120008.92475677594</v>
      </c>
      <c r="O30" s="18">
        <f t="shared" si="18"/>
        <v>796775757.57575762</v>
      </c>
      <c r="P30" s="18">
        <f t="shared" si="19"/>
        <v>1.5746894039720789E-3</v>
      </c>
      <c r="Q30" s="20">
        <f t="shared" si="2"/>
        <v>11160.337034185099</v>
      </c>
      <c r="R30" s="18">
        <f t="shared" si="20"/>
        <v>0.14932690879532387</v>
      </c>
      <c r="S30" s="18">
        <f t="shared" si="4"/>
        <v>-0.14748170119945389</v>
      </c>
      <c r="T30" s="18">
        <f t="shared" si="12"/>
        <v>1.0216673749944591</v>
      </c>
      <c r="U30" s="20">
        <f t="shared" si="13"/>
        <v>0.2244779475502682</v>
      </c>
      <c r="V30" s="21">
        <f t="shared" si="14"/>
        <v>191.94633680266355</v>
      </c>
      <c r="W30" s="21">
        <f t="shared" si="21"/>
        <v>1135.5660453047658</v>
      </c>
      <c r="X30" s="22">
        <f t="shared" si="6"/>
        <v>192.17081475021382</v>
      </c>
      <c r="Y30" s="22">
        <f t="shared" si="7"/>
        <v>1136.89407031115</v>
      </c>
    </row>
    <row r="31" spans="3:25" ht="15" customHeight="1" x14ac:dyDescent="0.3">
      <c r="C31" s="3" t="s">
        <v>46</v>
      </c>
      <c r="D31" s="26">
        <f>IF((B/Lbp)&lt;=0.11,(0.229577*(B/Lbp)^0.3333),IF(0.11&lt;(B/Lbp)&amp;((B/Lbp)&lt;0.25),(B/Lbp),IF((B/Lbp)&gt;=0.25,(0.5-0.0625*Lbp/B))))</f>
        <v>0.125</v>
      </c>
      <c r="H31" s="13"/>
      <c r="J31" s="12"/>
      <c r="K31" s="17">
        <v>12</v>
      </c>
      <c r="L31" s="18">
        <f t="shared" si="15"/>
        <v>6.1732800000000001</v>
      </c>
      <c r="M31" s="19">
        <f t="shared" si="16"/>
        <v>35173.605404402268</v>
      </c>
      <c r="N31" s="20">
        <f t="shared" si="17"/>
        <v>129974.20794129973</v>
      </c>
      <c r="O31" s="18">
        <f t="shared" si="18"/>
        <v>831418181.81818187</v>
      </c>
      <c r="P31" s="18">
        <f t="shared" si="19"/>
        <v>1.566288389677415E-3</v>
      </c>
      <c r="Q31" s="20">
        <f t="shared" si="2"/>
        <v>16861.470373336473</v>
      </c>
      <c r="R31" s="18">
        <f t="shared" si="20"/>
        <v>0.15581938309077273</v>
      </c>
      <c r="S31" s="18">
        <f t="shared" si="4"/>
        <v>-0.16702118401980207</v>
      </c>
      <c r="T31" s="18">
        <f t="shared" si="12"/>
        <v>1.0587490988889077</v>
      </c>
      <c r="U31" s="20">
        <f t="shared" si="13"/>
        <v>0.2407316548182413</v>
      </c>
      <c r="V31" s="21">
        <f t="shared" si="14"/>
        <v>212.84720323072102</v>
      </c>
      <c r="W31" s="21">
        <f t="shared" si="21"/>
        <v>1313.9653827601455</v>
      </c>
      <c r="X31" s="22">
        <f t="shared" si="6"/>
        <v>213.08793488553925</v>
      </c>
      <c r="Y31" s="22">
        <f t="shared" si="7"/>
        <v>1315.4514866702018</v>
      </c>
    </row>
    <row r="32" spans="3:25" ht="15" customHeight="1" x14ac:dyDescent="0.3">
      <c r="C32" s="3" t="s">
        <v>47</v>
      </c>
      <c r="D32" s="26">
        <f>IF(T/Lbp&gt;=0.05, (T/Lbp)^0.2228446, IF( 0.2&lt;(T/Lbp) &amp;((T/Lbp) &lt;0.05), (48.2*((T/Lbp-0.02)^2.078)+0.479948), IF((T/Lbp)&lt;=0.02,0.479948)))</f>
        <v>0.49071463780476843</v>
      </c>
      <c r="J32" s="12"/>
      <c r="K32" s="17">
        <v>12.5</v>
      </c>
      <c r="L32" s="18">
        <f t="shared" si="15"/>
        <v>6.4305000000000003</v>
      </c>
      <c r="M32" s="19">
        <f t="shared" si="16"/>
        <v>38165.804475262878</v>
      </c>
      <c r="N32" s="20">
        <f t="shared" si="17"/>
        <v>140311.15854730183</v>
      </c>
      <c r="O32" s="18">
        <f t="shared" si="18"/>
        <v>866060606.06060624</v>
      </c>
      <c r="P32" s="18">
        <f t="shared" si="19"/>
        <v>1.5582933804992429E-3</v>
      </c>
      <c r="Q32" s="20">
        <f t="shared" si="2"/>
        <v>22358.013724934081</v>
      </c>
      <c r="R32" s="18">
        <f t="shared" si="20"/>
        <v>0.16231185738622159</v>
      </c>
      <c r="S32" s="18">
        <f t="shared" si="4"/>
        <v>-0.18640242895404355</v>
      </c>
      <c r="T32" s="18">
        <f t="shared" si="12"/>
        <v>1.0950597029801254</v>
      </c>
      <c r="U32" s="20">
        <f t="shared" si="13"/>
        <v>0.25688680891139132</v>
      </c>
      <c r="V32" s="21">
        <f t="shared" si="14"/>
        <v>234.1254601626913</v>
      </c>
      <c r="W32" s="21">
        <f t="shared" si="21"/>
        <v>1505.5437715761864</v>
      </c>
      <c r="X32" s="22">
        <f t="shared" si="6"/>
        <v>234.38234697160269</v>
      </c>
      <c r="Y32" s="22">
        <f t="shared" si="7"/>
        <v>1507.195682200891</v>
      </c>
    </row>
    <row r="33" spans="3:25" ht="15" customHeight="1" x14ac:dyDescent="0.3">
      <c r="C33" s="3" t="s">
        <v>48</v>
      </c>
      <c r="D33" s="26">
        <f>1+0.003*cstern</f>
        <v>1</v>
      </c>
      <c r="J33" s="12"/>
      <c r="K33" s="17">
        <v>13</v>
      </c>
      <c r="L33" s="18">
        <f t="shared" si="15"/>
        <v>6.6877200000000006</v>
      </c>
      <c r="M33" s="19">
        <f t="shared" si="16"/>
        <v>41280.134120444331</v>
      </c>
      <c r="N33" s="20">
        <f t="shared" si="17"/>
        <v>151018.06781015822</v>
      </c>
      <c r="O33" s="18">
        <f t="shared" si="18"/>
        <v>900703030.30303037</v>
      </c>
      <c r="P33" s="18">
        <f t="shared" si="19"/>
        <v>1.5506695041866119E-3</v>
      </c>
      <c r="Q33" s="20">
        <f t="shared" si="2"/>
        <v>34005.761549368035</v>
      </c>
      <c r="R33" s="18">
        <f t="shared" si="20"/>
        <v>0.16880433168167047</v>
      </c>
      <c r="S33" s="18">
        <f t="shared" si="4"/>
        <v>-0.20546438634256467</v>
      </c>
      <c r="T33" s="18">
        <f t="shared" si="12"/>
        <v>1.1305950671270579</v>
      </c>
      <c r="U33" s="20">
        <f t="shared" si="13"/>
        <v>0.272901041767112</v>
      </c>
      <c r="V33" s="21">
        <f t="shared" si="14"/>
        <v>262.13478786970455</v>
      </c>
      <c r="W33" s="21">
        <f t="shared" si="21"/>
        <v>1753.0840635319807</v>
      </c>
      <c r="X33" s="22">
        <f t="shared" si="6"/>
        <v>262.40768891147167</v>
      </c>
      <c r="Y33" s="22">
        <f t="shared" si="7"/>
        <v>1754.9091492870275</v>
      </c>
    </row>
    <row r="34" spans="3:25" ht="15" customHeight="1" x14ac:dyDescent="0.3">
      <c r="C34" s="3" t="s">
        <v>49</v>
      </c>
      <c r="D34" s="26">
        <f>IF(Lbp^3/Vol_desl&lt;512, -1.69385,IF(Lbp^3/Vol_desl&gt;=1727, 0, IF(512&lt;(Lbp^3/Vol_desl) &amp; ((Lbp^3/Vol_desl)&lt;1727), (-1.69385+(Lbp/(Vol_desl^(1/3))-8)/2.36))))</f>
        <v>-1.6938500000000001</v>
      </c>
      <c r="H34" s="13"/>
      <c r="J34" s="12"/>
      <c r="K34" s="17">
        <v>13.5</v>
      </c>
      <c r="L34" s="18">
        <f t="shared" si="15"/>
        <v>6.9449399999999999</v>
      </c>
      <c r="M34" s="19">
        <f t="shared" si="16"/>
        <v>44516.59433994662</v>
      </c>
      <c r="N34" s="20">
        <f t="shared" si="17"/>
        <v>162093.30503954503</v>
      </c>
      <c r="O34" s="18">
        <f t="shared" si="18"/>
        <v>935345454.54545462</v>
      </c>
      <c r="P34" s="18">
        <f t="shared" si="19"/>
        <v>1.5433860898441596E-3</v>
      </c>
      <c r="Q34" s="20">
        <f t="shared" si="2"/>
        <v>32567.609728430769</v>
      </c>
      <c r="R34" s="18">
        <f t="shared" si="20"/>
        <v>0.1752968059771193</v>
      </c>
      <c r="S34" s="18">
        <f t="shared" si="4"/>
        <v>-0.22408396806777964</v>
      </c>
      <c r="T34" s="18">
        <f t="shared" si="12"/>
        <v>1.1653530129016214</v>
      </c>
      <c r="U34" s="20">
        <f t="shared" si="13"/>
        <v>0.28873825930197883</v>
      </c>
      <c r="V34" s="21">
        <f t="shared" si="14"/>
        <v>277.63606464264529</v>
      </c>
      <c r="W34" s="21">
        <f t="shared" si="21"/>
        <v>1928.165810779293</v>
      </c>
      <c r="X34" s="22">
        <f t="shared" si="6"/>
        <v>277.92480290194726</v>
      </c>
      <c r="Y34" s="22">
        <f t="shared" si="7"/>
        <v>1930.1710806658496</v>
      </c>
    </row>
    <row r="35" spans="3:25" ht="15" customHeight="1" x14ac:dyDescent="0.3">
      <c r="C35" s="3" t="s">
        <v>50</v>
      </c>
      <c r="D35" s="26">
        <f>IF(Cp&lt;=0.8,(8.07981*Cp-13.8673*Cp^2+6.984388*Cp^3),(1.73014-0.7067*Cp))</f>
        <v>1.1460904132231406</v>
      </c>
      <c r="H35" s="13"/>
      <c r="J35" s="12"/>
      <c r="K35" s="17">
        <v>14</v>
      </c>
      <c r="L35" s="18">
        <f t="shared" si="15"/>
        <v>7.2021600000000001</v>
      </c>
      <c r="M35" s="19">
        <f t="shared" si="16"/>
        <v>47875.185133769752</v>
      </c>
      <c r="N35" s="20">
        <f t="shared" si="17"/>
        <v>173535.31122366714</v>
      </c>
      <c r="O35" s="18">
        <f t="shared" si="18"/>
        <v>969987878.78787899</v>
      </c>
      <c r="P35" s="18">
        <f t="shared" si="19"/>
        <v>1.5364160272148281E-3</v>
      </c>
      <c r="Q35" s="20">
        <f t="shared" si="2"/>
        <v>63107.917920131098</v>
      </c>
      <c r="R35" s="18">
        <f t="shared" si="20"/>
        <v>0.18178928027256819</v>
      </c>
      <c r="S35" s="18">
        <f t="shared" si="4"/>
        <v>-0.24217038192960749</v>
      </c>
      <c r="T35" s="18">
        <f t="shared" si="12"/>
        <v>1.1993331895198691</v>
      </c>
      <c r="U35" s="20">
        <f t="shared" si="13"/>
        <v>0.30436799893512478</v>
      </c>
      <c r="V35" s="21">
        <f t="shared" si="14"/>
        <v>325.69172123372283</v>
      </c>
      <c r="W35" s="21">
        <f t="shared" si="21"/>
        <v>2345.6838870006691</v>
      </c>
      <c r="X35" s="22">
        <f t="shared" si="6"/>
        <v>325.99608923265794</v>
      </c>
      <c r="Y35" s="22">
        <f t="shared" si="7"/>
        <v>2347.8759940278796</v>
      </c>
    </row>
    <row r="36" spans="3:25" ht="42" customHeight="1" x14ac:dyDescent="0.3">
      <c r="C36" s="3" t="s">
        <v>51</v>
      </c>
      <c r="D36" s="26">
        <f>0.006*((Lbp+100)^(-0.16))-0.00205+0.003*((Lbp/7.5)^0.5)*cb^4*coef_2*(0.04-coef_4)</f>
        <v>4.2386878628174646E-4</v>
      </c>
      <c r="I36" s="14"/>
      <c r="J36" s="12"/>
      <c r="K36" s="17">
        <v>14.5</v>
      </c>
      <c r="L36" s="18">
        <f t="shared" si="15"/>
        <v>7.4593800000000003</v>
      </c>
      <c r="M36" s="19">
        <f t="shared" si="16"/>
        <v>51355.906501913734</v>
      </c>
      <c r="N36" s="20">
        <f t="shared" si="17"/>
        <v>185342.59337166877</v>
      </c>
      <c r="O36" s="18">
        <f t="shared" si="18"/>
        <v>1004630303.0303031</v>
      </c>
      <c r="P36" s="18">
        <f t="shared" si="19"/>
        <v>1.5297352427384959E-3</v>
      </c>
      <c r="Q36" s="20">
        <f t="shared" si="2"/>
        <v>69849.262158410944</v>
      </c>
      <c r="R36" s="18">
        <f t="shared" si="20"/>
        <v>0.18828175456801705</v>
      </c>
      <c r="S36" s="18">
        <f t="shared" si="4"/>
        <v>-0.25965966382772726</v>
      </c>
      <c r="T36" s="18">
        <f t="shared" si="12"/>
        <v>1.2325369567152524</v>
      </c>
      <c r="U36" s="20">
        <f t="shared" si="13"/>
        <v>0.31976481823498104</v>
      </c>
      <c r="V36" s="21">
        <f t="shared" si="14"/>
        <v>350.5224864562681</v>
      </c>
      <c r="W36" s="21">
        <f t="shared" si="21"/>
        <v>2614.6804250221571</v>
      </c>
      <c r="X36" s="22">
        <f t="shared" si="6"/>
        <v>350.8422512745031</v>
      </c>
      <c r="Y36" s="22">
        <f t="shared" si="7"/>
        <v>2617.0656723120032</v>
      </c>
    </row>
    <row r="37" spans="3:25" ht="30" customHeight="1" x14ac:dyDescent="0.3">
      <c r="C37" s="3" t="s">
        <v>53</v>
      </c>
      <c r="D37" s="26">
        <f>Lbp*(1-Cp+(0.06*LCB*Cp/(4*Cp-1)))</f>
        <v>34.650315471429835</v>
      </c>
      <c r="J37" s="12"/>
      <c r="K37" s="17">
        <v>15</v>
      </c>
      <c r="L37" s="18">
        <f t="shared" si="15"/>
        <v>7.7165999999999997</v>
      </c>
      <c r="M37" s="19">
        <f t="shared" si="16"/>
        <v>54958.758444378531</v>
      </c>
      <c r="N37" s="20">
        <f t="shared" si="17"/>
        <v>197513.71948605412</v>
      </c>
      <c r="O37" s="18">
        <f t="shared" si="18"/>
        <v>1039272727.2727274</v>
      </c>
      <c r="P37" s="18">
        <f t="shared" si="19"/>
        <v>1.5233222678652123E-3</v>
      </c>
      <c r="Q37" s="20">
        <f t="shared" si="2"/>
        <v>62242.056329337633</v>
      </c>
      <c r="R37" s="18">
        <f t="shared" si="20"/>
        <v>0.1947742288634659</v>
      </c>
      <c r="S37" s="18">
        <f t="shared" si="4"/>
        <v>-0.27650970285376725</v>
      </c>
      <c r="T37" s="18">
        <f t="shared" si="12"/>
        <v>1.2649672659335816</v>
      </c>
      <c r="U37" s="20">
        <f t="shared" si="13"/>
        <v>0.33490772438497318</v>
      </c>
      <c r="V37" s="21">
        <f t="shared" si="14"/>
        <v>361.57700244049437</v>
      </c>
      <c r="W37" s="21">
        <f t="shared" si="21"/>
        <v>2790.1450970323185</v>
      </c>
      <c r="X37" s="22">
        <f t="shared" si="6"/>
        <v>361.91191016487932</v>
      </c>
      <c r="Y37" s="22">
        <f t="shared" si="7"/>
        <v>2792.7294459783075</v>
      </c>
    </row>
    <row r="38" spans="3:25" ht="15" customHeight="1" x14ac:dyDescent="0.3">
      <c r="C38" s="3" t="s">
        <v>55</v>
      </c>
      <c r="D38" s="28">
        <v>0</v>
      </c>
      <c r="J38" s="12"/>
      <c r="K38" s="17">
        <v>15.5</v>
      </c>
      <c r="L38" s="18">
        <f t="shared" si="15"/>
        <v>7.9738199999999999</v>
      </c>
      <c r="M38" s="19">
        <f t="shared" si="16"/>
        <v>58683.7409611642</v>
      </c>
      <c r="N38" s="20">
        <f t="shared" si="17"/>
        <v>210047.31407593397</v>
      </c>
      <c r="O38" s="18">
        <f t="shared" si="18"/>
        <v>1073915151.5151517</v>
      </c>
      <c r="P38" s="18">
        <f t="shared" si="19"/>
        <v>1.5171578808860699E-3</v>
      </c>
      <c r="Q38" s="20">
        <f t="shared" si="2"/>
        <v>100619.94625521751</v>
      </c>
      <c r="R38" s="18">
        <f t="shared" si="20"/>
        <v>0.20126670315891476</v>
      </c>
      <c r="S38" s="18">
        <f t="shared" si="4"/>
        <v>-0.29269588541067354</v>
      </c>
      <c r="T38" s="18">
        <f t="shared" si="12"/>
        <v>1.2966285411033152</v>
      </c>
      <c r="U38" s="20">
        <f t="shared" si="13"/>
        <v>0.34977964941261142</v>
      </c>
      <c r="V38" s="21">
        <f t="shared" si="14"/>
        <v>419.18721316632184</v>
      </c>
      <c r="W38" s="21">
        <f t="shared" si="21"/>
        <v>3342.5233840898804</v>
      </c>
      <c r="X38" s="22">
        <f t="shared" si="6"/>
        <v>419.53699281573444</v>
      </c>
      <c r="Y38" s="22">
        <f t="shared" si="7"/>
        <v>3345.3124640539595</v>
      </c>
    </row>
    <row r="39" spans="3:25" ht="15" customHeight="1" x14ac:dyDescent="0.3">
      <c r="C39" s="27" t="s">
        <v>68</v>
      </c>
      <c r="D39" s="16">
        <v>-0.9</v>
      </c>
      <c r="K39" s="17">
        <v>16</v>
      </c>
      <c r="L39" s="18">
        <f t="shared" ref="L39:L45" si="22">0.51444*K39</f>
        <v>8.2310400000000001</v>
      </c>
      <c r="M39" s="19">
        <f t="shared" ref="M39:M45" si="23">0.5*rho*(L39^2)*Sm*coef_ca</f>
        <v>62530.854052270697</v>
      </c>
      <c r="N39" s="20">
        <f t="shared" ref="N39:N45" si="24">P39*0.5*rho*L39^2*Sm</f>
        <v>222942.0541370541</v>
      </c>
      <c r="O39" s="18">
        <f t="shared" ref="O39:O45" si="25">L39*Lbp/visco</f>
        <v>1108557575.757576</v>
      </c>
      <c r="P39" s="18">
        <f t="shared" ref="P39:P45" si="26">0.075/ (LOG10(O39)-2)^2</f>
        <v>1.5112248078243062E-3</v>
      </c>
      <c r="Q39" s="20">
        <f t="shared" ref="Q39:Q45" si="27">coef_1*coef_2*coef_5*Vol_desl*rho*grav*EXP(coef_m1*(R39^coef_d)+S39*COS(lambda*(R39^-2)))</f>
        <v>166819.47309126993</v>
      </c>
      <c r="R39" s="18">
        <f t="shared" ref="R39:R45" si="28">L39/((grav*Lbp)^0.5)</f>
        <v>0.20775917745436365</v>
      </c>
      <c r="S39" s="18">
        <f t="shared" ref="S39:S45" si="29">coef_15*0.4*EXP(-0.034*(R39^-2))</f>
        <v>-0.30820738279102644</v>
      </c>
      <c r="T39" s="18">
        <f t="shared" ref="T39:T45" si="30">L39/SQRT(9.81*(T_f-h_bulbo-0.25*SQRT(A_bulbo))+0.15*L39^2)</f>
        <v>1.3275265601036255</v>
      </c>
      <c r="U39" s="20">
        <f t="shared" ref="U39:U45" si="31">0.11*EXP(-3*coef_pb^(-2))*T39^3*A_bulbo^1.5*rho*grav/(1+T39^2)/1000</f>
        <v>0.36436697281128311</v>
      </c>
      <c r="V39" s="21">
        <f t="shared" ref="V39:V45" si="32">(coef_k1*N39+Q39+M39)/1000</f>
        <v>505.18802288629422</v>
      </c>
      <c r="W39" s="21">
        <f t="shared" ref="W39:W45" si="33">(L39*V39)</f>
        <v>4158.2228238980033</v>
      </c>
      <c r="X39" s="22">
        <f t="shared" ref="X39:X45" si="34">IF(h_bulbo&gt;0,V39+U39,V39)</f>
        <v>505.55238985910552</v>
      </c>
      <c r="Y39" s="22">
        <f t="shared" ref="Y39:Y45" si="35">X39*L39</f>
        <v>4161.221943025892</v>
      </c>
    </row>
    <row r="40" spans="3:25" ht="24" customHeight="1" x14ac:dyDescent="0.3">
      <c r="C40" s="3" t="s">
        <v>58</v>
      </c>
      <c r="D40" s="26">
        <f>IF((Lbp/B)&lt;=12, (1.446*Cp-0.03*Lbp/B), (1.446*Cp-0.36))</f>
        <v>0.95504132231404948</v>
      </c>
      <c r="K40" s="17">
        <v>16.5</v>
      </c>
      <c r="L40" s="18">
        <f t="shared" si="22"/>
        <v>8.4882600000000004</v>
      </c>
      <c r="M40" s="19">
        <f t="shared" si="23"/>
        <v>66500.097717698038</v>
      </c>
      <c r="N40" s="20">
        <f t="shared" si="24"/>
        <v>236196.66553673547</v>
      </c>
      <c r="O40" s="18">
        <f t="shared" si="25"/>
        <v>1143200000</v>
      </c>
      <c r="P40" s="18">
        <f t="shared" si="26"/>
        <v>1.5055074711297328E-3</v>
      </c>
      <c r="Q40" s="20">
        <f t="shared" si="27"/>
        <v>166903.19184593076</v>
      </c>
      <c r="R40" s="18">
        <f t="shared" si="28"/>
        <v>0.21425165174981251</v>
      </c>
      <c r="S40" s="18">
        <f t="shared" si="29"/>
        <v>-0.32304404984044655</v>
      </c>
      <c r="T40" s="18">
        <f t="shared" si="30"/>
        <v>1.3576683379196905</v>
      </c>
      <c r="U40" s="20">
        <f t="shared" si="31"/>
        <v>0.37865909095586509</v>
      </c>
      <c r="V40" s="21">
        <f t="shared" si="32"/>
        <v>525.64041017310637</v>
      </c>
      <c r="W40" s="21">
        <f t="shared" si="33"/>
        <v>4461.7724680559722</v>
      </c>
      <c r="X40" s="22">
        <f t="shared" si="34"/>
        <v>526.0190692640623</v>
      </c>
      <c r="Y40" s="22">
        <f t="shared" si="35"/>
        <v>4464.9866248713697</v>
      </c>
    </row>
    <row r="41" spans="3:25" ht="15" customHeight="1" x14ac:dyDescent="0.3">
      <c r="C41" s="3" t="s">
        <v>59</v>
      </c>
      <c r="D41" s="26">
        <f>0.0140407*(Lbp/T)-1.75254*((Vol_desl^(1/3))/Lbp)-4.79323*(B/Lbp)-coef_16</f>
        <v>-1.6431029593556927</v>
      </c>
      <c r="K41" s="17">
        <v>17</v>
      </c>
      <c r="L41" s="18">
        <f t="shared" si="22"/>
        <v>8.7454800000000006</v>
      </c>
      <c r="M41" s="19">
        <f t="shared" si="23"/>
        <v>70591.471957446236</v>
      </c>
      <c r="N41" s="20">
        <f t="shared" si="24"/>
        <v>249809.91975170971</v>
      </c>
      <c r="O41" s="18">
        <f t="shared" si="25"/>
        <v>1177842424.2424245</v>
      </c>
      <c r="P41" s="18">
        <f t="shared" si="26"/>
        <v>1.4999917773371829E-3</v>
      </c>
      <c r="Q41" s="20">
        <f t="shared" si="27"/>
        <v>137500.47255304473</v>
      </c>
      <c r="R41" s="18">
        <f t="shared" si="28"/>
        <v>0.22074412604526136</v>
      </c>
      <c r="S41" s="18">
        <f t="shared" si="29"/>
        <v>-0.33721387416478793</v>
      </c>
      <c r="T41" s="18">
        <f t="shared" si="30"/>
        <v>1.3870620123427424</v>
      </c>
      <c r="U41" s="20">
        <f t="shared" si="31"/>
        <v>0.3926480312882335</v>
      </c>
      <c r="V41" s="21">
        <f t="shared" si="32"/>
        <v>517.17222505564575</v>
      </c>
      <c r="W41" s="21">
        <f t="shared" si="33"/>
        <v>4522.919350779649</v>
      </c>
      <c r="X41" s="22">
        <f t="shared" si="34"/>
        <v>517.56487308693397</v>
      </c>
      <c r="Y41" s="22">
        <f t="shared" si="35"/>
        <v>4526.3532462843195</v>
      </c>
    </row>
    <row r="42" spans="3:25" ht="15" customHeight="1" x14ac:dyDescent="0.3">
      <c r="C42" s="3" t="s">
        <v>60</v>
      </c>
      <c r="D42" s="26">
        <f>0.56*(A_bulbo^0.5)/(T_f-1.5*h_bulbo)</f>
        <v>0.77679716596206938</v>
      </c>
      <c r="K42" s="17">
        <v>17.5</v>
      </c>
      <c r="L42" s="18">
        <f t="shared" si="22"/>
        <v>9.0027000000000008</v>
      </c>
      <c r="M42" s="19">
        <f t="shared" si="23"/>
        <v>74804.976771515241</v>
      </c>
      <c r="N42" s="20">
        <f t="shared" si="24"/>
        <v>263780.63091487088</v>
      </c>
      <c r="O42" s="18">
        <f t="shared" si="25"/>
        <v>1212484848.4848487</v>
      </c>
      <c r="P42" s="18">
        <f t="shared" si="26"/>
        <v>1.4946649366930197E-3</v>
      </c>
      <c r="Q42" s="20">
        <f t="shared" si="27"/>
        <v>149338.6871060151</v>
      </c>
      <c r="R42" s="18">
        <f t="shared" si="28"/>
        <v>0.22723660034071025</v>
      </c>
      <c r="S42" s="18">
        <f t="shared" si="29"/>
        <v>-0.35073090464605222</v>
      </c>
      <c r="T42" s="18">
        <f t="shared" si="30"/>
        <v>1.415716732944031</v>
      </c>
      <c r="U42" s="20">
        <f t="shared" si="31"/>
        <v>0.40632810840347444</v>
      </c>
      <c r="V42" s="21">
        <f t="shared" si="32"/>
        <v>550.50937219920024</v>
      </c>
      <c r="W42" s="21">
        <f t="shared" si="33"/>
        <v>4956.0707250977403</v>
      </c>
      <c r="X42" s="22">
        <f t="shared" si="34"/>
        <v>550.91570030760374</v>
      </c>
      <c r="Y42" s="22">
        <f t="shared" si="35"/>
        <v>4959.7287751592648</v>
      </c>
    </row>
    <row r="43" spans="3:25" ht="15" customHeight="1" x14ac:dyDescent="0.3">
      <c r="C43" s="3" t="s">
        <v>52</v>
      </c>
      <c r="D43" s="26">
        <f>coef_13*(0.93+coef_12*(((B/coef_lr)^0.92497)*((0.95-Cp)^-0.521448)*((1-Cp+0.0225*LCB)^0.6906)))</f>
        <v>1.2372618383303391</v>
      </c>
      <c r="K43" s="17">
        <v>18</v>
      </c>
      <c r="L43" s="18">
        <f t="shared" si="22"/>
        <v>9.259920000000001</v>
      </c>
      <c r="M43" s="19">
        <f t="shared" si="23"/>
        <v>79140.612159905111</v>
      </c>
      <c r="N43" s="20">
        <f t="shared" si="24"/>
        <v>278107.65313356742</v>
      </c>
      <c r="O43" s="18">
        <f t="shared" si="25"/>
        <v>1247127272.727273</v>
      </c>
      <c r="P43" s="18">
        <f t="shared" si="26"/>
        <v>1.4895153091715927E-3</v>
      </c>
      <c r="Q43" s="20">
        <f t="shared" si="27"/>
        <v>225385.15759443399</v>
      </c>
      <c r="R43" s="18">
        <f t="shared" si="28"/>
        <v>0.23372907463615911</v>
      </c>
      <c r="S43" s="18">
        <f t="shared" si="29"/>
        <v>-0.36361358743791827</v>
      </c>
      <c r="T43" s="18">
        <f t="shared" si="30"/>
        <v>1.4436425539290179</v>
      </c>
      <c r="U43" s="20">
        <f t="shared" si="31"/>
        <v>0.41969561873063493</v>
      </c>
      <c r="V43" s="21">
        <f t="shared" si="32"/>
        <v>648.617755924113</v>
      </c>
      <c r="W43" s="21">
        <f t="shared" si="33"/>
        <v>6006.1485304368134</v>
      </c>
      <c r="X43" s="22">
        <f t="shared" si="34"/>
        <v>649.03745154284366</v>
      </c>
      <c r="Y43" s="22">
        <f t="shared" si="35"/>
        <v>6010.0348782906094</v>
      </c>
    </row>
    <row r="44" spans="3:25" ht="15" customHeight="1" x14ac:dyDescent="0.3">
      <c r="C44" s="3" t="s">
        <v>57</v>
      </c>
      <c r="D44" s="26">
        <f>1+89*EXP(-((Lbp/B)^0.80856)*((1-cwp)^0.30484)*((1-Cp-0.0225*LCB)^0.6367)*((coef_lr/B)^0.34574)*((100*Vol_desl/(Lbp^3))^0.16302))</f>
        <v>39.779266103562492</v>
      </c>
      <c r="K44" s="17">
        <v>18.5</v>
      </c>
      <c r="L44" s="18">
        <f t="shared" si="22"/>
        <v>9.5171399999999995</v>
      </c>
      <c r="M44" s="19">
        <f t="shared" si="23"/>
        <v>83598.378122615773</v>
      </c>
      <c r="N44" s="20">
        <f t="shared" si="24"/>
        <v>292789.87804750324</v>
      </c>
      <c r="O44" s="18">
        <f t="shared" si="25"/>
        <v>1281769696.969697</v>
      </c>
      <c r="P44" s="18">
        <f t="shared" si="26"/>
        <v>1.4845322724030443E-3</v>
      </c>
      <c r="Q44" s="20">
        <f t="shared" si="27"/>
        <v>361284.33489110717</v>
      </c>
      <c r="R44" s="18">
        <f t="shared" si="28"/>
        <v>0.24022154893160794</v>
      </c>
      <c r="S44" s="18">
        <f t="shared" si="29"/>
        <v>-0.37588344241405608</v>
      </c>
      <c r="T44" s="18">
        <f t="shared" si="30"/>
        <v>1.4708503313623227</v>
      </c>
      <c r="U44" s="20">
        <f t="shared" si="31"/>
        <v>0.43274857034450981</v>
      </c>
      <c r="V44" s="21">
        <f t="shared" si="32"/>
        <v>807.14045577129252</v>
      </c>
      <c r="W44" s="21">
        <f t="shared" si="33"/>
        <v>7681.6687172391985</v>
      </c>
      <c r="X44" s="22">
        <f t="shared" si="34"/>
        <v>807.57320434163705</v>
      </c>
      <c r="Y44" s="22">
        <f t="shared" si="35"/>
        <v>7685.7872459679675</v>
      </c>
    </row>
    <row r="45" spans="3:25" ht="15" customHeight="1" x14ac:dyDescent="0.3">
      <c r="C45" s="4" t="s">
        <v>65</v>
      </c>
      <c r="K45" s="17">
        <v>19</v>
      </c>
      <c r="L45" s="18">
        <f t="shared" si="22"/>
        <v>9.7743599999999997</v>
      </c>
      <c r="M45" s="19">
        <f t="shared" si="23"/>
        <v>88178.27465964733</v>
      </c>
      <c r="N45" s="20">
        <f t="shared" si="24"/>
        <v>307826.23259884829</v>
      </c>
      <c r="O45" s="18">
        <f t="shared" si="25"/>
        <v>1316412121.2121212</v>
      </c>
      <c r="P45" s="18">
        <f t="shared" si="26"/>
        <v>1.4797061078931099E-3</v>
      </c>
      <c r="Q45" s="20">
        <f t="shared" si="27"/>
        <v>476995.83323380607</v>
      </c>
      <c r="R45" s="18">
        <f t="shared" si="28"/>
        <v>0.24671402322705679</v>
      </c>
      <c r="S45" s="18">
        <f t="shared" si="29"/>
        <v>-0.38756402034465687</v>
      </c>
      <c r="T45" s="18">
        <f t="shared" si="30"/>
        <v>1.497351625146361</v>
      </c>
      <c r="U45" s="20">
        <f t="shared" si="31"/>
        <v>0.4454864444725411</v>
      </c>
      <c r="V45" s="21">
        <f t="shared" si="32"/>
        <v>946.03575832500701</v>
      </c>
      <c r="W45" s="21">
        <f t="shared" si="33"/>
        <v>9246.8940747416145</v>
      </c>
      <c r="X45" s="22">
        <f t="shared" si="34"/>
        <v>946.48124476947953</v>
      </c>
      <c r="Y45" s="22">
        <f t="shared" si="35"/>
        <v>9251.2484196250098</v>
      </c>
    </row>
    <row r="46" spans="3:25" ht="15" customHeight="1" x14ac:dyDescent="0.3">
      <c r="C46" s="4" t="s">
        <v>66</v>
      </c>
      <c r="D46" s="4">
        <v>0</v>
      </c>
      <c r="K46" s="17">
        <v>19.5</v>
      </c>
      <c r="L46" s="18">
        <f>0.51444*K46</f>
        <v>10.03158</v>
      </c>
      <c r="M46" s="19">
        <f>0.5*rho*(L46^2)*Sm*coef_ca</f>
        <v>92880.301770999722</v>
      </c>
      <c r="N46" s="20">
        <f>P46*0.5*rho*L46^2*Sm</f>
        <v>323215.67699093913</v>
      </c>
      <c r="O46" s="18">
        <f>L46*Lbp/visco</f>
        <v>1351054545.4545455</v>
      </c>
      <c r="P46" s="18">
        <f>0.075/ (LOG10(O46)-2)^2</f>
        <v>1.4750279025919205E-3</v>
      </c>
      <c r="Q46" s="20">
        <f>coef_1*coef_2*coef_5*Vol_desl*rho*grav*EXP(coef_m1*(R46^coef_d)+S46*COS(lambda*(R46^-2)))</f>
        <v>486942.01331240695</v>
      </c>
      <c r="R46" s="18">
        <f>L46/((grav*Lbp)^0.5)</f>
        <v>0.25320649752250568</v>
      </c>
      <c r="S46" s="18">
        <f>coef_15*0.4*EXP(-0.034*(R46^-2))</f>
        <v>-0.3986800891673396</v>
      </c>
      <c r="T46" s="18">
        <f>L46/SQRT(9.81*(T_f-h_bulbo-0.25*SQRT(A_bulbo))+0.15*L46^2)</f>
        <v>1.5231586060379638</v>
      </c>
      <c r="U46" s="20">
        <f>0.11*EXP(-3*coef_pb^(-2))*T46^3*A_bulbo^1.5*rho*grav/(1+T46^2)/1000</f>
        <v>0.45790998540507732</v>
      </c>
      <c r="V46" s="21">
        <f>(coef_k1*N46+Q46+M46)/1000</f>
        <v>979.72473777440109</v>
      </c>
      <c r="W46" s="21">
        <f>(L46*V46)</f>
        <v>9828.1870849629267</v>
      </c>
      <c r="X46" s="22">
        <f>IF(h_bulbo&gt;0,V46+U46,V46)</f>
        <v>980.18264775980617</v>
      </c>
      <c r="Y46" s="22">
        <f>X46*L46</f>
        <v>9832.7806456143171</v>
      </c>
    </row>
    <row r="47" spans="3:25" ht="15" customHeight="1" x14ac:dyDescent="0.3">
      <c r="C47" s="4" t="s">
        <v>67</v>
      </c>
      <c r="K47" s="17">
        <v>20</v>
      </c>
      <c r="L47" s="18">
        <f>0.51444*K47</f>
        <v>10.2888</v>
      </c>
      <c r="M47" s="19">
        <f>0.5*rho*(L47^2)*Sm*coef_ca</f>
        <v>97704.459456672965</v>
      </c>
      <c r="N47" s="20">
        <f>P47*0.5*rho*L47^2*Sm</f>
        <v>338957.20281512645</v>
      </c>
      <c r="O47" s="18">
        <f>L47*Lbp/visco</f>
        <v>1385696969.69697</v>
      </c>
      <c r="P47" s="18">
        <f>0.075/ (LOG10(O47)-2)^2</f>
        <v>1.4704894634048448E-3</v>
      </c>
      <c r="Q47" s="20">
        <f>coef_1*coef_2*coef_5*Vol_desl*rho*grav*EXP(coef_m1*(R47^coef_d)+S47*COS(lambda*(R47^-2)))</f>
        <v>424458.39959596907</v>
      </c>
      <c r="R47" s="18">
        <f>L47/((grav*Lbp)^0.5)</f>
        <v>0.25969897181795454</v>
      </c>
      <c r="S47" s="18">
        <f>coef_15*0.4*EXP(-0.034*(R47^-2))</f>
        <v>-0.40925700564158313</v>
      </c>
      <c r="T47" s="18">
        <f>L47/SQRT(9.81*(T_f-h_bulbo-0.25*SQRT(A_bulbo))+0.15*L47^2)</f>
        <v>1.5482839678980476</v>
      </c>
      <c r="U47" s="20">
        <f>0.11*EXP(-3*coef_pb^(-2))*T47^3*A_bulbo^1.5*rho*grav/(1+T47^2)/1000</f>
        <v>0.47002101572967792</v>
      </c>
      <c r="V47" s="21">
        <f>(coef_k1*N47+Q47+M47)/1000</f>
        <v>941.54167092299497</v>
      </c>
      <c r="W47" s="21">
        <f>(L47*V47)</f>
        <v>9687.3339437925115</v>
      </c>
      <c r="X47" s="22">
        <f>IF(h_bulbo&gt;0,V47+U47,V47)</f>
        <v>942.01169193872465</v>
      </c>
      <c r="Y47" s="22">
        <f>X47*L47</f>
        <v>9692.1698960191497</v>
      </c>
    </row>
    <row r="48" spans="3:25" ht="15" customHeight="1" x14ac:dyDescent="0.3">
      <c r="K48" s="17">
        <v>20.5</v>
      </c>
      <c r="L48" s="18">
        <f>0.51444*K48</f>
        <v>10.54602</v>
      </c>
      <c r="M48" s="19">
        <f>0.5*rho*(L48^2)*Sm*coef_ca</f>
        <v>102650.74771666703</v>
      </c>
      <c r="N48" s="20">
        <f>P48*0.5*rho*L48^2*Sm</f>
        <v>355049.83132800262</v>
      </c>
      <c r="O48" s="18">
        <f>L48*Lbp/visco</f>
        <v>1420339393.939394</v>
      </c>
      <c r="P48" s="18">
        <f>0.075/ (LOG10(O48)-2)^2</f>
        <v>1.4660832426659862E-3</v>
      </c>
      <c r="Q48" s="20">
        <f>coef_1*coef_2*coef_5*Vol_desl*rho*grav*EXP(coef_m1*(R48^coef_d)+S48*COS(lambda*(R48^-2)))</f>
        <v>367238.58896370581</v>
      </c>
      <c r="R48" s="18">
        <f>L48/((grav*Lbp)^0.5)</f>
        <v>0.2661914461134034</v>
      </c>
      <c r="S48" s="18">
        <f>coef_15*0.4*EXP(-0.034*(R48^-2))</f>
        <v>-0.41932023594308321</v>
      </c>
      <c r="T48" s="18">
        <f>L48/SQRT(9.81*(T_f-h_bulbo-0.25*SQRT(A_bulbo))+0.15*L48^2)</f>
        <v>1.5727408452896898</v>
      </c>
      <c r="U48" s="20">
        <f>0.11*EXP(-3*coef_pb^(-2))*T48^3*A_bulbo^1.5*rho*grav/(1+T48^2)/1000</f>
        <v>0.48182227405738753</v>
      </c>
      <c r="V48" s="21">
        <f>(coef_k1*N48+Q48+M48)/1000</f>
        <v>909.17894368813415</v>
      </c>
      <c r="W48" s="21">
        <f>(L48*V48)</f>
        <v>9588.2193237139363</v>
      </c>
      <c r="X48" s="22">
        <f>IF(h_bulbo&gt;0,V48+U48,V48)</f>
        <v>909.66076596219159</v>
      </c>
      <c r="Y48" s="22">
        <f>X48*L48</f>
        <v>9593.3006310525925</v>
      </c>
    </row>
    <row r="49" spans="3:25" ht="15" customHeight="1" x14ac:dyDescent="0.3">
      <c r="K49" s="17">
        <v>21</v>
      </c>
      <c r="L49" s="18">
        <f>0.51444*K49</f>
        <v>10.803240000000001</v>
      </c>
      <c r="M49" s="19">
        <f>0.5*rho*(L49^2)*Sm*coef_ca</f>
        <v>107719.16655098194</v>
      </c>
      <c r="N49" s="20">
        <f>P49*0.5*rho*L49^2*Sm</f>
        <v>371492.61186351487</v>
      </c>
      <c r="O49" s="18">
        <f>L49*Lbp/visco</f>
        <v>1454981818.1818185</v>
      </c>
      <c r="P49" s="18">
        <f>0.075/ (LOG10(O49)-2)^2</f>
        <v>1.4618022729381076E-3</v>
      </c>
      <c r="Q49" s="20">
        <f>coef_1*coef_2*coef_5*Vol_desl*rho*grav*EXP(coef_m1*(R49^coef_d)+S49*COS(lambda*(R49^-2)))</f>
        <v>352937.45581801026</v>
      </c>
      <c r="R49" s="18">
        <f>L49/((grav*Lbp)^0.5)</f>
        <v>0.27268392040885231</v>
      </c>
      <c r="S49" s="18">
        <f>coef_15*0.4*EXP(-0.034*(R49^-2))</f>
        <v>-0.42889499515892293</v>
      </c>
      <c r="T49" s="18">
        <f>L49/SQRT(9.81*(T_f-h_bulbo-0.25*SQRT(A_bulbo))+0.15*L49^2)</f>
        <v>1.5965427364697693</v>
      </c>
      <c r="U49" s="20">
        <f>0.11*EXP(-3*coef_pb^(-2))*T49^3*A_bulbo^1.5*rho*grav/(1+T49^2)/1000</f>
        <v>0.49331727266845238</v>
      </c>
      <c r="V49" s="21">
        <f>(coef_k1*N49+Q49+M49)/1000</f>
        <v>920.29025424938379</v>
      </c>
      <c r="W49" s="21">
        <f>(L49*V49)</f>
        <v>9942.1164863171143</v>
      </c>
      <c r="X49" s="22">
        <f>IF(h_bulbo&gt;0,V49+U49,V49)</f>
        <v>920.78357152205228</v>
      </c>
      <c r="Y49" s="22">
        <f>X49*L49</f>
        <v>9947.4459112098975</v>
      </c>
    </row>
    <row r="50" spans="3:25" ht="15" customHeight="1" x14ac:dyDescent="0.25">
      <c r="C50" s="4" t="str">
        <f>IF(Planilha2!A1=1,"Potência efetiva necessária para navegar a "&amp;K52&amp;" nós [kW]","Effective power required to navigate at "&amp;K52&amp;" knots [kW]")</f>
        <v>Potência efetiva necessária para navegar a 13 nós [kW]</v>
      </c>
    </row>
    <row r="51" spans="3:25" ht="15" customHeight="1" x14ac:dyDescent="0.25"/>
    <row r="52" spans="3:25" ht="15" customHeight="1" x14ac:dyDescent="0.3">
      <c r="K52" s="18">
        <f>vel_s</f>
        <v>13</v>
      </c>
      <c r="L52" s="18">
        <f>0.51444*K52</f>
        <v>6.6877200000000006</v>
      </c>
      <c r="M52" s="19">
        <f>0.5*rho*(L52^2)*Sm*coef_ca</f>
        <v>41280.134120444331</v>
      </c>
      <c r="N52" s="20">
        <f>P52*0.5*rho*L52^2*Sm</f>
        <v>151018.06781015822</v>
      </c>
      <c r="O52" s="18">
        <f>L52*Lbp/visco</f>
        <v>900703030.30303037</v>
      </c>
      <c r="P52" s="18">
        <f>0.075/ (LOG10(O52)-2)^2</f>
        <v>1.5506695041866119E-3</v>
      </c>
      <c r="Q52" s="20">
        <f>coef_1*coef_2*coef_5*Vol_desl*rho*grav*EXP(coef_m1*(R52^coef_d)+S52*COS(lambda*(R52^-2)))</f>
        <v>34005.761549368035</v>
      </c>
      <c r="R52" s="18">
        <f>L52/((grav*Lbp)^0.5)</f>
        <v>0.16880433168167047</v>
      </c>
      <c r="S52" s="18">
        <f>coef_15*0.4*EXP(-0.034*(R52^-2))</f>
        <v>-0.20546438634256467</v>
      </c>
      <c r="T52" s="18">
        <f>L52/SQRT(9.81*(T_f-h_bulbo-0.25*SQRT(A_bulbo))+0.15*L52^2)</f>
        <v>1.1305950671270579</v>
      </c>
      <c r="U52" s="20">
        <f>0.11*EXP(-3*coef_pb^(-2))*T52^3*A_bulbo^1.5*rho*grav/(1+T52^2)/1000</f>
        <v>0.272901041767112</v>
      </c>
      <c r="V52" s="21">
        <f>(coef_k1*N52+Q52+M52)/1000</f>
        <v>262.13478786970455</v>
      </c>
      <c r="W52" s="21">
        <f>(L52*V52)</f>
        <v>1753.0840635319807</v>
      </c>
      <c r="X52" s="22">
        <f>IF(h_bulbo&gt;0,V52+U52,V52)</f>
        <v>262.40768891147167</v>
      </c>
      <c r="Y52" s="22">
        <f>X52*L52</f>
        <v>1754.9091492870275</v>
      </c>
    </row>
    <row r="53" spans="3:25" ht="15" customHeight="1" x14ac:dyDescent="0.25">
      <c r="C53" s="4" t="str">
        <f>IF(Planilha2!A1=1,"Potência efetiva [kW]", "Effective Power [kW]")</f>
        <v>Potência efetiva [kW]</v>
      </c>
      <c r="K53" s="4" t="s">
        <v>121</v>
      </c>
    </row>
    <row r="54" spans="3:25" ht="15" customHeight="1" x14ac:dyDescent="0.25">
      <c r="C54" s="4" t="str">
        <f>IF(Planilha2!A1=1,"Velocidade [nós]", "Speed [knots]")</f>
        <v>Velocidade [nós]</v>
      </c>
    </row>
    <row r="55" spans="3:25" ht="15" customHeight="1" x14ac:dyDescent="0.25">
      <c r="C55" s="4" t="str">
        <f>IF(Planilha2!A1=1,"Com Bulbo", "Bulbous Bow")</f>
        <v>Com Bulbo</v>
      </c>
    </row>
    <row r="56" spans="3:25" ht="15" customHeight="1" x14ac:dyDescent="0.25">
      <c r="C56" s="4" t="str">
        <f>IF(Planilha2!A1=1,"Sem bulbo", "No Bulbous bow")</f>
        <v>Sem bulbo</v>
      </c>
    </row>
    <row r="57" spans="3:25" ht="15" customHeight="1" x14ac:dyDescent="0.25">
      <c r="C57" s="4" t="str">
        <f>IF(Planilha2!A1=1,"Sua seleção", "Your choice")</f>
        <v>Sua seleção</v>
      </c>
    </row>
    <row r="58" spans="3:25" ht="17.45" customHeight="1" x14ac:dyDescent="0.25"/>
    <row r="59" spans="3:25" ht="15" customHeight="1" x14ac:dyDescent="0.25"/>
    <row r="60" spans="3:25" ht="15" customHeight="1" x14ac:dyDescent="0.25"/>
    <row r="61" spans="3:25" ht="15" customHeight="1" x14ac:dyDescent="0.25"/>
    <row r="62" spans="3:25" ht="15" customHeight="1" x14ac:dyDescent="0.25"/>
    <row r="63" spans="3:25" ht="15" customHeight="1" x14ac:dyDescent="0.25"/>
    <row r="64" spans="3:2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8" ht="18" customHeight="1" x14ac:dyDescent="0.25"/>
  </sheetData>
  <mergeCells count="30">
    <mergeCell ref="C14:F14"/>
    <mergeCell ref="C15:F15"/>
    <mergeCell ref="C17:F17"/>
    <mergeCell ref="C18:F18"/>
    <mergeCell ref="C12:F12"/>
    <mergeCell ref="C13:F13"/>
    <mergeCell ref="AB2:AD3"/>
    <mergeCell ref="C4:I4"/>
    <mergeCell ref="X4:X6"/>
    <mergeCell ref="Y4:Y6"/>
    <mergeCell ref="K4:L6"/>
    <mergeCell ref="M4:M6"/>
    <mergeCell ref="N4:P6"/>
    <mergeCell ref="Q4:S6"/>
    <mergeCell ref="G27:H27"/>
    <mergeCell ref="A1:Y1"/>
    <mergeCell ref="C20:F20"/>
    <mergeCell ref="C21:F21"/>
    <mergeCell ref="W4:W6"/>
    <mergeCell ref="T4:U6"/>
    <mergeCell ref="V4:V6"/>
    <mergeCell ref="C5:F5"/>
    <mergeCell ref="C6:F6"/>
    <mergeCell ref="C7:F7"/>
    <mergeCell ref="C8:F8"/>
    <mergeCell ref="C19:F19"/>
    <mergeCell ref="C16:F16"/>
    <mergeCell ref="C9:F9"/>
    <mergeCell ref="C10:F10"/>
    <mergeCell ref="C11:F11"/>
  </mergeCells>
  <pageMargins left="0.25" right="0.25" top="0.75" bottom="0.75" header="0.3" footer="0.3"/>
  <pageSetup paperSize="9" scale="51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3269-1768-4D34-A0F4-393FE65F1D22}">
  <sheetPr>
    <tabColor rgb="FF002060"/>
    <pageSetUpPr fitToPage="1"/>
  </sheetPr>
  <dimension ref="A1:AD78"/>
  <sheetViews>
    <sheetView showGridLines="0" zoomScale="70" zoomScaleNormal="70" workbookViewId="0">
      <selection activeCell="I42" sqref="I42"/>
    </sheetView>
  </sheetViews>
  <sheetFormatPr defaultRowHeight="15" x14ac:dyDescent="0.25"/>
  <cols>
    <col min="1" max="1" width="5.7109375" style="4" customWidth="1"/>
    <col min="2" max="2" width="3.42578125" style="4" customWidth="1"/>
    <col min="3" max="3" width="13.42578125" style="4" bestFit="1" customWidth="1"/>
    <col min="4" max="4" width="12.7109375" style="4" customWidth="1"/>
    <col min="5" max="5" width="9.140625" style="4"/>
    <col min="6" max="6" width="8.42578125" style="4" customWidth="1"/>
    <col min="7" max="7" width="15.5703125" style="4" customWidth="1"/>
    <col min="8" max="8" width="14.85546875" style="4" customWidth="1"/>
    <col min="9" max="9" width="15.85546875" style="4" customWidth="1"/>
    <col min="10" max="10" width="11.7109375" style="4" customWidth="1"/>
    <col min="11" max="11" width="10.42578125" style="4" customWidth="1"/>
    <col min="12" max="25" width="16.7109375" style="4" customWidth="1"/>
    <col min="26" max="26" width="20.28515625" style="4" customWidth="1"/>
    <col min="27" max="27" width="19.7109375" style="4" customWidth="1"/>
    <col min="28" max="28" width="18.140625" style="4" customWidth="1"/>
    <col min="29" max="29" width="11" style="4" customWidth="1"/>
    <col min="30" max="30" width="12" style="4" customWidth="1"/>
    <col min="31" max="16384" width="9.140625" style="4"/>
  </cols>
  <sheetData>
    <row r="1" spans="1:30" ht="45.6" customHeight="1" x14ac:dyDescent="0.25">
      <c r="A1" s="98" t="s">
        <v>89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30" ht="15" customHeight="1" x14ac:dyDescent="0.25">
      <c r="AB2" s="102"/>
      <c r="AC2" s="102"/>
      <c r="AD2" s="102"/>
    </row>
    <row r="3" spans="1:30" ht="15" customHeight="1" x14ac:dyDescent="0.25">
      <c r="AB3" s="102"/>
      <c r="AC3" s="102"/>
      <c r="AD3" s="102"/>
    </row>
    <row r="4" spans="1:30" ht="15" customHeight="1" x14ac:dyDescent="0.35">
      <c r="C4" s="103" t="s">
        <v>0</v>
      </c>
      <c r="D4" s="103"/>
      <c r="E4" s="103"/>
      <c r="F4" s="103"/>
      <c r="G4" s="103"/>
      <c r="H4" s="103"/>
      <c r="I4" s="103"/>
      <c r="J4" s="11"/>
      <c r="K4" s="104" t="s">
        <v>1</v>
      </c>
      <c r="L4" s="104"/>
      <c r="M4" s="100" t="s">
        <v>2</v>
      </c>
      <c r="N4" s="100" t="s">
        <v>3</v>
      </c>
      <c r="O4" s="100"/>
      <c r="P4" s="100"/>
      <c r="Q4" s="100" t="s">
        <v>4</v>
      </c>
      <c r="R4" s="100"/>
      <c r="S4" s="100"/>
      <c r="T4" s="100" t="s">
        <v>5</v>
      </c>
      <c r="U4" s="100"/>
      <c r="V4" s="100" t="s">
        <v>6</v>
      </c>
      <c r="W4" s="100" t="s">
        <v>7</v>
      </c>
      <c r="X4" s="100" t="s">
        <v>8</v>
      </c>
      <c r="Y4" s="100" t="s">
        <v>9</v>
      </c>
      <c r="AC4" s="2"/>
      <c r="AD4" s="2"/>
    </row>
    <row r="5" spans="1:30" ht="15" customHeight="1" x14ac:dyDescent="0.25">
      <c r="C5" s="101" t="s">
        <v>95</v>
      </c>
      <c r="D5" s="101"/>
      <c r="E5" s="101"/>
      <c r="F5" s="101"/>
      <c r="G5" s="15" t="s">
        <v>90</v>
      </c>
      <c r="H5" s="15">
        <f>MAIN!C2</f>
        <v>160</v>
      </c>
      <c r="I5" s="16" t="s">
        <v>10</v>
      </c>
      <c r="J5" s="12"/>
      <c r="K5" s="104"/>
      <c r="L5" s="104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AC5" s="2"/>
      <c r="AD5" s="2"/>
    </row>
    <row r="6" spans="1:30" ht="15" customHeight="1" x14ac:dyDescent="0.25">
      <c r="C6" s="101" t="s">
        <v>96</v>
      </c>
      <c r="D6" s="101"/>
      <c r="E6" s="101"/>
      <c r="F6" s="101"/>
      <c r="G6" s="15" t="s">
        <v>11</v>
      </c>
      <c r="H6" s="15">
        <f>MAIN!C3</f>
        <v>20</v>
      </c>
      <c r="I6" s="16" t="s">
        <v>10</v>
      </c>
      <c r="J6" s="12"/>
      <c r="K6" s="104"/>
      <c r="L6" s="104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AC6" s="2"/>
      <c r="AD6" s="2"/>
    </row>
    <row r="7" spans="1:30" ht="15" customHeight="1" x14ac:dyDescent="0.25">
      <c r="C7" s="101" t="s">
        <v>97</v>
      </c>
      <c r="D7" s="101"/>
      <c r="E7" s="101"/>
      <c r="F7" s="101"/>
      <c r="G7" s="15" t="s">
        <v>12</v>
      </c>
      <c r="H7" s="15">
        <f>MAIN!C4</f>
        <v>6</v>
      </c>
      <c r="I7" s="16" t="s">
        <v>10</v>
      </c>
      <c r="J7" s="12"/>
      <c r="K7" s="3" t="s">
        <v>13</v>
      </c>
      <c r="L7" s="3" t="s">
        <v>14</v>
      </c>
      <c r="M7" s="3" t="s">
        <v>86</v>
      </c>
      <c r="N7" s="3" t="s">
        <v>87</v>
      </c>
      <c r="O7" s="3" t="s">
        <v>15</v>
      </c>
      <c r="P7" s="3" t="s">
        <v>16</v>
      </c>
      <c r="Q7" s="3" t="s">
        <v>88</v>
      </c>
      <c r="R7" s="3" t="s">
        <v>17</v>
      </c>
      <c r="S7" s="3" t="s">
        <v>92</v>
      </c>
      <c r="T7" s="3" t="s">
        <v>19</v>
      </c>
      <c r="U7" s="3" t="s">
        <v>20</v>
      </c>
      <c r="V7" s="3" t="s">
        <v>21</v>
      </c>
      <c r="W7" s="3" t="s">
        <v>22</v>
      </c>
      <c r="X7" s="3" t="s">
        <v>23</v>
      </c>
      <c r="Y7" s="3" t="s">
        <v>22</v>
      </c>
      <c r="AC7" s="3"/>
      <c r="AD7" s="3"/>
    </row>
    <row r="8" spans="1:30" ht="15" customHeight="1" x14ac:dyDescent="0.3">
      <c r="C8" s="101" t="s">
        <v>100</v>
      </c>
      <c r="D8" s="101"/>
      <c r="E8" s="101"/>
      <c r="F8" s="101"/>
      <c r="G8" s="15" t="s">
        <v>91</v>
      </c>
      <c r="H8" s="15">
        <f>T</f>
        <v>6</v>
      </c>
      <c r="I8" s="16" t="s">
        <v>10</v>
      </c>
      <c r="J8" s="12"/>
      <c r="K8" s="17">
        <v>0.5</v>
      </c>
      <c r="L8" s="18">
        <f t="shared" ref="L8:L38" si="0">0.51444*K8</f>
        <v>0.25722</v>
      </c>
      <c r="M8" s="19">
        <f>0.5*rho*(L8^2)*Sm*coef_ca</f>
        <v>61.147456176861205</v>
      </c>
      <c r="N8" s="20">
        <f>P8*0.5*rho*L8^2*Sm</f>
        <v>348.48638746087903</v>
      </c>
      <c r="O8" s="18">
        <f>L8*Lbp/visco</f>
        <v>34642424.24242425</v>
      </c>
      <c r="P8" s="18">
        <f>0.075/ (LOG10(O8)-2)^2</f>
        <v>2.4440109793262619E-3</v>
      </c>
      <c r="Q8" s="20">
        <f t="shared" ref="Q8:Q38" si="1">coef_1*coef_2*coef_5*Vol_desl*rho*grav*EXP(coef_m1*(R8^coef_d)+S8*COS(lambda*(R8^-2)))</f>
        <v>6.2389051703706889E-59</v>
      </c>
      <c r="R8" s="18">
        <f t="shared" ref="R8:R28" si="2">L8/((grav*Lbp)^0.5)</f>
        <v>6.492474295448864E-3</v>
      </c>
      <c r="S8" s="18">
        <f t="shared" ref="S8:S38" si="3">coef_15*0.4*EXP(-0.034*(R8^-2))</f>
        <v>0</v>
      </c>
      <c r="T8" s="18">
        <f t="shared" ref="T8:T38" si="4">L8/SQRT(9.81*(T_f-h_bulbo-0.25*SQRT(A_bulbo))+0.15*L8^2)</f>
        <v>3.3524166978769983E-2</v>
      </c>
      <c r="U8" s="20" t="e">
        <f t="shared" ref="U8:U38" si="5">0.11*EXP(-3*coef_pb^(-2))*T8^3*A_bulbo^1.5*rho*grav/(1+T8^2)/1000</f>
        <v>#DIV/0!</v>
      </c>
      <c r="V8" s="21">
        <f>(coef_k1*N8+Q8+M8)/1000</f>
        <v>0.49231636455980726</v>
      </c>
      <c r="W8" s="21">
        <f t="shared" ref="W8:W38" si="6">(L8*V8)</f>
        <v>0.12663361529207362</v>
      </c>
      <c r="X8" s="22">
        <f t="shared" ref="X8:X38" si="7">IF(h_bulbo&gt;0,V8+U8,V8)</f>
        <v>0.49231636455980726</v>
      </c>
      <c r="Y8" s="22">
        <f t="shared" ref="Y8:Y38" si="8">X8*L8</f>
        <v>0.12663361529207362</v>
      </c>
    </row>
    <row r="9" spans="1:30" ht="15" customHeight="1" x14ac:dyDescent="0.3">
      <c r="C9" s="101" t="s">
        <v>101</v>
      </c>
      <c r="D9" s="101"/>
      <c r="E9" s="101"/>
      <c r="F9" s="101"/>
      <c r="G9" s="23" t="s">
        <v>24</v>
      </c>
      <c r="H9" s="15">
        <f>cb*Lbp*B*T</f>
        <v>15360</v>
      </c>
      <c r="I9" s="16" t="s">
        <v>25</v>
      </c>
      <c r="J9" s="12"/>
      <c r="K9" s="17">
        <v>1</v>
      </c>
      <c r="L9" s="18">
        <f t="shared" si="0"/>
        <v>0.51444000000000001</v>
      </c>
      <c r="M9" s="19">
        <f t="shared" ref="M9:M28" si="9">0.5*rho*(L9^2)*Sm*coef_ca</f>
        <v>244.58982470744482</v>
      </c>
      <c r="N9" s="20">
        <f t="shared" ref="N9:N28" si="10">P9*0.5*rho*L9^2*Sm</f>
        <v>1253.958895785091</v>
      </c>
      <c r="O9" s="18">
        <f t="shared" ref="O9:O28" si="11">L9*Lbp/visco</f>
        <v>69284848.484848499</v>
      </c>
      <c r="P9" s="18">
        <f t="shared" ref="P9:P38" si="12">0.075/ (LOG10(O9)-2)^2</f>
        <v>2.1985717514336478E-3</v>
      </c>
      <c r="Q9" s="20">
        <f t="shared" si="1"/>
        <v>4.1702616173116944E-28</v>
      </c>
      <c r="R9" s="18">
        <f t="shared" si="2"/>
        <v>1.2984948590897728E-2</v>
      </c>
      <c r="S9" s="18">
        <f t="shared" si="3"/>
        <v>-1.8005615621769027E-88</v>
      </c>
      <c r="T9" s="18">
        <f t="shared" si="4"/>
        <v>6.7031385826748821E-2</v>
      </c>
      <c r="U9" s="20" t="e">
        <f t="shared" si="5"/>
        <v>#DIV/0!</v>
      </c>
      <c r="V9" s="21">
        <f t="shared" ref="V9:V38" si="13">(coef_k1*N9+Q9+M9)/1000</f>
        <v>1.7960653132971889</v>
      </c>
      <c r="W9" s="21">
        <f t="shared" si="6"/>
        <v>0.92396783977260588</v>
      </c>
      <c r="X9" s="22">
        <f t="shared" si="7"/>
        <v>1.7960653132971889</v>
      </c>
      <c r="Y9" s="22">
        <f t="shared" si="8"/>
        <v>0.92396783977260588</v>
      </c>
    </row>
    <row r="10" spans="1:30" ht="15" customHeight="1" x14ac:dyDescent="0.3">
      <c r="C10" s="101" t="s">
        <v>27</v>
      </c>
      <c r="D10" s="101"/>
      <c r="E10" s="101"/>
      <c r="F10" s="101"/>
      <c r="G10" s="15" t="s">
        <v>26</v>
      </c>
      <c r="H10" s="24">
        <v>2</v>
      </c>
      <c r="I10" s="16" t="s">
        <v>28</v>
      </c>
      <c r="J10" s="12"/>
      <c r="K10" s="17">
        <v>1.5</v>
      </c>
      <c r="L10" s="18">
        <f t="shared" si="0"/>
        <v>0.77166000000000001</v>
      </c>
      <c r="M10" s="19">
        <f t="shared" si="9"/>
        <v>550.32710559175086</v>
      </c>
      <c r="N10" s="20">
        <f t="shared" si="10"/>
        <v>2658.6762766702886</v>
      </c>
      <c r="O10" s="18">
        <f t="shared" si="11"/>
        <v>103927272.72727273</v>
      </c>
      <c r="P10" s="18">
        <f t="shared" si="12"/>
        <v>2.0717640135101555E-3</v>
      </c>
      <c r="Q10" s="20">
        <f t="shared" si="1"/>
        <v>3.1791930191928267E-17</v>
      </c>
      <c r="R10" s="18">
        <f t="shared" si="2"/>
        <v>1.9477422886346591E-2</v>
      </c>
      <c r="S10" s="18">
        <f t="shared" si="3"/>
        <v>-8.0998786205006772E-40</v>
      </c>
      <c r="T10" s="18">
        <f t="shared" si="4"/>
        <v>0.10050475122009064</v>
      </c>
      <c r="U10" s="20" t="e">
        <f t="shared" si="5"/>
        <v>#DIV/0!</v>
      </c>
      <c r="V10" s="21">
        <f t="shared" si="13"/>
        <v>3.8398058031900932</v>
      </c>
      <c r="W10" s="21">
        <f t="shared" si="6"/>
        <v>2.9630245460896676</v>
      </c>
      <c r="X10" s="22">
        <f t="shared" si="7"/>
        <v>3.8398058031900932</v>
      </c>
      <c r="Y10" s="22">
        <f t="shared" si="8"/>
        <v>2.9630245460896676</v>
      </c>
    </row>
    <row r="11" spans="1:30" ht="15" customHeight="1" x14ac:dyDescent="0.3">
      <c r="C11" s="101" t="s">
        <v>102</v>
      </c>
      <c r="D11" s="101"/>
      <c r="E11" s="101"/>
      <c r="F11" s="101"/>
      <c r="G11" s="15" t="s">
        <v>29</v>
      </c>
      <c r="H11" s="15">
        <v>0.8</v>
      </c>
      <c r="I11" s="25" t="s">
        <v>30</v>
      </c>
      <c r="J11" s="12"/>
      <c r="K11" s="17">
        <v>2</v>
      </c>
      <c r="L11" s="18">
        <f t="shared" si="0"/>
        <v>1.02888</v>
      </c>
      <c r="M11" s="19">
        <f t="shared" si="9"/>
        <v>978.35929882977928</v>
      </c>
      <c r="N11" s="20">
        <f t="shared" si="10"/>
        <v>4536.1896348320397</v>
      </c>
      <c r="O11" s="18">
        <f t="shared" si="11"/>
        <v>138569696.969697</v>
      </c>
      <c r="P11" s="18">
        <f t="shared" si="12"/>
        <v>1.9883304037736733E-3</v>
      </c>
      <c r="Q11" s="20">
        <f t="shared" si="1"/>
        <v>1.376896262763288E-11</v>
      </c>
      <c r="R11" s="18">
        <f t="shared" si="2"/>
        <v>2.5969897181795456E-2</v>
      </c>
      <c r="S11" s="18">
        <f t="shared" si="3"/>
        <v>-8.650738787593616E-23</v>
      </c>
      <c r="T11" s="18">
        <f t="shared" si="4"/>
        <v>0.1339274431968426</v>
      </c>
      <c r="U11" s="20" t="e">
        <f t="shared" si="5"/>
        <v>#DIV/0!</v>
      </c>
      <c r="V11" s="21">
        <f t="shared" si="13"/>
        <v>6.5908136254371117</v>
      </c>
      <c r="W11" s="21">
        <f t="shared" si="6"/>
        <v>6.7811563229397356</v>
      </c>
      <c r="X11" s="22">
        <f t="shared" si="7"/>
        <v>6.5908136254371117</v>
      </c>
      <c r="Y11" s="22">
        <f t="shared" si="8"/>
        <v>6.7811563229397356</v>
      </c>
    </row>
    <row r="12" spans="1:30" ht="15" customHeight="1" x14ac:dyDescent="0.3">
      <c r="C12" s="101" t="s">
        <v>103</v>
      </c>
      <c r="D12" s="101"/>
      <c r="E12" s="101"/>
      <c r="F12" s="101"/>
      <c r="G12" s="15" t="s">
        <v>31</v>
      </c>
      <c r="H12" s="15">
        <f>0.67*cb+0.32</f>
        <v>0.85600000000000009</v>
      </c>
      <c r="I12" s="25" t="s">
        <v>30</v>
      </c>
      <c r="J12" s="12"/>
      <c r="K12" s="17">
        <v>2.5</v>
      </c>
      <c r="L12" s="18">
        <f t="shared" si="0"/>
        <v>1.2861</v>
      </c>
      <c r="M12" s="19">
        <f t="shared" si="9"/>
        <v>1528.6864044215301</v>
      </c>
      <c r="N12" s="20">
        <f t="shared" si="10"/>
        <v>6869.3031093167892</v>
      </c>
      <c r="O12" s="18">
        <f t="shared" si="11"/>
        <v>173212121.21212125</v>
      </c>
      <c r="P12" s="18">
        <f t="shared" si="12"/>
        <v>1.9270367880725274E-3</v>
      </c>
      <c r="Q12" s="20">
        <f t="shared" si="1"/>
        <v>4.0667508033875335E-8</v>
      </c>
      <c r="R12" s="18">
        <f t="shared" si="2"/>
        <v>3.2462371477244317E-2</v>
      </c>
      <c r="S12" s="18">
        <f t="shared" si="3"/>
        <v>-6.5894721283872604E-15</v>
      </c>
      <c r="T12" s="18">
        <f t="shared" si="4"/>
        <v>0.16728276921056404</v>
      </c>
      <c r="U12" s="20" t="e">
        <f t="shared" si="5"/>
        <v>#DIV/0!</v>
      </c>
      <c r="V12" s="21">
        <f>(coef_k1*N12+Q12+M12)/1000</f>
        <v>10.027812997543803</v>
      </c>
      <c r="W12" s="21">
        <f t="shared" si="6"/>
        <v>12.896770296141085</v>
      </c>
      <c r="X12" s="22">
        <f t="shared" si="7"/>
        <v>10.027812997543803</v>
      </c>
      <c r="Y12" s="22">
        <f t="shared" si="8"/>
        <v>12.896770296141085</v>
      </c>
    </row>
    <row r="13" spans="1:30" ht="15" customHeight="1" x14ac:dyDescent="0.3">
      <c r="C13" s="101" t="s">
        <v>104</v>
      </c>
      <c r="D13" s="101"/>
      <c r="E13" s="101"/>
      <c r="F13" s="101"/>
      <c r="G13" s="15" t="s">
        <v>32</v>
      </c>
      <c r="H13" s="15">
        <f>0.8+0.21*cb</f>
        <v>0.96800000000000008</v>
      </c>
      <c r="I13" s="25" t="s">
        <v>30</v>
      </c>
      <c r="J13" s="12"/>
      <c r="K13" s="17">
        <v>3</v>
      </c>
      <c r="L13" s="18">
        <f t="shared" si="0"/>
        <v>1.54332</v>
      </c>
      <c r="M13" s="19">
        <f t="shared" si="9"/>
        <v>2201.3084223670035</v>
      </c>
      <c r="N13" s="20">
        <f t="shared" si="10"/>
        <v>9645.4001033027689</v>
      </c>
      <c r="O13" s="18">
        <f t="shared" si="11"/>
        <v>207854545.45454547</v>
      </c>
      <c r="P13" s="18">
        <f t="shared" si="12"/>
        <v>1.8790359139696014E-3</v>
      </c>
      <c r="Q13" s="20">
        <f t="shared" si="1"/>
        <v>9.343356943004244E-6</v>
      </c>
      <c r="R13" s="18">
        <f t="shared" si="2"/>
        <v>3.8954845772693182E-2</v>
      </c>
      <c r="S13" s="18">
        <f t="shared" si="3"/>
        <v>-1.2598557793452712E-10</v>
      </c>
      <c r="T13" s="18">
        <f t="shared" si="4"/>
        <v>0.20055420543857422</v>
      </c>
      <c r="U13" s="20" t="e">
        <f t="shared" si="5"/>
        <v>#DIV/0!</v>
      </c>
      <c r="V13" s="21">
        <f t="shared" si="13"/>
        <v>14.135193894954387</v>
      </c>
      <c r="W13" s="21">
        <f t="shared" si="6"/>
        <v>21.815127441961007</v>
      </c>
      <c r="X13" s="22">
        <f t="shared" si="7"/>
        <v>14.135193894954387</v>
      </c>
      <c r="Y13" s="22">
        <f t="shared" si="8"/>
        <v>21.815127441961007</v>
      </c>
    </row>
    <row r="14" spans="1:30" ht="15" customHeight="1" x14ac:dyDescent="0.3">
      <c r="C14" s="101" t="s">
        <v>93</v>
      </c>
      <c r="D14" s="101"/>
      <c r="E14" s="101"/>
      <c r="F14" s="101"/>
      <c r="G14" s="15" t="s">
        <v>33</v>
      </c>
      <c r="H14" s="15">
        <v>0</v>
      </c>
      <c r="I14" s="25" t="s">
        <v>30</v>
      </c>
      <c r="J14" s="12"/>
      <c r="K14" s="17">
        <v>3.5</v>
      </c>
      <c r="L14" s="18">
        <f t="shared" si="0"/>
        <v>1.80054</v>
      </c>
      <c r="M14" s="19">
        <f t="shared" si="9"/>
        <v>2996.2253526661989</v>
      </c>
      <c r="N14" s="20">
        <f t="shared" si="10"/>
        <v>12854.587905944196</v>
      </c>
      <c r="O14" s="18">
        <f t="shared" si="11"/>
        <v>242496969.69696975</v>
      </c>
      <c r="P14" s="18">
        <f t="shared" si="12"/>
        <v>1.8398372719718565E-3</v>
      </c>
      <c r="Q14" s="20">
        <f t="shared" si="1"/>
        <v>4.8512925463526177E-4</v>
      </c>
      <c r="R14" s="18">
        <f t="shared" si="2"/>
        <v>4.5447320068142047E-2</v>
      </c>
      <c r="S14" s="18">
        <f t="shared" si="3"/>
        <v>-4.8074229278577332E-8</v>
      </c>
      <c r="T14" s="18">
        <f t="shared" si="4"/>
        <v>0.23372543710860932</v>
      </c>
      <c r="U14" s="20" t="e">
        <f t="shared" si="5"/>
        <v>#DIV/0!</v>
      </c>
      <c r="V14" s="21">
        <f t="shared" si="13"/>
        <v>18.900716901282912</v>
      </c>
      <c r="W14" s="21">
        <f t="shared" si="6"/>
        <v>34.031496809435936</v>
      </c>
      <c r="X14" s="22">
        <f t="shared" si="7"/>
        <v>18.900716901282912</v>
      </c>
      <c r="Y14" s="22">
        <f t="shared" si="8"/>
        <v>34.031496809435936</v>
      </c>
    </row>
    <row r="15" spans="1:30" ht="15" customHeight="1" x14ac:dyDescent="0.3">
      <c r="C15" s="101" t="s">
        <v>105</v>
      </c>
      <c r="D15" s="101"/>
      <c r="E15" s="101"/>
      <c r="F15" s="101"/>
      <c r="G15" s="23" t="s">
        <v>34</v>
      </c>
      <c r="H15" s="15">
        <f>1.188*10^-6</f>
        <v>1.1879999999999999E-6</v>
      </c>
      <c r="I15" s="16" t="s">
        <v>35</v>
      </c>
      <c r="J15" s="12"/>
      <c r="K15" s="17">
        <v>4</v>
      </c>
      <c r="L15" s="18">
        <f t="shared" si="0"/>
        <v>2.05776</v>
      </c>
      <c r="M15" s="19">
        <f t="shared" si="9"/>
        <v>3913.4371953191171</v>
      </c>
      <c r="N15" s="20">
        <f t="shared" si="10"/>
        <v>16488.772236157547</v>
      </c>
      <c r="O15" s="18">
        <f t="shared" si="11"/>
        <v>277139393.939394</v>
      </c>
      <c r="P15" s="18">
        <f t="shared" si="12"/>
        <v>1.8068648908714105E-3</v>
      </c>
      <c r="Q15" s="20">
        <f t="shared" si="1"/>
        <v>9.7965743042947306E-3</v>
      </c>
      <c r="R15" s="18">
        <f t="shared" si="2"/>
        <v>5.1939794363590912E-2</v>
      </c>
      <c r="S15" s="18">
        <f t="shared" si="3"/>
        <v>-2.2775320882145223E-6</v>
      </c>
      <c r="T15" s="18">
        <f t="shared" si="4"/>
        <v>0.2667803976178979</v>
      </c>
      <c r="U15" s="20" t="e">
        <f t="shared" si="5"/>
        <v>#DIV/0!</v>
      </c>
      <c r="V15" s="21">
        <f t="shared" si="13"/>
        <v>24.314375640611964</v>
      </c>
      <c r="W15" s="21">
        <f t="shared" si="6"/>
        <v>50.033149618225671</v>
      </c>
      <c r="X15" s="22">
        <f t="shared" si="7"/>
        <v>24.314375640611964</v>
      </c>
      <c r="Y15" s="22">
        <f t="shared" si="8"/>
        <v>50.033149618225671</v>
      </c>
    </row>
    <row r="16" spans="1:30" ht="15" customHeight="1" x14ac:dyDescent="0.3">
      <c r="C16" s="101" t="s">
        <v>106</v>
      </c>
      <c r="D16" s="101"/>
      <c r="E16" s="101"/>
      <c r="F16" s="101"/>
      <c r="G16" s="15" t="s">
        <v>36</v>
      </c>
      <c r="H16" s="15">
        <v>1025</v>
      </c>
      <c r="I16" s="16" t="s">
        <v>37</v>
      </c>
      <c r="J16" s="12"/>
      <c r="K16" s="17">
        <v>4.5</v>
      </c>
      <c r="L16" s="18">
        <f t="shared" si="0"/>
        <v>2.3149800000000003</v>
      </c>
      <c r="M16" s="19">
        <f t="shared" si="9"/>
        <v>4952.9439503257581</v>
      </c>
      <c r="N16" s="20">
        <f t="shared" si="10"/>
        <v>20541.1303046338</v>
      </c>
      <c r="O16" s="18">
        <f t="shared" si="11"/>
        <v>311781818.18181825</v>
      </c>
      <c r="P16" s="18">
        <f t="shared" si="12"/>
        <v>1.7785113982971574E-3</v>
      </c>
      <c r="Q16" s="20">
        <f t="shared" si="1"/>
        <v>0.10450202809147573</v>
      </c>
      <c r="R16" s="18">
        <f t="shared" si="2"/>
        <v>5.8432268659039777E-2</v>
      </c>
      <c r="S16" s="18">
        <f t="shared" si="3"/>
        <v>-3.2078758999683599E-5</v>
      </c>
      <c r="T16" s="18">
        <f t="shared" si="4"/>
        <v>0.29970330623113378</v>
      </c>
      <c r="U16" s="20" t="e">
        <f t="shared" si="5"/>
        <v>#DIV/0!</v>
      </c>
      <c r="V16" s="21">
        <f t="shared" si="13"/>
        <v>30.367805094448101</v>
      </c>
      <c r="W16" s="21">
        <f t="shared" si="6"/>
        <v>70.300861437545478</v>
      </c>
      <c r="X16" s="22">
        <f t="shared" si="7"/>
        <v>30.367805094448101</v>
      </c>
      <c r="Y16" s="22">
        <f t="shared" si="8"/>
        <v>70.300861437545478</v>
      </c>
    </row>
    <row r="17" spans="3:25" ht="15" customHeight="1" x14ac:dyDescent="0.3">
      <c r="C17" s="101" t="s">
        <v>107</v>
      </c>
      <c r="D17" s="101"/>
      <c r="E17" s="101"/>
      <c r="F17" s="101"/>
      <c r="G17" s="15" t="s">
        <v>38</v>
      </c>
      <c r="H17" s="15">
        <v>9.81</v>
      </c>
      <c r="I17" s="16" t="s">
        <v>39</v>
      </c>
      <c r="J17" s="12"/>
      <c r="K17" s="17">
        <v>5</v>
      </c>
      <c r="L17" s="18">
        <f t="shared" si="0"/>
        <v>2.5722</v>
      </c>
      <c r="M17" s="19">
        <f t="shared" si="9"/>
        <v>6114.7456176861206</v>
      </c>
      <c r="N17" s="20">
        <f t="shared" si="10"/>
        <v>25005.783094615563</v>
      </c>
      <c r="O17" s="18">
        <f t="shared" si="11"/>
        <v>346424242.4242425</v>
      </c>
      <c r="P17" s="18">
        <f t="shared" si="12"/>
        <v>1.7537100623981235E-3</v>
      </c>
      <c r="Q17" s="20">
        <f t="shared" si="1"/>
        <v>0.70908820402419082</v>
      </c>
      <c r="R17" s="18">
        <f t="shared" si="2"/>
        <v>6.4924742954488635E-2</v>
      </c>
      <c r="S17" s="18">
        <f t="shared" si="3"/>
        <v>-2.1277169886107922E-4</v>
      </c>
      <c r="T17" s="18">
        <f t="shared" si="4"/>
        <v>0.33247870415833081</v>
      </c>
      <c r="U17" s="20" t="e">
        <f t="shared" si="5"/>
        <v>#DIV/0!</v>
      </c>
      <c r="V17" s="21">
        <f t="shared" si="13"/>
        <v>37.054155866423912</v>
      </c>
      <c r="W17" s="21">
        <f t="shared" si="6"/>
        <v>95.310699719615585</v>
      </c>
      <c r="X17" s="22">
        <f t="shared" si="7"/>
        <v>37.054155866423912</v>
      </c>
      <c r="Y17" s="22">
        <f t="shared" si="8"/>
        <v>95.310699719615585</v>
      </c>
    </row>
    <row r="18" spans="3:25" ht="15" customHeight="1" x14ac:dyDescent="0.3">
      <c r="C18" s="99" t="s">
        <v>108</v>
      </c>
      <c r="D18" s="99"/>
      <c r="E18" s="99"/>
      <c r="F18" s="99"/>
      <c r="G18" s="15" t="s">
        <v>40</v>
      </c>
      <c r="H18" s="15">
        <f>MAIN!C7</f>
        <v>13</v>
      </c>
      <c r="I18" s="16" t="s">
        <v>94</v>
      </c>
      <c r="J18" s="12"/>
      <c r="K18" s="17">
        <v>5.5</v>
      </c>
      <c r="L18" s="18">
        <f t="shared" si="0"/>
        <v>2.8294199999999998</v>
      </c>
      <c r="M18" s="19">
        <f t="shared" si="9"/>
        <v>7398.8421974002049</v>
      </c>
      <c r="N18" s="20">
        <f t="shared" si="10"/>
        <v>29877.578153085749</v>
      </c>
      <c r="O18" s="18">
        <f t="shared" si="11"/>
        <v>381066666.66666663</v>
      </c>
      <c r="P18" s="18">
        <f t="shared" si="12"/>
        <v>1.7317187328358544E-3</v>
      </c>
      <c r="Q18" s="20">
        <f t="shared" si="1"/>
        <v>3.451451748019029</v>
      </c>
      <c r="R18" s="18">
        <f t="shared" si="2"/>
        <v>7.1417217249937492E-2</v>
      </c>
      <c r="S18" s="18">
        <f t="shared" si="3"/>
        <v>-8.6273257646064881E-4</v>
      </c>
      <c r="T18" s="18">
        <f t="shared" si="4"/>
        <v>0.36509148882986214</v>
      </c>
      <c r="U18" s="20" t="e">
        <f t="shared" si="5"/>
        <v>#DIV/0!</v>
      </c>
      <c r="V18" s="21">
        <f t="shared" si="13"/>
        <v>44.368680919693475</v>
      </c>
      <c r="W18" s="21">
        <f t="shared" si="6"/>
        <v>125.5376331677991</v>
      </c>
      <c r="X18" s="22">
        <f t="shared" si="7"/>
        <v>44.368680919693475</v>
      </c>
      <c r="Y18" s="22">
        <f t="shared" si="8"/>
        <v>125.5376331677991</v>
      </c>
    </row>
    <row r="19" spans="3:25" ht="15" customHeight="1" x14ac:dyDescent="0.3">
      <c r="C19" s="99" t="s">
        <v>109</v>
      </c>
      <c r="D19" s="99"/>
      <c r="E19" s="99"/>
      <c r="F19" s="99"/>
      <c r="G19" s="15" t="s">
        <v>84</v>
      </c>
      <c r="H19" s="15">
        <f>Vol_desl*rho/1000</f>
        <v>15744</v>
      </c>
      <c r="I19" s="16" t="s">
        <v>85</v>
      </c>
      <c r="J19" s="12"/>
      <c r="K19" s="17">
        <v>6</v>
      </c>
      <c r="L19" s="18">
        <f t="shared" si="0"/>
        <v>3.0866400000000001</v>
      </c>
      <c r="M19" s="19">
        <f t="shared" si="9"/>
        <v>8805.2336894680138</v>
      </c>
      <c r="N19" s="20">
        <f t="shared" si="10"/>
        <v>35151.938511298249</v>
      </c>
      <c r="O19" s="18">
        <f t="shared" si="11"/>
        <v>415709090.90909094</v>
      </c>
      <c r="P19" s="18">
        <f t="shared" si="12"/>
        <v>1.7120014255749523E-3</v>
      </c>
      <c r="Q19" s="20">
        <f t="shared" si="1"/>
        <v>13.034720137972913</v>
      </c>
      <c r="R19" s="18">
        <f t="shared" si="2"/>
        <v>7.7909691545386364E-2</v>
      </c>
      <c r="S19" s="18">
        <f t="shared" si="3"/>
        <v>-2.5019660538713232E-3</v>
      </c>
      <c r="T19" s="18">
        <f t="shared" si="4"/>
        <v>0.39752694620385309</v>
      </c>
      <c r="U19" s="20" t="e">
        <f t="shared" si="5"/>
        <v>#DIV/0!</v>
      </c>
      <c r="V19" s="21">
        <f t="shared" si="13"/>
        <v>52.310420472969895</v>
      </c>
      <c r="W19" s="21">
        <f t="shared" si="6"/>
        <v>161.4634362486878</v>
      </c>
      <c r="X19" s="22">
        <f t="shared" si="7"/>
        <v>52.310420472969895</v>
      </c>
      <c r="Y19" s="22">
        <f t="shared" si="8"/>
        <v>161.4634362486878</v>
      </c>
    </row>
    <row r="20" spans="3:25" ht="15" customHeight="1" x14ac:dyDescent="0.3">
      <c r="C20" s="99" t="s">
        <v>110</v>
      </c>
      <c r="D20" s="99"/>
      <c r="E20" s="99"/>
      <c r="F20" s="99"/>
      <c r="G20" s="15" t="s">
        <v>54</v>
      </c>
      <c r="H20" s="15">
        <f>cb/C_x</f>
        <v>0.82644628099173556</v>
      </c>
      <c r="I20" s="16"/>
      <c r="J20" s="12"/>
      <c r="K20" s="17">
        <v>6.5</v>
      </c>
      <c r="L20" s="18">
        <f t="shared" si="0"/>
        <v>3.3438600000000003</v>
      </c>
      <c r="M20" s="19">
        <f t="shared" si="9"/>
        <v>10333.920093889545</v>
      </c>
      <c r="N20" s="20">
        <f t="shared" si="10"/>
        <v>40824.753539091536</v>
      </c>
      <c r="O20" s="18">
        <f t="shared" si="11"/>
        <v>450351515.15151519</v>
      </c>
      <c r="P20" s="18">
        <f t="shared" si="12"/>
        <v>1.6941591320925624E-3</v>
      </c>
      <c r="Q20" s="20">
        <f t="shared" si="1"/>
        <v>40.799654603577089</v>
      </c>
      <c r="R20" s="18">
        <f t="shared" si="2"/>
        <v>8.4402165840835236E-2</v>
      </c>
      <c r="S20" s="18">
        <f t="shared" si="3"/>
        <v>-5.7298255829598037E-3</v>
      </c>
      <c r="T20" s="18">
        <f t="shared" si="4"/>
        <v>0.42977078096024757</v>
      </c>
      <c r="U20" s="20" t="e">
        <f t="shared" si="5"/>
        <v>#DIV/0!</v>
      </c>
      <c r="V20" s="21">
        <f t="shared" si="13"/>
        <v>60.885629361652533</v>
      </c>
      <c r="W20" s="21">
        <f t="shared" si="6"/>
        <v>203.59302059725545</v>
      </c>
      <c r="X20" s="22">
        <f t="shared" si="7"/>
        <v>60.885629361652533</v>
      </c>
      <c r="Y20" s="22">
        <f t="shared" si="8"/>
        <v>203.59302059725545</v>
      </c>
    </row>
    <row r="21" spans="3:25" ht="15" customHeight="1" x14ac:dyDescent="0.3">
      <c r="C21" s="99" t="s">
        <v>111</v>
      </c>
      <c r="D21" s="99"/>
      <c r="E21" s="99"/>
      <c r="F21" s="99"/>
      <c r="G21" s="15" t="s">
        <v>56</v>
      </c>
      <c r="H21" s="15">
        <f>Lbp*(2*T+B)*(C_x^0.5)*(0.453+0.4425*cb-0.2862*C_x-0.003467*(B/T)+0.3696*cwp)+2.38*(A_bulbo/cb)</f>
        <v>4205.1290503164282</v>
      </c>
      <c r="I21" s="16" t="s">
        <v>112</v>
      </c>
      <c r="J21" s="12"/>
      <c r="K21" s="17">
        <v>7</v>
      </c>
      <c r="L21" s="18">
        <f t="shared" si="0"/>
        <v>3.6010800000000001</v>
      </c>
      <c r="M21" s="19">
        <f t="shared" si="9"/>
        <v>11984.901410664796</v>
      </c>
      <c r="N21" s="20">
        <f t="shared" si="10"/>
        <v>46892.297639605669</v>
      </c>
      <c r="O21" s="18">
        <f t="shared" si="11"/>
        <v>484993939.3939395</v>
      </c>
      <c r="P21" s="18">
        <f t="shared" si="12"/>
        <v>1.6778872570051362E-3</v>
      </c>
      <c r="Q21" s="20">
        <f t="shared" si="1"/>
        <v>109.45438374944015</v>
      </c>
      <c r="R21" s="18">
        <f t="shared" si="2"/>
        <v>9.0894640136284094E-2</v>
      </c>
      <c r="S21" s="18">
        <f t="shared" si="3"/>
        <v>-1.1058068794455195E-2</v>
      </c>
      <c r="T21" s="18">
        <f t="shared" si="4"/>
        <v>0.46180914445601301</v>
      </c>
      <c r="U21" s="20" t="e">
        <f t="shared" si="5"/>
        <v>#DIV/0!</v>
      </c>
      <c r="V21" s="21">
        <f>(coef_k1*N21+Q21+M21)/1000</f>
        <v>70.112406175526175</v>
      </c>
      <c r="W21" s="21">
        <f t="shared" si="6"/>
        <v>252.48038363056381</v>
      </c>
      <c r="X21" s="22">
        <f t="shared" si="7"/>
        <v>70.112406175526175</v>
      </c>
      <c r="Y21" s="22">
        <f t="shared" si="8"/>
        <v>252.48038363056381</v>
      </c>
    </row>
    <row r="22" spans="3:25" ht="15" customHeight="1" x14ac:dyDescent="0.3">
      <c r="G22" s="15" t="s">
        <v>119</v>
      </c>
      <c r="H22" s="4">
        <f>1.25*SQRT(Lbp)/0.51444</f>
        <v>30.735145596846859</v>
      </c>
      <c r="J22" s="12"/>
      <c r="K22" s="17">
        <v>7.5</v>
      </c>
      <c r="L22" s="18">
        <f t="shared" si="0"/>
        <v>3.8582999999999998</v>
      </c>
      <c r="M22" s="19">
        <f t="shared" si="9"/>
        <v>13758.177639793768</v>
      </c>
      <c r="N22" s="20">
        <f t="shared" si="10"/>
        <v>53351.168130757454</v>
      </c>
      <c r="O22" s="18">
        <f t="shared" si="11"/>
        <v>519636363.63636369</v>
      </c>
      <c r="P22" s="18">
        <f t="shared" si="12"/>
        <v>1.6629483052440159E-3</v>
      </c>
      <c r="Q22" s="20">
        <f t="shared" si="1"/>
        <v>250.73422340483347</v>
      </c>
      <c r="R22" s="18">
        <f t="shared" si="2"/>
        <v>9.7387114431732952E-2</v>
      </c>
      <c r="S22" s="18">
        <f t="shared" si="3"/>
        <v>-1.8794755597945179E-2</v>
      </c>
      <c r="T22" s="18">
        <f t="shared" si="4"/>
        <v>0.49362866033679109</v>
      </c>
      <c r="U22" s="20" t="e">
        <f t="shared" si="5"/>
        <v>#DIV/0!</v>
      </c>
      <c r="V22" s="21">
        <f t="shared" si="13"/>
        <v>80.018276221730559</v>
      </c>
      <c r="W22" s="21">
        <f t="shared" si="6"/>
        <v>308.73451514630301</v>
      </c>
      <c r="X22" s="22">
        <f t="shared" si="7"/>
        <v>80.018276221730559</v>
      </c>
      <c r="Y22" s="22">
        <f t="shared" si="8"/>
        <v>308.73451514630301</v>
      </c>
    </row>
    <row r="23" spans="3:25" ht="15" customHeight="1" x14ac:dyDescent="0.3">
      <c r="J23" s="12"/>
      <c r="K23" s="17">
        <v>8</v>
      </c>
      <c r="L23" s="18">
        <f t="shared" si="0"/>
        <v>4.1155200000000001</v>
      </c>
      <c r="M23" s="19">
        <f t="shared" si="9"/>
        <v>15653.748781276468</v>
      </c>
      <c r="N23" s="20">
        <f t="shared" si="10"/>
        <v>60198.236765863054</v>
      </c>
      <c r="O23" s="18">
        <f t="shared" si="11"/>
        <v>554278787.87878799</v>
      </c>
      <c r="P23" s="18">
        <f t="shared" si="12"/>
        <v>1.649153723314903E-3</v>
      </c>
      <c r="Q23" s="20">
        <f t="shared" si="1"/>
        <v>529.69197908266324</v>
      </c>
      <c r="R23" s="18">
        <f t="shared" si="2"/>
        <v>0.10387958872718182</v>
      </c>
      <c r="S23" s="18">
        <f t="shared" si="3"/>
        <v>-2.9011309414529573E-2</v>
      </c>
      <c r="T23" s="18">
        <f t="shared" si="4"/>
        <v>0.5252164477215574</v>
      </c>
      <c r="U23" s="20" t="e">
        <f t="shared" si="5"/>
        <v>#DIV/0!</v>
      </c>
      <c r="V23" s="21">
        <f t="shared" si="13"/>
        <v>90.66442184553587</v>
      </c>
      <c r="W23" s="21">
        <f t="shared" si="6"/>
        <v>373.1312413937398</v>
      </c>
      <c r="X23" s="22">
        <f t="shared" si="7"/>
        <v>90.66442184553587</v>
      </c>
      <c r="Y23" s="22">
        <f t="shared" si="8"/>
        <v>373.1312413937398</v>
      </c>
    </row>
    <row r="24" spans="3:25" ht="15" customHeight="1" x14ac:dyDescent="0.3">
      <c r="J24" s="12"/>
      <c r="K24" s="17">
        <v>8.5</v>
      </c>
      <c r="L24" s="18">
        <f t="shared" si="0"/>
        <v>4.3727400000000003</v>
      </c>
      <c r="M24" s="19">
        <f t="shared" si="9"/>
        <v>17671.61483511289</v>
      </c>
      <c r="N24" s="20">
        <f t="shared" si="10"/>
        <v>67430.611206800822</v>
      </c>
      <c r="O24" s="18">
        <f t="shared" si="11"/>
        <v>588921212.12121224</v>
      </c>
      <c r="P24" s="18">
        <f t="shared" si="12"/>
        <v>1.6363514575833229E-3</v>
      </c>
      <c r="Q24" s="20">
        <f t="shared" si="1"/>
        <v>1105.5005898548941</v>
      </c>
      <c r="R24" s="18">
        <f t="shared" si="2"/>
        <v>0.11037206302263068</v>
      </c>
      <c r="S24" s="18">
        <f t="shared" si="3"/>
        <v>-4.1573531683465628E-2</v>
      </c>
      <c r="T24" s="18">
        <f t="shared" si="4"/>
        <v>0.55656014189822245</v>
      </c>
      <c r="U24" s="20" t="e">
        <f t="shared" si="5"/>
        <v>#DIV/0!</v>
      </c>
      <c r="V24" s="21">
        <f t="shared" si="13"/>
        <v>102.20643740643254</v>
      </c>
      <c r="W24" s="21">
        <f t="shared" si="6"/>
        <v>446.92217710460386</v>
      </c>
      <c r="X24" s="22">
        <f t="shared" si="7"/>
        <v>102.20643740643254</v>
      </c>
      <c r="Y24" s="22">
        <f t="shared" si="8"/>
        <v>446.92217710460386</v>
      </c>
    </row>
    <row r="25" spans="3:25" ht="15" customHeight="1" x14ac:dyDescent="0.3">
      <c r="C25" s="3" t="s">
        <v>41</v>
      </c>
      <c r="D25" s="26">
        <f>2223105*(coef_7^3.78613)*((T/B)^1.07961)*((90-coef_ie)^-1.37565)</f>
        <v>1.0554046086059008</v>
      </c>
      <c r="J25" s="12"/>
      <c r="K25" s="17">
        <v>9</v>
      </c>
      <c r="L25" s="18">
        <f t="shared" si="0"/>
        <v>4.6299600000000005</v>
      </c>
      <c r="M25" s="19">
        <f t="shared" si="9"/>
        <v>19811.775801303032</v>
      </c>
      <c r="N25" s="20">
        <f t="shared" si="10"/>
        <v>75045.603924018404</v>
      </c>
      <c r="O25" s="18">
        <f t="shared" si="11"/>
        <v>623563636.36363649</v>
      </c>
      <c r="P25" s="18">
        <f t="shared" si="12"/>
        <v>1.6244172057665654E-3</v>
      </c>
      <c r="Q25" s="20">
        <f t="shared" si="1"/>
        <v>1857.7432918862874</v>
      </c>
      <c r="R25" s="18">
        <f t="shared" si="2"/>
        <v>0.11686453731807955</v>
      </c>
      <c r="S25" s="18">
        <f t="shared" si="3"/>
        <v>-5.6202494856622674E-2</v>
      </c>
      <c r="T25" s="18">
        <f t="shared" si="4"/>
        <v>0.58764791248932546</v>
      </c>
      <c r="U25" s="20" t="e">
        <f t="shared" si="5"/>
        <v>#DIV/0!</v>
      </c>
      <c r="V25" s="21">
        <f>(coef_k1*N25+Q25+M25)/1000</f>
        <v>114.52058096283083</v>
      </c>
      <c r="W25" s="21">
        <f t="shared" si="6"/>
        <v>530.22570903466828</v>
      </c>
      <c r="X25" s="22">
        <f t="shared" si="7"/>
        <v>114.52058096283083</v>
      </c>
      <c r="Y25" s="22">
        <f t="shared" si="8"/>
        <v>530.22570903466828</v>
      </c>
    </row>
    <row r="26" spans="3:25" ht="15" customHeight="1" x14ac:dyDescent="0.3">
      <c r="C26" s="3" t="s">
        <v>42</v>
      </c>
      <c r="D26" s="26">
        <f>EXP(-1.89*(coef_3)^0.5)</f>
        <v>1</v>
      </c>
      <c r="J26" s="12"/>
      <c r="K26" s="17">
        <v>9.5</v>
      </c>
      <c r="L26" s="18">
        <f t="shared" si="0"/>
        <v>4.8871799999999999</v>
      </c>
      <c r="M26" s="19">
        <f t="shared" si="9"/>
        <v>22074.231679846889</v>
      </c>
      <c r="N26" s="20">
        <f t="shared" si="10"/>
        <v>83040.706747142511</v>
      </c>
      <c r="O26" s="18">
        <f t="shared" si="11"/>
        <v>658206060.60606062</v>
      </c>
      <c r="P26" s="18">
        <f t="shared" si="12"/>
        <v>1.6132481249405918E-3</v>
      </c>
      <c r="Q26" s="20">
        <f t="shared" si="1"/>
        <v>3078.2659800987885</v>
      </c>
      <c r="R26" s="18">
        <f t="shared" si="2"/>
        <v>0.1233570116135284</v>
      </c>
      <c r="S26" s="18">
        <f t="shared" si="3"/>
        <v>-7.2538570040329459E-2</v>
      </c>
      <c r="T26" s="18">
        <f t="shared" si="4"/>
        <v>0.61846847906775371</v>
      </c>
      <c r="U26" s="20" t="e">
        <f t="shared" si="5"/>
        <v>#DIV/0!</v>
      </c>
      <c r="V26" s="21">
        <f t="shared" si="13"/>
        <v>127.89559514616582</v>
      </c>
      <c r="W26" s="21">
        <f t="shared" si="6"/>
        <v>625.04879468643867</v>
      </c>
      <c r="X26" s="22">
        <f t="shared" si="7"/>
        <v>127.89559514616582</v>
      </c>
      <c r="Y26" s="22">
        <f t="shared" si="8"/>
        <v>625.04879468643867</v>
      </c>
    </row>
    <row r="27" spans="3:25" ht="15" customHeight="1" x14ac:dyDescent="0.3">
      <c r="C27" s="3" t="s">
        <v>43</v>
      </c>
      <c r="D27" s="26">
        <f>0.56*A_bulbo^1.5/(B*T*(0.31*(A_bulbo^0.5)+T_f-h_bulbo))</f>
        <v>0</v>
      </c>
      <c r="G27" s="97" t="s">
        <v>62</v>
      </c>
      <c r="H27" s="97"/>
      <c r="J27" s="12"/>
      <c r="K27" s="17">
        <v>10</v>
      </c>
      <c r="L27" s="18">
        <f t="shared" si="0"/>
        <v>5.1444000000000001</v>
      </c>
      <c r="M27" s="19">
        <f t="shared" si="9"/>
        <v>24458.982470744482</v>
      </c>
      <c r="N27" s="20">
        <f t="shared" si="10"/>
        <v>91413.569788288529</v>
      </c>
      <c r="O27" s="18">
        <f t="shared" si="11"/>
        <v>692848484.84848499</v>
      </c>
      <c r="P27" s="18">
        <f t="shared" si="12"/>
        <v>1.6027582156782612E-3</v>
      </c>
      <c r="Q27" s="20">
        <f t="shared" si="1"/>
        <v>4925.2896085924685</v>
      </c>
      <c r="R27" s="18">
        <f t="shared" si="2"/>
        <v>0.12984948590897727</v>
      </c>
      <c r="S27" s="18">
        <f t="shared" si="3"/>
        <v>-9.0194419996890499E-2</v>
      </c>
      <c r="T27" s="18">
        <f t="shared" si="4"/>
        <v>0.64901112422255391</v>
      </c>
      <c r="U27" s="20" t="e">
        <f t="shared" si="5"/>
        <v>#DIV/0!</v>
      </c>
      <c r="V27" s="21">
        <f t="shared" si="13"/>
        <v>142.48679348393358</v>
      </c>
      <c r="W27" s="21">
        <f t="shared" si="6"/>
        <v>733.00906039874792</v>
      </c>
      <c r="X27" s="22">
        <f t="shared" si="7"/>
        <v>142.48679348393358</v>
      </c>
      <c r="Y27" s="22">
        <f t="shared" si="8"/>
        <v>733.00906039874792</v>
      </c>
    </row>
    <row r="28" spans="3:25" ht="15" customHeight="1" x14ac:dyDescent="0.3">
      <c r="C28" s="3" t="s">
        <v>44</v>
      </c>
      <c r="D28" s="26">
        <f>IF(T_f/Lbp&lt;=0.04,T_f/Lbp,0.04)</f>
        <v>3.7499999999999999E-2</v>
      </c>
      <c r="G28" s="4" t="s">
        <v>63</v>
      </c>
      <c r="H28" s="4">
        <v>0</v>
      </c>
      <c r="J28" s="12"/>
      <c r="K28" s="17">
        <v>10.5</v>
      </c>
      <c r="L28" s="18">
        <f t="shared" si="0"/>
        <v>5.4016200000000003</v>
      </c>
      <c r="M28" s="19">
        <f t="shared" si="9"/>
        <v>26966.02817399579</v>
      </c>
      <c r="N28" s="20">
        <f t="shared" si="10"/>
        <v>100161.98380017378</v>
      </c>
      <c r="O28" s="18">
        <f t="shared" si="11"/>
        <v>727490909.09090924</v>
      </c>
      <c r="P28" s="18">
        <f t="shared" si="12"/>
        <v>1.59287487582534E-3</v>
      </c>
      <c r="Q28" s="20">
        <f t="shared" si="1"/>
        <v>7997.5295074953674</v>
      </c>
      <c r="R28" s="18">
        <f t="shared" si="2"/>
        <v>0.13634196020442615</v>
      </c>
      <c r="S28" s="18">
        <f t="shared" si="3"/>
        <v>-0.1087925344575672</v>
      </c>
      <c r="T28" s="18">
        <f t="shared" si="4"/>
        <v>0.67926570409413067</v>
      </c>
      <c r="U28" s="20" t="e">
        <f t="shared" si="5"/>
        <v>#DIV/0!</v>
      </c>
      <c r="V28" s="21">
        <f t="shared" si="13"/>
        <v>158.89015788890782</v>
      </c>
      <c r="W28" s="21">
        <f t="shared" si="6"/>
        <v>858.26425465588227</v>
      </c>
      <c r="X28" s="22">
        <f t="shared" si="7"/>
        <v>158.89015788890782</v>
      </c>
      <c r="Y28" s="22">
        <f t="shared" si="8"/>
        <v>858.26425465588227</v>
      </c>
    </row>
    <row r="29" spans="3:25" ht="15" customHeight="1" x14ac:dyDescent="0.3">
      <c r="C29" s="3" t="s">
        <v>45</v>
      </c>
      <c r="D29" s="26">
        <f>1-0.8*(A_tram)/(B*T*C_x)</f>
        <v>1</v>
      </c>
      <c r="G29" s="4" t="s">
        <v>64</v>
      </c>
      <c r="H29" s="13">
        <f>PI()*h_bulbo^2</f>
        <v>0</v>
      </c>
      <c r="J29" s="12"/>
      <c r="K29" s="17">
        <v>11</v>
      </c>
      <c r="L29" s="18">
        <f t="shared" si="0"/>
        <v>5.6588399999999996</v>
      </c>
      <c r="M29" s="19">
        <f t="shared" ref="M29:M38" si="14">0.5*rho*(L29^2)*Sm*coef_ca</f>
        <v>29595.36878960082</v>
      </c>
      <c r="N29" s="20">
        <f t="shared" ref="N29:N38" si="15">P29*0.5*rho*L29^2*Sm</f>
        <v>109283.86526842855</v>
      </c>
      <c r="O29" s="18">
        <f t="shared" ref="O29:O38" si="16">L29*Lbp/visco</f>
        <v>762133333.33333325</v>
      </c>
      <c r="P29" s="18">
        <f t="shared" si="12"/>
        <v>1.5835362869137182E-3</v>
      </c>
      <c r="Q29" s="20">
        <f t="shared" si="1"/>
        <v>14212.33689583358</v>
      </c>
      <c r="R29" s="18">
        <f t="shared" ref="R29:R38" si="17">L29/((grav*Lbp)^0.5)</f>
        <v>0.14283443449987498</v>
      </c>
      <c r="S29" s="18">
        <f t="shared" si="3"/>
        <v>-0.12798829514533305</v>
      </c>
      <c r="T29" s="18">
        <f t="shared" si="4"/>
        <v>0.70922265641628501</v>
      </c>
      <c r="U29" s="20" t="e">
        <f t="shared" si="5"/>
        <v>#DIV/0!</v>
      </c>
      <c r="V29" s="21">
        <f t="shared" si="13"/>
        <v>179.02046172729538</v>
      </c>
      <c r="W29" s="21">
        <f t="shared" si="6"/>
        <v>1013.0481496408881</v>
      </c>
      <c r="X29" s="22">
        <f t="shared" si="7"/>
        <v>179.02046172729538</v>
      </c>
      <c r="Y29" s="22">
        <f t="shared" si="8"/>
        <v>1013.0481496408881</v>
      </c>
    </row>
    <row r="30" spans="3:25" ht="34.9" customHeight="1" x14ac:dyDescent="0.3">
      <c r="C30" s="27" t="s">
        <v>61</v>
      </c>
      <c r="D30" s="4">
        <f>0.2*(1-0.2)</f>
        <v>0.16000000000000003</v>
      </c>
      <c r="J30" s="12"/>
      <c r="K30" s="17">
        <v>11.5</v>
      </c>
      <c r="L30" s="18">
        <f t="shared" si="0"/>
        <v>5.9160599999999999</v>
      </c>
      <c r="M30" s="19">
        <f t="shared" si="14"/>
        <v>32347.004317559578</v>
      </c>
      <c r="N30" s="20">
        <f t="shared" si="15"/>
        <v>118777.24370646382</v>
      </c>
      <c r="O30" s="18">
        <f t="shared" si="16"/>
        <v>796775757.57575762</v>
      </c>
      <c r="P30" s="18">
        <f t="shared" si="12"/>
        <v>1.5746894039720789E-3</v>
      </c>
      <c r="Q30" s="20">
        <f t="shared" si="1"/>
        <v>17180.019490745672</v>
      </c>
      <c r="R30" s="18">
        <f t="shared" si="17"/>
        <v>0.14932690879532387</v>
      </c>
      <c r="S30" s="18">
        <f t="shared" si="3"/>
        <v>-0.14748170119945389</v>
      </c>
      <c r="T30" s="18">
        <f t="shared" si="4"/>
        <v>0.73887300611944406</v>
      </c>
      <c r="U30" s="20" t="e">
        <f t="shared" si="5"/>
        <v>#DIV/0!</v>
      </c>
      <c r="V30" s="21">
        <f t="shared" si="13"/>
        <v>196.4855747083754</v>
      </c>
      <c r="W30" s="21">
        <f t="shared" si="6"/>
        <v>1162.4204491092314</v>
      </c>
      <c r="X30" s="22">
        <f t="shared" si="7"/>
        <v>196.4855747083754</v>
      </c>
      <c r="Y30" s="22">
        <f t="shared" si="8"/>
        <v>1162.4204491092314</v>
      </c>
    </row>
    <row r="31" spans="3:25" ht="15" customHeight="1" x14ac:dyDescent="0.3">
      <c r="C31" s="3" t="s">
        <v>46</v>
      </c>
      <c r="D31" s="26">
        <f>IF((B/Lbp)&lt;=0.11,(0.229577*(B/Lbp)^0.3333),IF(0.11&lt;(B/Lbp)&amp;((B/Lbp)&lt;0.25),(B/Lbp),IF((B/Lbp)&gt;=0.25,(0.5-0.0625*Lbp/B))))</f>
        <v>0.125</v>
      </c>
      <c r="J31" s="12"/>
      <c r="K31" s="17">
        <v>12</v>
      </c>
      <c r="L31" s="18">
        <f t="shared" si="0"/>
        <v>6.1732800000000001</v>
      </c>
      <c r="M31" s="19">
        <f t="shared" si="14"/>
        <v>35220.934757872055</v>
      </c>
      <c r="N31" s="20">
        <f t="shared" si="15"/>
        <v>128640.25074374066</v>
      </c>
      <c r="O31" s="18">
        <f t="shared" si="16"/>
        <v>831418181.81818187</v>
      </c>
      <c r="P31" s="18">
        <f t="shared" si="12"/>
        <v>1.566288389677415E-3</v>
      </c>
      <c r="Q31" s="20">
        <f t="shared" si="1"/>
        <v>25956.240279234818</v>
      </c>
      <c r="R31" s="18">
        <f t="shared" si="17"/>
        <v>0.15581938309077273</v>
      </c>
      <c r="S31" s="18">
        <f t="shared" si="3"/>
        <v>-0.16702118401980207</v>
      </c>
      <c r="T31" s="18">
        <f t="shared" si="4"/>
        <v>0.76820836856494767</v>
      </c>
      <c r="U31" s="20" t="e">
        <f t="shared" si="5"/>
        <v>#DIV/0!</v>
      </c>
      <c r="V31" s="21">
        <f t="shared" si="13"/>
        <v>220.33884815558324</v>
      </c>
      <c r="W31" s="21">
        <f t="shared" si="6"/>
        <v>1360.2134045418989</v>
      </c>
      <c r="X31" s="22">
        <f t="shared" si="7"/>
        <v>220.33884815558324</v>
      </c>
      <c r="Y31" s="22">
        <f t="shared" si="8"/>
        <v>1360.2134045418989</v>
      </c>
    </row>
    <row r="32" spans="3:25" ht="15" customHeight="1" x14ac:dyDescent="0.3">
      <c r="C32" s="3" t="s">
        <v>47</v>
      </c>
      <c r="D32" s="26">
        <f>IF(T/Lbp&gt;=0.05, (T/Lbp)^0.2228446, IF( 0.2&lt;(T/Lbp) &amp;((T/Lbp) &lt;0.05), (48.2*((T/Lbp-0.02)^2.078)+0.479948), IF((T/Lbp)&lt;=0.02,0.479948)))</f>
        <v>0.49071463780476843</v>
      </c>
      <c r="J32" s="12"/>
      <c r="K32" s="17">
        <v>12.5</v>
      </c>
      <c r="L32" s="18">
        <f t="shared" si="0"/>
        <v>6.4305000000000003</v>
      </c>
      <c r="M32" s="19">
        <f t="shared" si="14"/>
        <v>38217.160110538251</v>
      </c>
      <c r="N32" s="20">
        <f t="shared" si="15"/>
        <v>138871.11068852546</v>
      </c>
      <c r="O32" s="18">
        <f t="shared" si="16"/>
        <v>866060606.06060624</v>
      </c>
      <c r="P32" s="18">
        <f t="shared" si="12"/>
        <v>1.5582933804992429E-3</v>
      </c>
      <c r="Q32" s="20">
        <f t="shared" si="1"/>
        <v>34417.5189684828</v>
      </c>
      <c r="R32" s="18">
        <f t="shared" si="17"/>
        <v>0.16231185738622159</v>
      </c>
      <c r="S32" s="18">
        <f t="shared" si="3"/>
        <v>-0.18640242895404355</v>
      </c>
      <c r="T32" s="18">
        <f t="shared" si="4"/>
        <v>0.79722095049426944</v>
      </c>
      <c r="U32" s="20" t="e">
        <f t="shared" si="5"/>
        <v>#DIV/0!</v>
      </c>
      <c r="V32" s="21">
        <f t="shared" si="13"/>
        <v>244.45460478048204</v>
      </c>
      <c r="W32" s="21">
        <f t="shared" si="6"/>
        <v>1571.96533604089</v>
      </c>
      <c r="X32" s="22">
        <f t="shared" si="7"/>
        <v>244.45460478048204</v>
      </c>
      <c r="Y32" s="22">
        <f t="shared" si="8"/>
        <v>1571.96533604089</v>
      </c>
    </row>
    <row r="33" spans="3:25" ht="15" customHeight="1" x14ac:dyDescent="0.3">
      <c r="C33" s="3" t="s">
        <v>48</v>
      </c>
      <c r="D33" s="26">
        <f>1+0.003*cstern</f>
        <v>1</v>
      </c>
      <c r="J33" s="12"/>
      <c r="K33" s="17">
        <v>13</v>
      </c>
      <c r="L33" s="18">
        <f t="shared" si="0"/>
        <v>6.6877200000000006</v>
      </c>
      <c r="M33" s="19">
        <f t="shared" si="14"/>
        <v>41335.680375558179</v>
      </c>
      <c r="N33" s="20">
        <f t="shared" si="15"/>
        <v>149468.13231366492</v>
      </c>
      <c r="O33" s="18">
        <f t="shared" si="16"/>
        <v>900703030.30303037</v>
      </c>
      <c r="P33" s="18">
        <f t="shared" si="12"/>
        <v>1.5506695041866119E-3</v>
      </c>
      <c r="Q33" s="20">
        <f t="shared" si="1"/>
        <v>52347.849749185552</v>
      </c>
      <c r="R33" s="18">
        <f t="shared" si="17"/>
        <v>0.16880433168167047</v>
      </c>
      <c r="S33" s="18">
        <f t="shared" si="3"/>
        <v>-0.20546438634256467</v>
      </c>
      <c r="T33" s="18">
        <f t="shared" si="4"/>
        <v>0.82590354878948635</v>
      </c>
      <c r="U33" s="20" t="e">
        <f t="shared" si="5"/>
        <v>#DIV/0!</v>
      </c>
      <c r="V33" s="21">
        <f t="shared" si="13"/>
        <v>278.61474628295116</v>
      </c>
      <c r="W33" s="21">
        <f t="shared" si="6"/>
        <v>1863.2974110114183</v>
      </c>
      <c r="X33" s="22">
        <f t="shared" si="7"/>
        <v>278.61474628295116</v>
      </c>
      <c r="Y33" s="22">
        <f t="shared" si="8"/>
        <v>1863.2974110114183</v>
      </c>
    </row>
    <row r="34" spans="3:25" ht="15" customHeight="1" x14ac:dyDescent="0.3">
      <c r="C34" s="3" t="s">
        <v>49</v>
      </c>
      <c r="D34" s="26">
        <f>IF(Lbp^3/Vol_desl&lt;512, -1.69385,IF(Lbp^3/Vol_desl&gt;=1727, 0, IF(512&lt;(Lbp^3/Vol_desl) &amp; ((Lbp^3/Vol_desl)&lt;1727), (-1.69385+(Lbp/(Vol_desl^(1/3))-8)/2.36))))</f>
        <v>-1.6938500000000001</v>
      </c>
      <c r="J34" s="12"/>
      <c r="K34" s="17">
        <v>13.5</v>
      </c>
      <c r="L34" s="18">
        <f t="shared" si="0"/>
        <v>6.9449399999999999</v>
      </c>
      <c r="M34" s="19">
        <f t="shared" si="14"/>
        <v>44576.49555293181</v>
      </c>
      <c r="N34" s="20">
        <f t="shared" si="15"/>
        <v>160429.70166501019</v>
      </c>
      <c r="O34" s="18">
        <f t="shared" si="16"/>
        <v>935345454.54545462</v>
      </c>
      <c r="P34" s="18">
        <f t="shared" si="12"/>
        <v>1.5433860898441596E-3</v>
      </c>
      <c r="Q34" s="20">
        <f t="shared" si="1"/>
        <v>50133.985038946739</v>
      </c>
      <c r="R34" s="18">
        <f t="shared" si="17"/>
        <v>0.1752968059771193</v>
      </c>
      <c r="S34" s="18">
        <f t="shared" si="3"/>
        <v>-0.22408396806777964</v>
      </c>
      <c r="T34" s="18">
        <f t="shared" si="4"/>
        <v>0.85424954715211709</v>
      </c>
      <c r="U34" s="20" t="e">
        <f t="shared" si="5"/>
        <v>#DIV/0!</v>
      </c>
      <c r="V34" s="21">
        <f t="shared" si="13"/>
        <v>293.20402819671693</v>
      </c>
      <c r="W34" s="21">
        <f t="shared" si="6"/>
        <v>2036.2843835845072</v>
      </c>
      <c r="X34" s="22">
        <f t="shared" si="7"/>
        <v>293.20402819671693</v>
      </c>
      <c r="Y34" s="22">
        <f t="shared" si="8"/>
        <v>2036.2843835845072</v>
      </c>
    </row>
    <row r="35" spans="3:25" ht="15" customHeight="1" x14ac:dyDescent="0.3">
      <c r="C35" s="3" t="s">
        <v>50</v>
      </c>
      <c r="D35" s="26">
        <f>IF(Cp&lt;=0.8,(8.07981*Cp-13.8673*Cp^2+6.984388*Cp^3),(1.73014-0.7067*Cp))</f>
        <v>1.1460904132231406</v>
      </c>
      <c r="J35" s="12"/>
      <c r="K35" s="17">
        <v>14</v>
      </c>
      <c r="L35" s="18">
        <f t="shared" si="0"/>
        <v>7.2021600000000001</v>
      </c>
      <c r="M35" s="19">
        <f t="shared" si="14"/>
        <v>47939.605642659182</v>
      </c>
      <c r="N35" s="20">
        <f t="shared" si="15"/>
        <v>171754.27573128691</v>
      </c>
      <c r="O35" s="18">
        <f t="shared" si="16"/>
        <v>969987878.78787899</v>
      </c>
      <c r="P35" s="18">
        <f t="shared" si="12"/>
        <v>1.5364160272148281E-3</v>
      </c>
      <c r="Q35" s="20">
        <f t="shared" si="1"/>
        <v>97147.179029382751</v>
      </c>
      <c r="R35" s="18">
        <f t="shared" si="17"/>
        <v>0.18178928027256819</v>
      </c>
      <c r="S35" s="18">
        <f t="shared" si="3"/>
        <v>-0.24217038192960749</v>
      </c>
      <c r="T35" s="18">
        <f t="shared" si="4"/>
        <v>0.88225291081660673</v>
      </c>
      <c r="U35" s="20" t="e">
        <f t="shared" si="5"/>
        <v>#DIV/0!</v>
      </c>
      <c r="V35" s="21">
        <f t="shared" si="13"/>
        <v>357.59179560442993</v>
      </c>
      <c r="W35" s="21">
        <f t="shared" si="6"/>
        <v>2575.4333266304011</v>
      </c>
      <c r="X35" s="22">
        <f t="shared" si="7"/>
        <v>357.59179560442993</v>
      </c>
      <c r="Y35" s="22">
        <f t="shared" si="8"/>
        <v>2575.4333266304011</v>
      </c>
    </row>
    <row r="36" spans="3:25" ht="42" customHeight="1" x14ac:dyDescent="0.3">
      <c r="C36" s="3" t="s">
        <v>51</v>
      </c>
      <c r="D36" s="26">
        <f>0.006*((Lbp+100)^(-0.16))-0.00205+0.003*((Lbp/7.5)^0.5)*cb^4*coef_2*(0.04-coef_4)</f>
        <v>4.2884043575704058E-4</v>
      </c>
      <c r="I36" s="14"/>
      <c r="J36" s="12"/>
      <c r="K36" s="17">
        <v>14.5</v>
      </c>
      <c r="L36" s="18">
        <f t="shared" si="0"/>
        <v>7.4593800000000003</v>
      </c>
      <c r="M36" s="19">
        <f t="shared" si="14"/>
        <v>51425.010644740272</v>
      </c>
      <c r="N36" s="20">
        <f t="shared" si="15"/>
        <v>183440.37684457086</v>
      </c>
      <c r="O36" s="18">
        <f t="shared" si="16"/>
        <v>1004630303.0303031</v>
      </c>
      <c r="P36" s="18">
        <f t="shared" si="12"/>
        <v>1.5297352427384959E-3</v>
      </c>
      <c r="Q36" s="20">
        <f t="shared" si="1"/>
        <v>107524.6815235026</v>
      </c>
      <c r="R36" s="18">
        <f t="shared" si="17"/>
        <v>0.18828175456801705</v>
      </c>
      <c r="S36" s="18">
        <f t="shared" si="3"/>
        <v>-0.25965966382772726</v>
      </c>
      <c r="T36" s="18">
        <f t="shared" si="4"/>
        <v>0.90990817942223945</v>
      </c>
      <c r="U36" s="20" t="e">
        <f t="shared" si="5"/>
        <v>#DIV/0!</v>
      </c>
      <c r="V36" s="21">
        <f t="shared" si="13"/>
        <v>385.91347004696672</v>
      </c>
      <c r="W36" s="21">
        <f t="shared" si="6"/>
        <v>2878.675220198943</v>
      </c>
      <c r="X36" s="22">
        <f t="shared" si="7"/>
        <v>385.91347004696672</v>
      </c>
      <c r="Y36" s="22">
        <f t="shared" si="8"/>
        <v>2878.675220198943</v>
      </c>
    </row>
    <row r="37" spans="3:25" ht="30" customHeight="1" x14ac:dyDescent="0.3">
      <c r="C37" s="3" t="s">
        <v>53</v>
      </c>
      <c r="D37" s="26">
        <f>Lbp*(1-Cp+(0.06*LCB*Cp/(4*Cp-1)))</f>
        <v>34.650315471429835</v>
      </c>
      <c r="J37" s="12"/>
      <c r="K37" s="17">
        <v>15</v>
      </c>
      <c r="L37" s="18">
        <f t="shared" si="0"/>
        <v>7.7165999999999997</v>
      </c>
      <c r="M37" s="19">
        <f t="shared" si="14"/>
        <v>55032.710559175073</v>
      </c>
      <c r="N37" s="20">
        <f t="shared" si="15"/>
        <v>195486.58770430804</v>
      </c>
      <c r="O37" s="18">
        <f t="shared" si="16"/>
        <v>1039272727.2727274</v>
      </c>
      <c r="P37" s="18">
        <f t="shared" si="12"/>
        <v>1.5233222678652123E-3</v>
      </c>
      <c r="Q37" s="20">
        <f t="shared" si="1"/>
        <v>95814.287472384545</v>
      </c>
      <c r="R37" s="18">
        <f t="shared" si="17"/>
        <v>0.1947742288634659</v>
      </c>
      <c r="S37" s="18">
        <f t="shared" si="3"/>
        <v>-0.27650970285376725</v>
      </c>
      <c r="T37" s="18">
        <f t="shared" si="4"/>
        <v>0.93721045817315163</v>
      </c>
      <c r="U37" s="20" t="e">
        <f t="shared" si="5"/>
        <v>#DIV/0!</v>
      </c>
      <c r="V37" s="21">
        <f t="shared" si="13"/>
        <v>392.71509290351685</v>
      </c>
      <c r="W37" s="21">
        <f t="shared" si="6"/>
        <v>3030.4252858992782</v>
      </c>
      <c r="X37" s="22">
        <f t="shared" si="7"/>
        <v>392.71509290351685</v>
      </c>
      <c r="Y37" s="22">
        <f t="shared" si="8"/>
        <v>3030.4252858992782</v>
      </c>
    </row>
    <row r="38" spans="3:25" ht="15" customHeight="1" x14ac:dyDescent="0.3">
      <c r="C38" s="3" t="s">
        <v>55</v>
      </c>
      <c r="D38" s="28">
        <v>0</v>
      </c>
      <c r="J38" s="12"/>
      <c r="K38" s="17">
        <v>15.5</v>
      </c>
      <c r="L38" s="18">
        <f t="shared" si="0"/>
        <v>7.9738199999999999</v>
      </c>
      <c r="M38" s="19">
        <f t="shared" si="14"/>
        <v>58762.705385963607</v>
      </c>
      <c r="N38" s="20">
        <f t="shared" si="15"/>
        <v>207891.54693660978</v>
      </c>
      <c r="O38" s="18">
        <f t="shared" si="16"/>
        <v>1073915151.5151517</v>
      </c>
      <c r="P38" s="18">
        <f t="shared" si="12"/>
        <v>1.5171578808860699E-3</v>
      </c>
      <c r="Q38" s="20">
        <f t="shared" si="1"/>
        <v>154892.51198484446</v>
      </c>
      <c r="R38" s="18">
        <f t="shared" si="17"/>
        <v>0.20126670315891476</v>
      </c>
      <c r="S38" s="18">
        <f t="shared" si="3"/>
        <v>-0.29269588541067354</v>
      </c>
      <c r="T38" s="18">
        <f t="shared" si="4"/>
        <v>0.96415540742042882</v>
      </c>
      <c r="U38" s="20" t="e">
        <f t="shared" si="5"/>
        <v>#DIV/0!</v>
      </c>
      <c r="V38" s="21">
        <f t="shared" si="13"/>
        <v>470.87149490693588</v>
      </c>
      <c r="W38" s="21">
        <f t="shared" si="6"/>
        <v>3754.6445435188234</v>
      </c>
      <c r="X38" s="22">
        <f t="shared" si="7"/>
        <v>470.87149490693588</v>
      </c>
      <c r="Y38" s="22">
        <f t="shared" si="8"/>
        <v>3754.6445435188234</v>
      </c>
    </row>
    <row r="39" spans="3:25" ht="15" customHeight="1" x14ac:dyDescent="0.3">
      <c r="C39" s="27" t="s">
        <v>68</v>
      </c>
      <c r="D39" s="16">
        <v>-0.9</v>
      </c>
      <c r="K39" s="17">
        <v>16</v>
      </c>
      <c r="L39" s="18">
        <f t="shared" ref="L39:L49" si="18">0.51444*K39</f>
        <v>8.2310400000000001</v>
      </c>
      <c r="M39" s="19">
        <f t="shared" ref="M39:M49" si="19">0.5*rho*(L39^2)*Sm*coef_ca</f>
        <v>62614.995125105874</v>
      </c>
      <c r="N39" s="20">
        <f t="shared" ref="N39:N49" si="20">P39*0.5*rho*L39^2*Sm</f>
        <v>220653.9451155393</v>
      </c>
      <c r="O39" s="18">
        <f t="shared" ref="O39:O49" si="21">L39*Lbp/visco</f>
        <v>1108557575.757576</v>
      </c>
      <c r="P39" s="18">
        <f t="shared" ref="P39:P49" si="22">0.075/ (LOG10(O39)-2)^2</f>
        <v>1.5112248078243062E-3</v>
      </c>
      <c r="Q39" s="20">
        <f t="shared" ref="Q39:Q49" si="23">coef_1*coef_2*coef_5*Vol_desl*rho*grav*EXP(coef_m1*(R39^coef_d)+S39*COS(lambda*(R39^-2)))</f>
        <v>256798.85745074242</v>
      </c>
      <c r="R39" s="18">
        <f t="shared" ref="R39:R49" si="24">L39/((grav*Lbp)^0.5)</f>
        <v>0.20775917745436365</v>
      </c>
      <c r="S39" s="18">
        <f t="shared" ref="S39:S49" si="25">coef_15*0.4*EXP(-0.034*(R39^-2))</f>
        <v>-0.30820738279102644</v>
      </c>
      <c r="T39" s="18">
        <f t="shared" ref="T39:T49" si="26">L39/SQRT(9.81*(T_f-h_bulbo-0.25*SQRT(A_bulbo))+0.15*L39^2)</f>
        <v>0.99073923080307169</v>
      </c>
      <c r="U39" s="20" t="e">
        <f t="shared" ref="U39:U49" si="27">0.11*EXP(-3*coef_pb^(-2))*T39^3*A_bulbo^1.5*rho*grav/(1+T39^2)/1000</f>
        <v>#DIV/0!</v>
      </c>
      <c r="V39" s="21">
        <f t="shared" ref="V39:V49" si="28">(coef_k1*N39+Q39+M39)/1000</f>
        <v>592.42055834434211</v>
      </c>
      <c r="W39" s="21">
        <f t="shared" ref="W39:W49" si="29">(L39*V39)</f>
        <v>4876.2373125546137</v>
      </c>
      <c r="X39" s="22">
        <f t="shared" ref="X39:X49" si="30">IF(h_bulbo&gt;0,V39+U39,V39)</f>
        <v>592.42055834434211</v>
      </c>
      <c r="Y39" s="22">
        <f t="shared" ref="Y39:Y49" si="31">X39*L39</f>
        <v>4876.2373125546137</v>
      </c>
    </row>
    <row r="40" spans="3:25" ht="24" customHeight="1" x14ac:dyDescent="0.3">
      <c r="C40" s="3" t="s">
        <v>58</v>
      </c>
      <c r="D40" s="26">
        <f>IF((Lbp/B)&lt;=12, (1.446*Cp-0.03*Lbp/B), (1.446*Cp-0.36))</f>
        <v>0.95504132231404948</v>
      </c>
      <c r="K40" s="17">
        <v>16.5</v>
      </c>
      <c r="L40" s="18">
        <f t="shared" si="18"/>
        <v>8.4882600000000004</v>
      </c>
      <c r="M40" s="19">
        <f t="shared" si="19"/>
        <v>66589.579776601851</v>
      </c>
      <c r="N40" s="20">
        <f t="shared" si="20"/>
        <v>233772.52118515398</v>
      </c>
      <c r="O40" s="18">
        <f t="shared" si="21"/>
        <v>1143200000</v>
      </c>
      <c r="P40" s="18">
        <f t="shared" si="22"/>
        <v>1.5055074711297328E-3</v>
      </c>
      <c r="Q40" s="20">
        <f t="shared" si="23"/>
        <v>256927.73257632408</v>
      </c>
      <c r="R40" s="18">
        <f t="shared" si="24"/>
        <v>0.21425165174981251</v>
      </c>
      <c r="S40" s="18">
        <f t="shared" si="25"/>
        <v>-0.32304404984044655</v>
      </c>
      <c r="T40" s="18">
        <f t="shared" si="26"/>
        <v>1.0169586620860047</v>
      </c>
      <c r="U40" s="20" t="e">
        <f t="shared" si="27"/>
        <v>#DIV/0!</v>
      </c>
      <c r="V40" s="21">
        <f t="shared" si="28"/>
        <v>612.75513166558767</v>
      </c>
      <c r="W40" s="21">
        <f t="shared" si="29"/>
        <v>5201.2248739117413</v>
      </c>
      <c r="X40" s="22">
        <f t="shared" si="30"/>
        <v>612.75513166558767</v>
      </c>
      <c r="Y40" s="22">
        <f t="shared" si="31"/>
        <v>5201.2248739117413</v>
      </c>
    </row>
    <row r="41" spans="3:25" ht="15" customHeight="1" x14ac:dyDescent="0.3">
      <c r="C41" s="3" t="s">
        <v>59</v>
      </c>
      <c r="D41" s="26">
        <f>0.0140407*(Lbp/T)-1.75254*((Vol_desl^(1/3))/Lbp)-4.79323*(B/Lbp)-coef_16</f>
        <v>-1.6431029593556927</v>
      </c>
      <c r="K41" s="17">
        <v>17</v>
      </c>
      <c r="L41" s="18">
        <f t="shared" si="18"/>
        <v>8.7454800000000006</v>
      </c>
      <c r="M41" s="19">
        <f t="shared" si="19"/>
        <v>70686.459340451562</v>
      </c>
      <c r="N41" s="20">
        <f t="shared" si="20"/>
        <v>247246.05923082124</v>
      </c>
      <c r="O41" s="18">
        <f t="shared" si="21"/>
        <v>1177842424.2424245</v>
      </c>
      <c r="P41" s="18">
        <f t="shared" si="22"/>
        <v>1.4999917773371829E-3</v>
      </c>
      <c r="Q41" s="20">
        <f t="shared" si="23"/>
        <v>211665.72221002248</v>
      </c>
      <c r="R41" s="18">
        <f t="shared" si="24"/>
        <v>0.22074412604526136</v>
      </c>
      <c r="S41" s="18">
        <f t="shared" si="25"/>
        <v>-0.33721387416478793</v>
      </c>
      <c r="T41" s="18">
        <f t="shared" si="26"/>
        <v>1.042810950833347</v>
      </c>
      <c r="U41" s="20" t="e">
        <f t="shared" si="27"/>
        <v>#DIV/0!</v>
      </c>
      <c r="V41" s="21">
        <f t="shared" si="28"/>
        <v>588.26029531433176</v>
      </c>
      <c r="W41" s="21">
        <f t="shared" si="29"/>
        <v>5144.6186474655824</v>
      </c>
      <c r="X41" s="22">
        <f t="shared" si="30"/>
        <v>588.26029531433176</v>
      </c>
      <c r="Y41" s="22">
        <f t="shared" si="31"/>
        <v>5144.6186474655824</v>
      </c>
    </row>
    <row r="42" spans="3:25" ht="15" customHeight="1" x14ac:dyDescent="0.3">
      <c r="C42" s="3" t="s">
        <v>60</v>
      </c>
      <c r="D42" s="26">
        <f>0.56*(A_bulbo^0.5)/(T_f-1.5*h_bulbo)</f>
        <v>0</v>
      </c>
      <c r="K42" s="17">
        <v>17.5</v>
      </c>
      <c r="L42" s="18">
        <f t="shared" si="18"/>
        <v>9.0027000000000008</v>
      </c>
      <c r="M42" s="19">
        <f t="shared" si="19"/>
        <v>74905.633816654969</v>
      </c>
      <c r="N42" s="20">
        <f t="shared" si="20"/>
        <v>261073.38555628035</v>
      </c>
      <c r="O42" s="18">
        <f t="shared" si="21"/>
        <v>1212484848.4848487</v>
      </c>
      <c r="P42" s="18">
        <f t="shared" si="22"/>
        <v>1.4946649366930197E-3</v>
      </c>
      <c r="Q42" s="20">
        <f t="shared" si="23"/>
        <v>229889.25400235874</v>
      </c>
      <c r="R42" s="18">
        <f t="shared" si="24"/>
        <v>0.22723660034071025</v>
      </c>
      <c r="S42" s="18">
        <f t="shared" si="25"/>
        <v>-0.35073090464605222</v>
      </c>
      <c r="T42" s="18">
        <f t="shared" si="26"/>
        <v>1.0682938470539971</v>
      </c>
      <c r="U42" s="20" t="e">
        <f t="shared" si="27"/>
        <v>#DIV/0!</v>
      </c>
      <c r="V42" s="21">
        <f t="shared" si="28"/>
        <v>627.8110247715025</v>
      </c>
      <c r="W42" s="21">
        <f t="shared" si="29"/>
        <v>5651.9943127104061</v>
      </c>
      <c r="X42" s="22">
        <f t="shared" si="30"/>
        <v>627.8110247715025</v>
      </c>
      <c r="Y42" s="22">
        <f t="shared" si="31"/>
        <v>5651.9943127104061</v>
      </c>
    </row>
    <row r="43" spans="3:25" ht="15" customHeight="1" x14ac:dyDescent="0.3">
      <c r="C43" s="3" t="s">
        <v>52</v>
      </c>
      <c r="D43" s="26">
        <f>coef_13*(0.93+coef_12*(((B/coef_lr)^0.92497)*((0.95-Cp)^-0.521448)*((1-Cp+0.0225*LCB)^0.6906)))</f>
        <v>1.2372618383303391</v>
      </c>
      <c r="K43" s="17">
        <v>18</v>
      </c>
      <c r="L43" s="18">
        <f t="shared" si="18"/>
        <v>9.259920000000001</v>
      </c>
      <c r="M43" s="19">
        <f t="shared" si="19"/>
        <v>79247.10320521213</v>
      </c>
      <c r="N43" s="20">
        <f t="shared" si="20"/>
        <v>275253.36602945725</v>
      </c>
      <c r="O43" s="18">
        <f t="shared" si="21"/>
        <v>1247127272.727273</v>
      </c>
      <c r="P43" s="18">
        <f t="shared" si="22"/>
        <v>1.4895153091715927E-3</v>
      </c>
      <c r="Q43" s="20">
        <f t="shared" si="23"/>
        <v>346953.80511686258</v>
      </c>
      <c r="R43" s="18">
        <f t="shared" si="24"/>
        <v>0.23372907463615911</v>
      </c>
      <c r="S43" s="18">
        <f t="shared" si="25"/>
        <v>-0.36361358743791827</v>
      </c>
      <c r="T43" s="18">
        <f t="shared" si="26"/>
        <v>1.0934055849543007</v>
      </c>
      <c r="U43" s="20" t="e">
        <f t="shared" si="27"/>
        <v>#DIV/0!</v>
      </c>
      <c r="V43" s="21">
        <f t="shared" si="28"/>
        <v>766.76139398229475</v>
      </c>
      <c r="W43" s="21">
        <f t="shared" si="29"/>
        <v>7100.1491673645314</v>
      </c>
      <c r="X43" s="22">
        <f t="shared" si="30"/>
        <v>766.76139398229475</v>
      </c>
      <c r="Y43" s="22">
        <f t="shared" si="31"/>
        <v>7100.1491673645314</v>
      </c>
    </row>
    <row r="44" spans="3:25" ht="15" customHeight="1" x14ac:dyDescent="0.3">
      <c r="C44" s="3" t="s">
        <v>57</v>
      </c>
      <c r="D44" s="26">
        <f>1+89*EXP(-((Lbp/B)^0.80856)*((1-cwp)^0.30484)*((1-Cp-0.0225*LCB)^0.6367)*((coef_lr/B)^0.34574)*((100*Vol_desl/(Lbp^3))^0.16302))</f>
        <v>39.779266103562492</v>
      </c>
      <c r="K44" s="17">
        <v>18.5</v>
      </c>
      <c r="L44" s="18">
        <f t="shared" si="18"/>
        <v>9.5171399999999995</v>
      </c>
      <c r="M44" s="19">
        <f t="shared" si="19"/>
        <v>83710.867506122959</v>
      </c>
      <c r="N44" s="20">
        <f t="shared" si="20"/>
        <v>289784.90366542968</v>
      </c>
      <c r="O44" s="18">
        <f t="shared" si="21"/>
        <v>1281769696.969697</v>
      </c>
      <c r="P44" s="18">
        <f t="shared" si="22"/>
        <v>1.4845322724030443E-3</v>
      </c>
      <c r="Q44" s="20">
        <f t="shared" si="23"/>
        <v>556154.5225845878</v>
      </c>
      <c r="R44" s="18">
        <f t="shared" si="24"/>
        <v>0.24022154893160794</v>
      </c>
      <c r="S44" s="18">
        <f t="shared" si="25"/>
        <v>-0.37588344241405608</v>
      </c>
      <c r="T44" s="18">
        <f t="shared" si="26"/>
        <v>1.1181448659292921</v>
      </c>
      <c r="U44" s="20" t="e">
        <f t="shared" si="27"/>
        <v>#DIV/0!</v>
      </c>
      <c r="V44" s="21">
        <f t="shared" si="28"/>
        <v>998.40519272018037</v>
      </c>
      <c r="W44" s="21">
        <f t="shared" si="29"/>
        <v>9501.9619958449366</v>
      </c>
      <c r="X44" s="22">
        <f t="shared" si="30"/>
        <v>998.40519272018037</v>
      </c>
      <c r="Y44" s="22">
        <f t="shared" si="31"/>
        <v>9501.9619958449366</v>
      </c>
    </row>
    <row r="45" spans="3:25" ht="15" customHeight="1" x14ac:dyDescent="0.3">
      <c r="C45" s="4" t="s">
        <v>65</v>
      </c>
      <c r="K45" s="17">
        <v>19</v>
      </c>
      <c r="L45" s="18">
        <f t="shared" si="18"/>
        <v>9.7743599999999997</v>
      </c>
      <c r="M45" s="19">
        <f t="shared" si="19"/>
        <v>88296.926719387557</v>
      </c>
      <c r="N45" s="20">
        <f t="shared" si="20"/>
        <v>304666.93641942338</v>
      </c>
      <c r="O45" s="18">
        <f t="shared" si="21"/>
        <v>1316412121.2121212</v>
      </c>
      <c r="P45" s="18">
        <f t="shared" si="22"/>
        <v>1.4797061078931099E-3</v>
      </c>
      <c r="Q45" s="20">
        <f t="shared" si="23"/>
        <v>734278.69488706929</v>
      </c>
      <c r="R45" s="18">
        <f t="shared" si="24"/>
        <v>0.24671402322705679</v>
      </c>
      <c r="S45" s="18">
        <f t="shared" si="25"/>
        <v>-0.38756402034465687</v>
      </c>
      <c r="T45" s="18">
        <f t="shared" si="26"/>
        <v>1.1425108409198612</v>
      </c>
      <c r="U45" s="20" t="e">
        <f t="shared" si="27"/>
        <v>#DIV/0!</v>
      </c>
      <c r="V45" s="21">
        <f t="shared" si="28"/>
        <v>1199.5283954392253</v>
      </c>
      <c r="W45" s="21">
        <f t="shared" si="29"/>
        <v>11724.622367245345</v>
      </c>
      <c r="X45" s="22">
        <f t="shared" si="30"/>
        <v>1199.5283954392253</v>
      </c>
      <c r="Y45" s="22">
        <f t="shared" si="31"/>
        <v>11724.622367245345</v>
      </c>
    </row>
    <row r="46" spans="3:25" ht="15" customHeight="1" x14ac:dyDescent="0.3">
      <c r="C46" s="4" t="s">
        <v>66</v>
      </c>
      <c r="D46" s="4">
        <v>0</v>
      </c>
      <c r="K46" s="17">
        <v>19.5</v>
      </c>
      <c r="L46" s="18">
        <f t="shared" si="18"/>
        <v>10.03158</v>
      </c>
      <c r="M46" s="19">
        <f t="shared" si="19"/>
        <v>93005.28084500588</v>
      </c>
      <c r="N46" s="20">
        <f t="shared" si="20"/>
        <v>319898.43516646337</v>
      </c>
      <c r="O46" s="18">
        <f t="shared" si="21"/>
        <v>1351054545.4545455</v>
      </c>
      <c r="P46" s="18">
        <f t="shared" si="22"/>
        <v>1.4750279025919205E-3</v>
      </c>
      <c r="Q46" s="20">
        <f t="shared" si="23"/>
        <v>749589.66328214761</v>
      </c>
      <c r="R46" s="18">
        <f t="shared" si="24"/>
        <v>0.25320649752250568</v>
      </c>
      <c r="S46" s="18">
        <f t="shared" si="25"/>
        <v>-0.3986800891673396</v>
      </c>
      <c r="T46" s="18">
        <f t="shared" si="26"/>
        <v>1.1665030922582853</v>
      </c>
      <c r="U46" s="20" t="e">
        <f t="shared" si="27"/>
        <v>#DIV/0!</v>
      </c>
      <c r="V46" s="21">
        <f t="shared" si="28"/>
        <v>1238.3930701002107</v>
      </c>
      <c r="W46" s="21">
        <f t="shared" si="29"/>
        <v>12423.039154155871</v>
      </c>
      <c r="X46" s="22">
        <f t="shared" si="30"/>
        <v>1238.3930701002107</v>
      </c>
      <c r="Y46" s="22">
        <f t="shared" si="31"/>
        <v>12423.039154155871</v>
      </c>
    </row>
    <row r="47" spans="3:25" ht="15" customHeight="1" x14ac:dyDescent="0.3">
      <c r="C47" s="4" t="s">
        <v>67</v>
      </c>
      <c r="K47" s="17">
        <v>20</v>
      </c>
      <c r="L47" s="18">
        <f t="shared" si="18"/>
        <v>10.2888</v>
      </c>
      <c r="M47" s="19">
        <f t="shared" si="19"/>
        <v>97835.929882977929</v>
      </c>
      <c r="N47" s="20">
        <f t="shared" si="20"/>
        <v>335478.40184744576</v>
      </c>
      <c r="O47" s="18">
        <f t="shared" si="21"/>
        <v>1385696969.69697</v>
      </c>
      <c r="P47" s="18">
        <f t="shared" si="22"/>
        <v>1.4704894634048448E-3</v>
      </c>
      <c r="Q47" s="20">
        <f t="shared" si="23"/>
        <v>653403.52676920057</v>
      </c>
      <c r="R47" s="18">
        <f t="shared" si="24"/>
        <v>0.25969897181795454</v>
      </c>
      <c r="S47" s="18">
        <f t="shared" si="25"/>
        <v>-0.40925700564158313</v>
      </c>
      <c r="T47" s="18">
        <f t="shared" si="26"/>
        <v>1.1901216151190455</v>
      </c>
      <c r="U47" s="20" t="e">
        <f t="shared" si="27"/>
        <v>#DIV/0!</v>
      </c>
      <c r="V47" s="21">
        <f t="shared" si="28"/>
        <v>1166.3140808420733</v>
      </c>
      <c r="W47" s="21">
        <f t="shared" si="29"/>
        <v>11999.972314967923</v>
      </c>
      <c r="X47" s="22">
        <f t="shared" si="30"/>
        <v>1166.3140808420733</v>
      </c>
      <c r="Y47" s="22">
        <f t="shared" si="31"/>
        <v>11999.972314967923</v>
      </c>
    </row>
    <row r="48" spans="3:25" ht="15" customHeight="1" x14ac:dyDescent="0.3">
      <c r="K48" s="17">
        <v>20.5</v>
      </c>
      <c r="L48" s="18">
        <f t="shared" si="18"/>
        <v>10.54602</v>
      </c>
      <c r="M48" s="19">
        <f t="shared" si="19"/>
        <v>102788.87383330367</v>
      </c>
      <c r="N48" s="20">
        <f t="shared" si="20"/>
        <v>351405.86776404676</v>
      </c>
      <c r="O48" s="18">
        <f t="shared" si="21"/>
        <v>1420339393.939394</v>
      </c>
      <c r="P48" s="18">
        <f t="shared" si="22"/>
        <v>1.4660832426659862E-3</v>
      </c>
      <c r="Q48" s="20">
        <f t="shared" si="23"/>
        <v>565320.39281832357</v>
      </c>
      <c r="R48" s="18">
        <f t="shared" si="24"/>
        <v>0.2661914461134034</v>
      </c>
      <c r="S48" s="18">
        <f t="shared" si="25"/>
        <v>-0.41932023594308321</v>
      </c>
      <c r="T48" s="18">
        <f t="shared" si="26"/>
        <v>1.2133667986857883</v>
      </c>
      <c r="U48" s="20" t="e">
        <f t="shared" si="27"/>
        <v>#DIV/0!</v>
      </c>
      <c r="V48" s="21">
        <f t="shared" si="28"/>
        <v>1102.8903366014397</v>
      </c>
      <c r="W48" s="21">
        <f t="shared" si="29"/>
        <v>11631.103547605515</v>
      </c>
      <c r="X48" s="22">
        <f t="shared" si="30"/>
        <v>1102.8903366014397</v>
      </c>
      <c r="Y48" s="22">
        <f t="shared" si="31"/>
        <v>11631.103547605515</v>
      </c>
    </row>
    <row r="49" spans="11:25" ht="15" customHeight="1" x14ac:dyDescent="0.3">
      <c r="K49" s="17">
        <v>21</v>
      </c>
      <c r="L49" s="18">
        <f t="shared" si="18"/>
        <v>10.803240000000001</v>
      </c>
      <c r="M49" s="19">
        <f t="shared" si="19"/>
        <v>107864.11269598316</v>
      </c>
      <c r="N49" s="20">
        <f t="shared" si="20"/>
        <v>367679.89200713258</v>
      </c>
      <c r="O49" s="18">
        <f t="shared" si="21"/>
        <v>1454981818.1818185</v>
      </c>
      <c r="P49" s="18">
        <f t="shared" si="22"/>
        <v>1.4618022729381076E-3</v>
      </c>
      <c r="Q49" s="20">
        <f t="shared" si="23"/>
        <v>543305.48901835619</v>
      </c>
      <c r="R49" s="18">
        <f t="shared" si="24"/>
        <v>0.27268392040885231</v>
      </c>
      <c r="S49" s="18">
        <f t="shared" si="25"/>
        <v>-0.42889499515892293</v>
      </c>
      <c r="T49" s="18">
        <f t="shared" si="26"/>
        <v>1.2362394071388361</v>
      </c>
      <c r="U49" s="20" t="e">
        <f t="shared" si="27"/>
        <v>#DIV/0!</v>
      </c>
      <c r="V49" s="21">
        <f t="shared" si="28"/>
        <v>1106.0859008161847</v>
      </c>
      <c r="W49" s="21">
        <f t="shared" si="29"/>
        <v>11949.311447133439</v>
      </c>
      <c r="X49" s="22">
        <f t="shared" si="30"/>
        <v>1106.0859008161847</v>
      </c>
      <c r="Y49" s="22">
        <f t="shared" si="31"/>
        <v>11949.311447133439</v>
      </c>
    </row>
    <row r="50" spans="11:25" ht="15" customHeight="1" x14ac:dyDescent="0.25"/>
    <row r="51" spans="11:25" ht="15" customHeight="1" x14ac:dyDescent="0.3">
      <c r="K51" s="18">
        <f>vel_s</f>
        <v>13</v>
      </c>
      <c r="L51" s="18">
        <f>0.51444*K51</f>
        <v>6.6877200000000006</v>
      </c>
      <c r="M51" s="19">
        <f>0.5*rho*(L51^2)*Sm*coef_ca</f>
        <v>41335.680375558179</v>
      </c>
      <c r="N51" s="20">
        <f>P51*0.5*rho*L51^2*Sm</f>
        <v>149468.13231366492</v>
      </c>
      <c r="O51" s="18">
        <f>L51*Lbp/visco</f>
        <v>900703030.30303037</v>
      </c>
      <c r="P51" s="18">
        <f>0.075/ (LOG10(O51)-2)^2</f>
        <v>1.5506695041866119E-3</v>
      </c>
      <c r="Q51" s="20">
        <f>coef_1*coef_2*coef_5*Vol_desl*rho*grav*EXP(coef_m1*(R51^coef_d)+S51*COS(lambda*(R51^-2)))</f>
        <v>52347.849749185552</v>
      </c>
      <c r="R51" s="18">
        <f>L51/((grav*Lbp)^0.5)</f>
        <v>0.16880433168167047</v>
      </c>
      <c r="S51" s="18">
        <f>coef_15*0.4*EXP(-0.034*(R51^-2))</f>
        <v>-0.20546438634256467</v>
      </c>
      <c r="T51" s="18">
        <f>L51/SQRT(9.81*(T_f-h_bulbo-0.25*SQRT(A_bulbo))+0.15*L51^2)</f>
        <v>0.82590354878948635</v>
      </c>
      <c r="U51" s="20" t="e">
        <f>0.11*EXP(-3*coef_pb^(-2))*T51^3*A_bulbo^1.5*rho*grav/(1+T51^2)/1000</f>
        <v>#DIV/0!</v>
      </c>
      <c r="V51" s="21">
        <f>(coef_k1*N51+Q51+M51)/1000</f>
        <v>278.61474628295116</v>
      </c>
      <c r="W51" s="21">
        <f>(L51*V51)</f>
        <v>1863.2974110114183</v>
      </c>
      <c r="X51" s="22">
        <f>IF(h_bulbo&gt;0,V51+U51,V51)</f>
        <v>278.61474628295116</v>
      </c>
      <c r="Y51" s="22">
        <f>X51*L51</f>
        <v>1863.2974110114183</v>
      </c>
    </row>
    <row r="52" spans="11:25" ht="15" customHeight="1" x14ac:dyDescent="0.25">
      <c r="K52" s="4" t="s">
        <v>121</v>
      </c>
    </row>
    <row r="53" spans="11:25" ht="15" customHeight="1" x14ac:dyDescent="0.25"/>
    <row r="54" spans="11:25" ht="15" customHeight="1" x14ac:dyDescent="0.25"/>
    <row r="55" spans="11:25" ht="15" customHeight="1" x14ac:dyDescent="0.25"/>
    <row r="56" spans="11:25" ht="15" customHeight="1" x14ac:dyDescent="0.25"/>
    <row r="57" spans="11:25" ht="15" customHeight="1" x14ac:dyDescent="0.25"/>
    <row r="58" spans="11:25" ht="17.45" customHeight="1" x14ac:dyDescent="0.25"/>
    <row r="59" spans="11:25" ht="15" customHeight="1" x14ac:dyDescent="0.25"/>
    <row r="60" spans="11:25" ht="15" customHeight="1" x14ac:dyDescent="0.25"/>
    <row r="61" spans="11:25" ht="15" customHeight="1" x14ac:dyDescent="0.25"/>
    <row r="62" spans="11:25" ht="15" customHeight="1" x14ac:dyDescent="0.25"/>
    <row r="63" spans="11:25" ht="15" customHeight="1" x14ac:dyDescent="0.25"/>
    <row r="64" spans="11:2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8" ht="18" customHeight="1" x14ac:dyDescent="0.25"/>
  </sheetData>
  <mergeCells count="30">
    <mergeCell ref="C21:F21"/>
    <mergeCell ref="G27:H27"/>
    <mergeCell ref="C15:F15"/>
    <mergeCell ref="C16:F16"/>
    <mergeCell ref="C17:F17"/>
    <mergeCell ref="C18:F18"/>
    <mergeCell ref="C19:F19"/>
    <mergeCell ref="C20:F20"/>
    <mergeCell ref="C14:F14"/>
    <mergeCell ref="X4:X6"/>
    <mergeCell ref="Y4:Y6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A1:Y1"/>
    <mergeCell ref="AB2:AD3"/>
    <mergeCell ref="C4:I4"/>
    <mergeCell ref="K4:L6"/>
    <mergeCell ref="M4:M6"/>
    <mergeCell ref="N4:P6"/>
    <mergeCell ref="Q4:S6"/>
    <mergeCell ref="T4:U6"/>
    <mergeCell ref="V4:V6"/>
    <mergeCell ref="W4:W6"/>
  </mergeCells>
  <pageMargins left="0.25" right="0.25" top="0.75" bottom="0.75" header="0.3" footer="0.3"/>
  <pageSetup paperSize="9" scale="51" fitToHeight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2:AA37"/>
  <sheetViews>
    <sheetView zoomScale="85" zoomScaleNormal="85" workbookViewId="0">
      <selection activeCell="F39" sqref="F39"/>
    </sheetView>
  </sheetViews>
  <sheetFormatPr defaultRowHeight="15" x14ac:dyDescent="0.25"/>
  <cols>
    <col min="1" max="1" width="9.140625" style="4"/>
    <col min="2" max="2" width="25.5703125" style="4" bestFit="1" customWidth="1"/>
    <col min="3" max="3" width="5" style="4" bestFit="1" customWidth="1"/>
    <col min="4" max="4" width="6.85546875" style="4" customWidth="1"/>
    <col min="5" max="5" width="14.28515625" style="4" customWidth="1"/>
    <col min="6" max="6" width="9.5703125" style="4" customWidth="1"/>
    <col min="7" max="7" width="7.7109375" style="4" bestFit="1" customWidth="1"/>
    <col min="8" max="8" width="8.42578125" style="4" bestFit="1" customWidth="1"/>
    <col min="9" max="9" width="8.28515625" style="4" bestFit="1" customWidth="1"/>
    <col min="10" max="10" width="9.5703125" style="4" bestFit="1" customWidth="1"/>
    <col min="11" max="11" width="12" style="4" bestFit="1" customWidth="1"/>
    <col min="12" max="12" width="17.28515625" style="4" customWidth="1"/>
    <col min="13" max="13" width="16.7109375" style="4" bestFit="1" customWidth="1"/>
    <col min="14" max="14" width="9.5703125" style="4" bestFit="1" customWidth="1"/>
    <col min="15" max="15" width="13" style="4" customWidth="1"/>
    <col min="16" max="16" width="8.140625" style="4" bestFit="1" customWidth="1"/>
    <col min="17" max="17" width="7.42578125" style="4" bestFit="1" customWidth="1"/>
    <col min="18" max="19" width="5.5703125" style="4" bestFit="1" customWidth="1"/>
    <col min="20" max="20" width="12.42578125" style="4" customWidth="1"/>
    <col min="21" max="21" width="10.5703125" style="4" bestFit="1" customWidth="1"/>
    <col min="22" max="22" width="9.5703125" style="4" bestFit="1" customWidth="1"/>
    <col min="23" max="23" width="17" style="4" customWidth="1"/>
    <col min="24" max="24" width="10.140625" style="4" customWidth="1"/>
    <col min="25" max="25" width="15.28515625" style="4" bestFit="1" customWidth="1"/>
    <col min="26" max="26" width="9.5703125" style="4" bestFit="1" customWidth="1"/>
    <col min="27" max="16384" width="9.140625" style="4"/>
  </cols>
  <sheetData>
    <row r="2" spans="1:25" ht="18.75" x14ac:dyDescent="0.3">
      <c r="D2" s="105" t="s">
        <v>77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5" x14ac:dyDescent="0.25">
      <c r="E3" s="97" t="s">
        <v>76</v>
      </c>
      <c r="F3" s="97"/>
      <c r="G3" s="97"/>
      <c r="H3" s="4">
        <f>0.6*T_f</f>
        <v>3.5999999999999996</v>
      </c>
    </row>
    <row r="7" spans="1:25" ht="18.75" x14ac:dyDescent="0.25">
      <c r="A7" s="1">
        <v>12</v>
      </c>
      <c r="B7" s="29" t="s">
        <v>78</v>
      </c>
      <c r="C7" s="29" t="s">
        <v>63</v>
      </c>
      <c r="D7" s="29" t="s">
        <v>64</v>
      </c>
      <c r="E7" s="29" t="s">
        <v>79</v>
      </c>
      <c r="F7" s="29" t="s">
        <v>80</v>
      </c>
      <c r="G7" s="29" t="s">
        <v>81</v>
      </c>
      <c r="H7" s="29" t="s">
        <v>51</v>
      </c>
      <c r="I7" s="3" t="s">
        <v>13</v>
      </c>
      <c r="J7" s="3" t="s">
        <v>14</v>
      </c>
      <c r="K7" s="3" t="s">
        <v>70</v>
      </c>
      <c r="L7" s="3" t="s">
        <v>71</v>
      </c>
      <c r="M7" s="3" t="s">
        <v>72</v>
      </c>
      <c r="N7" s="3" t="s">
        <v>73</v>
      </c>
      <c r="O7" s="3" t="s">
        <v>74</v>
      </c>
      <c r="P7" s="3" t="s">
        <v>17</v>
      </c>
      <c r="Q7" s="3" t="s">
        <v>18</v>
      </c>
      <c r="R7" s="3" t="s">
        <v>60</v>
      </c>
      <c r="S7" s="3" t="s">
        <v>19</v>
      </c>
      <c r="T7" s="3" t="s">
        <v>82</v>
      </c>
      <c r="U7" s="3" t="s">
        <v>75</v>
      </c>
      <c r="V7" s="3" t="s">
        <v>22</v>
      </c>
      <c r="W7" s="3" t="s">
        <v>23</v>
      </c>
      <c r="X7" s="3" t="s">
        <v>22</v>
      </c>
    </row>
    <row r="8" spans="1:25" x14ac:dyDescent="0.25">
      <c r="A8" s="4">
        <v>0</v>
      </c>
      <c r="B8" s="30">
        <v>0</v>
      </c>
      <c r="C8" s="31">
        <v>0</v>
      </c>
      <c r="D8" s="32">
        <f>C8^2*PI()</f>
        <v>0</v>
      </c>
      <c r="E8" s="33">
        <f>Lbp*(2*T+B)*(C_x^0.5)*(0.453+0.4425*cb-0.2862*C_x-0.003467*(B/T)+0.3696*cwp)+2.38*(D8/cb)</f>
        <v>4205.1290503164282</v>
      </c>
      <c r="F8" s="33">
        <f>0.56*D8^1.5/(B*T*(0.31*(D8^0.5)+T_f-C8))</f>
        <v>0</v>
      </c>
      <c r="G8" s="33">
        <f>EXP(-1.89*(F8)^0.5)</f>
        <v>1</v>
      </c>
      <c r="H8" s="34">
        <f t="shared" ref="H8:H28" si="0">0.006*((Lbp+100)^(-0.16))-0.00205+0.003*((Lbp/7.5)^0.5)*cb^4*G8*(0.04-coef_4)</f>
        <v>4.2884043575704058E-4</v>
      </c>
      <c r="I8" s="30">
        <f t="shared" ref="I8:I28" si="1">vel_s</f>
        <v>13</v>
      </c>
      <c r="J8" s="35">
        <f>0.51444*I8</f>
        <v>6.6877200000000006</v>
      </c>
      <c r="K8" s="36">
        <f>0.5*rho*(J8^2)*E8*H8</f>
        <v>41335.680375558179</v>
      </c>
      <c r="L8" s="36">
        <f t="shared" ref="L8:L28" si="2">N8*0.5*rho*J8^2*E8</f>
        <v>149468.13231366492</v>
      </c>
      <c r="M8" s="37">
        <f t="shared" ref="M8:M28" si="3">J8*Lbp/visco</f>
        <v>900703030.30303037</v>
      </c>
      <c r="N8" s="38">
        <f>0.075/ (LOG10(M8)-2)^2</f>
        <v>1.5506695041866119E-3</v>
      </c>
      <c r="O8" s="36">
        <f>coef_1*G8*coef_5*Vol_desl*rho*grav*EXP(coef_m1*(P8^coef_d)+Q8*COS(lambda*(P8^-2)))</f>
        <v>52347.849749185552</v>
      </c>
      <c r="P8" s="36">
        <f t="shared" ref="P8:P28" si="4">J8/((grav*Lbp)^0.5)</f>
        <v>0.16880433168167047</v>
      </c>
      <c r="Q8" s="30">
        <f t="shared" ref="Q8:Q28" si="5">coef_15*0.4*EXP(-0.034*(P8^-2))</f>
        <v>-0.20546438634256467</v>
      </c>
      <c r="R8" s="30">
        <f t="shared" ref="R8:R28" si="6">0.56*(D8^0.5)/(T_f-1.5*C8)</f>
        <v>0</v>
      </c>
      <c r="S8" s="30">
        <f t="shared" ref="S8:S28" si="7">J8/SQRT(9.81*(T_f-C8-0.25*SQRT(D8))+0.15*J8^2)</f>
        <v>0.82590354878948635</v>
      </c>
      <c r="T8" s="30">
        <v>0</v>
      </c>
      <c r="U8" s="36">
        <f t="shared" ref="U8:U28" si="8">(coef_k1*L8+O8+K8)/1000</f>
        <v>278.61474628295116</v>
      </c>
      <c r="V8" s="36">
        <f>U8*J8</f>
        <v>1863.2974110114183</v>
      </c>
      <c r="W8" s="32">
        <f t="shared" ref="W8:W28" si="9">U8+T8/1000</f>
        <v>278.61474628295116</v>
      </c>
      <c r="X8" s="36">
        <f t="shared" ref="X8:X28" si="10">W8*J8</f>
        <v>1863.2974110114183</v>
      </c>
      <c r="Y8" s="31">
        <v>0</v>
      </c>
    </row>
    <row r="9" spans="1:25" x14ac:dyDescent="0.25">
      <c r="A9" s="4">
        <v>1</v>
      </c>
      <c r="B9" s="39">
        <f>B8+0.05</f>
        <v>0.05</v>
      </c>
      <c r="C9" s="15">
        <f>$H$3*B9</f>
        <v>0.18</v>
      </c>
      <c r="D9" s="32">
        <f t="shared" ref="D9:D28" si="11">C9^2*PI()</f>
        <v>0.10178760197630929</v>
      </c>
      <c r="E9" s="33">
        <f t="shared" ref="E9:E28" si="12">Lbp*(2*T+B)*(C_x^0.5)*(0.453+0.4425*cb-0.2862*C_x-0.003467*(B/T)+0.3696*cwp)+2.38*(D9/cb)</f>
        <v>4205.431868432308</v>
      </c>
      <c r="F9" s="33">
        <f t="shared" ref="F9:F18" si="13">0.56*D9^1.5/(B*T*(0.31*(D9^0.5)+T_f-C9))</f>
        <v>2.5604004100950977E-5</v>
      </c>
      <c r="G9" s="33">
        <f t="shared" ref="G9:G28" si="14">EXP(-1.89*(F9)^0.5)</f>
        <v>0.99048210913090473</v>
      </c>
      <c r="H9" s="34">
        <f t="shared" si="0"/>
        <v>4.2870538678216254E-4</v>
      </c>
      <c r="I9" s="30">
        <f t="shared" si="1"/>
        <v>13</v>
      </c>
      <c r="J9" s="35">
        <f t="shared" ref="J9:J28" si="15">0.51444*I9</f>
        <v>6.6877200000000006</v>
      </c>
      <c r="K9" s="36">
        <f t="shared" ref="K9:K28" si="16">0.5*rho*(J9^2)*E9*H9</f>
        <v>41325.638794880164</v>
      </c>
      <c r="L9" s="36">
        <f t="shared" si="2"/>
        <v>149478.89575461278</v>
      </c>
      <c r="M9" s="37">
        <f t="shared" si="3"/>
        <v>900703030.30303037</v>
      </c>
      <c r="N9" s="38">
        <f t="shared" ref="N9:N28" si="17">0.075/ (LOG10(M9)-2)^2</f>
        <v>1.5506695041866119E-3</v>
      </c>
      <c r="O9" s="36">
        <f t="shared" ref="O9:O28" si="18">coef_1*G9*coef_5*Vol_desl*rho*grav*EXP(coef_m1*(P9^coef_d)+Q9*COS(lambda*(P9^-2)))</f>
        <v>51849.608628041009</v>
      </c>
      <c r="P9" s="36">
        <f t="shared" si="4"/>
        <v>0.16880433168167047</v>
      </c>
      <c r="Q9" s="30">
        <f t="shared" si="5"/>
        <v>-0.20546438634256467</v>
      </c>
      <c r="R9" s="30">
        <f t="shared" si="6"/>
        <v>3.1180339994987087E-2</v>
      </c>
      <c r="S9" s="30">
        <f t="shared" si="7"/>
        <v>0.84243586788917668</v>
      </c>
      <c r="T9" s="37">
        <f t="shared" ref="T9:T28" si="19">0.11*EXP(-3*R9^(-2))*S9^3*D9^1.5*rho*grav/(1+S9^2)</f>
        <v>0</v>
      </c>
      <c r="U9" s="36">
        <f t="shared" si="8"/>
        <v>278.11978077586252</v>
      </c>
      <c r="V9" s="36">
        <f t="shared" ref="V9:V28" si="20">U9*J9</f>
        <v>1859.9872202903514</v>
      </c>
      <c r="W9" s="32">
        <f t="shared" si="9"/>
        <v>278.11978077586252</v>
      </c>
      <c r="X9" s="36">
        <f t="shared" si="10"/>
        <v>1859.9872202903514</v>
      </c>
      <c r="Y9" s="15">
        <f>$H$3*B9</f>
        <v>0.18</v>
      </c>
    </row>
    <row r="10" spans="1:25" x14ac:dyDescent="0.25">
      <c r="A10" s="4">
        <v>2</v>
      </c>
      <c r="B10" s="39">
        <f t="shared" ref="B10:B27" si="21">B9+0.05</f>
        <v>0.1</v>
      </c>
      <c r="C10" s="15">
        <f>$H$3*B10</f>
        <v>0.36</v>
      </c>
      <c r="D10" s="32">
        <f t="shared" si="11"/>
        <v>0.40715040790523715</v>
      </c>
      <c r="E10" s="33">
        <f t="shared" si="12"/>
        <v>4206.3403227799463</v>
      </c>
      <c r="F10" s="33">
        <f t="shared" si="13"/>
        <v>2.0767749892603869E-4</v>
      </c>
      <c r="G10" s="33">
        <f t="shared" si="14"/>
        <v>0.97313074972259772</v>
      </c>
      <c r="H10" s="34">
        <f t="shared" si="0"/>
        <v>4.2845918903383141E-4</v>
      </c>
      <c r="I10" s="30">
        <f t="shared" si="1"/>
        <v>13</v>
      </c>
      <c r="J10" s="35">
        <f t="shared" si="15"/>
        <v>6.6877200000000006</v>
      </c>
      <c r="K10" s="36">
        <f t="shared" si="16"/>
        <v>41310.828235985056</v>
      </c>
      <c r="L10" s="36">
        <f t="shared" si="2"/>
        <v>149511.1860774564</v>
      </c>
      <c r="M10" s="37">
        <f t="shared" si="3"/>
        <v>900703030.30303037</v>
      </c>
      <c r="N10" s="38">
        <f t="shared" si="17"/>
        <v>1.5506695041866119E-3</v>
      </c>
      <c r="O10" s="36">
        <f t="shared" si="18"/>
        <v>50941.302272790846</v>
      </c>
      <c r="P10" s="36">
        <f t="shared" si="4"/>
        <v>0.16880433168167047</v>
      </c>
      <c r="Q10" s="30">
        <f t="shared" si="5"/>
        <v>-0.20546438634256467</v>
      </c>
      <c r="R10" s="30">
        <f t="shared" si="6"/>
        <v>6.5444449879588293E-2</v>
      </c>
      <c r="S10" s="30">
        <f t="shared" si="7"/>
        <v>0.8600024602946269</v>
      </c>
      <c r="T10" s="37">
        <f t="shared" si="19"/>
        <v>6.6216579938304359E-303</v>
      </c>
      <c r="U10" s="36">
        <f t="shared" si="8"/>
        <v>277.23661544591897</v>
      </c>
      <c r="V10" s="36">
        <f t="shared" si="20"/>
        <v>1854.0808578499814</v>
      </c>
      <c r="W10" s="32">
        <f t="shared" si="9"/>
        <v>277.23661544591897</v>
      </c>
      <c r="X10" s="36">
        <f t="shared" si="10"/>
        <v>1854.0808578499814</v>
      </c>
      <c r="Y10" s="15">
        <f t="shared" ref="Y10:Y27" si="22">$H$3*B10</f>
        <v>0.36</v>
      </c>
    </row>
    <row r="11" spans="1:25" x14ac:dyDescent="0.25">
      <c r="A11" s="4">
        <v>3</v>
      </c>
      <c r="B11" s="39">
        <f t="shared" si="21"/>
        <v>0.15000000000000002</v>
      </c>
      <c r="C11" s="15">
        <f t="shared" ref="C11:C28" si="23">$H$3*B11</f>
        <v>0.54</v>
      </c>
      <c r="D11" s="32">
        <f t="shared" si="11"/>
        <v>0.91608841778678374</v>
      </c>
      <c r="E11" s="33">
        <f t="shared" si="12"/>
        <v>4207.8544133593441</v>
      </c>
      <c r="F11" s="33">
        <f t="shared" si="13"/>
        <v>7.1078558230915458E-4</v>
      </c>
      <c r="G11" s="33">
        <f t="shared" si="14"/>
        <v>0.95085997906269437</v>
      </c>
      <c r="H11" s="34">
        <f t="shared" si="0"/>
        <v>4.281431899549672E-4</v>
      </c>
      <c r="I11" s="30">
        <f t="shared" si="1"/>
        <v>13</v>
      </c>
      <c r="J11" s="35">
        <f t="shared" si="15"/>
        <v>6.6877200000000006</v>
      </c>
      <c r="K11" s="36">
        <f t="shared" si="16"/>
        <v>41295.219540964325</v>
      </c>
      <c r="L11" s="36">
        <f t="shared" si="2"/>
        <v>149565.00328219574</v>
      </c>
      <c r="M11" s="37">
        <f t="shared" si="3"/>
        <v>900703030.30303037</v>
      </c>
      <c r="N11" s="38">
        <f t="shared" si="17"/>
        <v>1.5506695041866119E-3</v>
      </c>
      <c r="O11" s="36">
        <f t="shared" si="18"/>
        <v>49775.475316487653</v>
      </c>
      <c r="P11" s="36">
        <f t="shared" si="4"/>
        <v>0.16880433168167047</v>
      </c>
      <c r="Q11" s="30">
        <f t="shared" si="5"/>
        <v>-0.20546438634256467</v>
      </c>
      <c r="R11" s="30">
        <f t="shared" si="6"/>
        <v>0.10327361165969713</v>
      </c>
      <c r="S11" s="30">
        <f t="shared" si="7"/>
        <v>0.87871586980898431</v>
      </c>
      <c r="T11" s="37">
        <f t="shared" si="19"/>
        <v>2.5724934661061853E-120</v>
      </c>
      <c r="U11" s="36">
        <f t="shared" si="8"/>
        <v>276.12176576826471</v>
      </c>
      <c r="V11" s="36">
        <f t="shared" si="20"/>
        <v>1846.6250553637394</v>
      </c>
      <c r="W11" s="32">
        <f t="shared" si="9"/>
        <v>276.12176576826471</v>
      </c>
      <c r="X11" s="36">
        <f t="shared" si="10"/>
        <v>1846.6250553637394</v>
      </c>
      <c r="Y11" s="15">
        <f t="shared" si="22"/>
        <v>0.54</v>
      </c>
    </row>
    <row r="12" spans="1:25" x14ac:dyDescent="0.25">
      <c r="A12" s="4">
        <v>4</v>
      </c>
      <c r="B12" s="39">
        <f t="shared" si="21"/>
        <v>0.2</v>
      </c>
      <c r="C12" s="15">
        <f t="shared" si="23"/>
        <v>0.72</v>
      </c>
      <c r="D12" s="32">
        <f t="shared" si="11"/>
        <v>1.6286016316209486</v>
      </c>
      <c r="E12" s="33">
        <f t="shared" si="12"/>
        <v>4209.9741401705005</v>
      </c>
      <c r="F12" s="33">
        <f t="shared" si="13"/>
        <v>1.7088990329571093E-3</v>
      </c>
      <c r="G12" s="33">
        <f t="shared" si="14"/>
        <v>0.92484382596217274</v>
      </c>
      <c r="H12" s="34">
        <f t="shared" si="0"/>
        <v>4.2777404779366086E-4</v>
      </c>
      <c r="I12" s="30">
        <f t="shared" si="1"/>
        <v>13</v>
      </c>
      <c r="J12" s="35">
        <f t="shared" si="15"/>
        <v>6.6877200000000006</v>
      </c>
      <c r="K12" s="36">
        <f t="shared" si="16"/>
        <v>41280.399810784467</v>
      </c>
      <c r="L12" s="36">
        <f t="shared" si="2"/>
        <v>149640.34736883084</v>
      </c>
      <c r="M12" s="37">
        <f t="shared" si="3"/>
        <v>900703030.30303037</v>
      </c>
      <c r="N12" s="38">
        <f t="shared" si="17"/>
        <v>1.5506695041866119E-3</v>
      </c>
      <c r="O12" s="36">
        <f t="shared" si="18"/>
        <v>48413.585642929735</v>
      </c>
      <c r="P12" s="36">
        <f t="shared" si="4"/>
        <v>0.16880433168167047</v>
      </c>
      <c r="Q12" s="30">
        <f t="shared" si="5"/>
        <v>-0.20546438634256467</v>
      </c>
      <c r="R12" s="30">
        <f t="shared" si="6"/>
        <v>0.14525475461079351</v>
      </c>
      <c r="S12" s="30">
        <f t="shared" si="7"/>
        <v>0.89870656692170547</v>
      </c>
      <c r="T12" s="37">
        <f t="shared" si="19"/>
        <v>1.6372679376118835E-59</v>
      </c>
      <c r="U12" s="36">
        <f t="shared" si="8"/>
        <v>274.83827672766438</v>
      </c>
      <c r="V12" s="36">
        <f t="shared" si="20"/>
        <v>1838.0414400371358</v>
      </c>
      <c r="W12" s="32">
        <f t="shared" si="9"/>
        <v>274.83827672766438</v>
      </c>
      <c r="X12" s="36">
        <f t="shared" si="10"/>
        <v>1838.0414400371358</v>
      </c>
      <c r="Y12" s="15">
        <f t="shared" si="22"/>
        <v>0.72</v>
      </c>
    </row>
    <row r="13" spans="1:25" x14ac:dyDescent="0.25">
      <c r="A13" s="4">
        <v>5</v>
      </c>
      <c r="B13" s="39">
        <f t="shared" si="21"/>
        <v>0.25</v>
      </c>
      <c r="C13" s="15">
        <f t="shared" si="23"/>
        <v>0.89999999999999991</v>
      </c>
      <c r="D13" s="32">
        <f t="shared" si="11"/>
        <v>2.5446900494077318</v>
      </c>
      <c r="E13" s="33">
        <f t="shared" si="12"/>
        <v>4212.6995032134164</v>
      </c>
      <c r="F13" s="33">
        <f t="shared" si="13"/>
        <v>3.3860760257185267E-3</v>
      </c>
      <c r="G13" s="33">
        <f t="shared" si="14"/>
        <v>0.89585285950630078</v>
      </c>
      <c r="H13" s="34">
        <f t="shared" si="0"/>
        <v>4.2736269612400656E-4</v>
      </c>
      <c r="I13" s="30">
        <f t="shared" si="1"/>
        <v>13</v>
      </c>
      <c r="J13" s="35">
        <f t="shared" si="15"/>
        <v>6.6877200000000006</v>
      </c>
      <c r="K13" s="36">
        <f t="shared" si="16"/>
        <v>41267.401703582444</v>
      </c>
      <c r="L13" s="36">
        <f t="shared" si="2"/>
        <v>149737.21833736167</v>
      </c>
      <c r="M13" s="37">
        <f t="shared" si="3"/>
        <v>900703030.30303037</v>
      </c>
      <c r="N13" s="38">
        <f t="shared" si="17"/>
        <v>1.5506695041866119E-3</v>
      </c>
      <c r="O13" s="36">
        <f t="shared" si="18"/>
        <v>46895.970886814066</v>
      </c>
      <c r="P13" s="36">
        <f t="shared" si="4"/>
        <v>0.16880433168167047</v>
      </c>
      <c r="Q13" s="30">
        <f t="shared" si="5"/>
        <v>-0.20546438634256467</v>
      </c>
      <c r="R13" s="30">
        <f t="shared" si="6"/>
        <v>0.19211112706588815</v>
      </c>
      <c r="S13" s="30">
        <f t="shared" si="7"/>
        <v>0.9201267955476593</v>
      </c>
      <c r="T13" s="37">
        <f t="shared" si="19"/>
        <v>9.447163917592916E-33</v>
      </c>
      <c r="U13" s="36">
        <f t="shared" si="8"/>
        <v>273.42751861695194</v>
      </c>
      <c r="V13" s="36">
        <f t="shared" si="20"/>
        <v>1828.606684804962</v>
      </c>
      <c r="W13" s="32">
        <f t="shared" si="9"/>
        <v>273.42751861695194</v>
      </c>
      <c r="X13" s="36">
        <f t="shared" si="10"/>
        <v>1828.606684804962</v>
      </c>
      <c r="Y13" s="15">
        <f t="shared" si="22"/>
        <v>0.89999999999999991</v>
      </c>
    </row>
    <row r="14" spans="1:25" x14ac:dyDescent="0.25">
      <c r="A14" s="4">
        <v>6</v>
      </c>
      <c r="B14" s="39">
        <f t="shared" si="21"/>
        <v>0.3</v>
      </c>
      <c r="C14" s="15">
        <f t="shared" si="23"/>
        <v>1.0799999999999998</v>
      </c>
      <c r="D14" s="32">
        <f t="shared" si="11"/>
        <v>3.6643536711471336</v>
      </c>
      <c r="E14" s="33">
        <f>Lbp*(2*T+B)*(C_x^0.5)*(0.453+0.4425*cb-0.2862*C_x-0.003467*(B/T)+0.3696*cwp)+2.38*(D14/cb)</f>
        <v>4216.0305024880909</v>
      </c>
      <c r="F14" s="33">
        <f t="shared" si="13"/>
        <v>5.9372040111126123E-3</v>
      </c>
      <c r="G14" s="33">
        <f t="shared" si="14"/>
        <v>0.86447693810480752</v>
      </c>
      <c r="H14" s="34">
        <f t="shared" si="0"/>
        <v>4.2691750442351285E-4</v>
      </c>
      <c r="I14" s="30">
        <f t="shared" si="1"/>
        <v>13</v>
      </c>
      <c r="J14" s="35">
        <f t="shared" si="15"/>
        <v>6.6877200000000006</v>
      </c>
      <c r="K14" s="36">
        <f t="shared" si="16"/>
        <v>41257.008997733727</v>
      </c>
      <c r="L14" s="36">
        <f t="shared" si="2"/>
        <v>149855.61618778823</v>
      </c>
      <c r="M14" s="37">
        <f t="shared" si="3"/>
        <v>900703030.30303037</v>
      </c>
      <c r="N14" s="38">
        <f t="shared" si="17"/>
        <v>1.5506695041866119E-3</v>
      </c>
      <c r="O14" s="36">
        <f t="shared" si="18"/>
        <v>45253.508867546443</v>
      </c>
      <c r="P14" s="36">
        <f t="shared" si="4"/>
        <v>0.16880433168167047</v>
      </c>
      <c r="Q14" s="30">
        <f t="shared" si="5"/>
        <v>-0.20546438634256467</v>
      </c>
      <c r="R14" s="30">
        <f t="shared" si="6"/>
        <v>0.24474431256339174</v>
      </c>
      <c r="S14" s="30">
        <f t="shared" si="7"/>
        <v>0.94315547926413401</v>
      </c>
      <c r="T14" s="37">
        <f t="shared" si="19"/>
        <v>6.1110911205735802E-19</v>
      </c>
      <c r="U14" s="36">
        <f t="shared" si="8"/>
        <v>271.92115303390875</v>
      </c>
      <c r="V14" s="36">
        <f t="shared" si="20"/>
        <v>1818.5325335679324</v>
      </c>
      <c r="W14" s="32">
        <f t="shared" si="9"/>
        <v>271.92115303390875</v>
      </c>
      <c r="X14" s="36">
        <f t="shared" si="10"/>
        <v>1818.5325335679324</v>
      </c>
      <c r="Y14" s="15">
        <f t="shared" si="22"/>
        <v>1.0799999999999998</v>
      </c>
    </row>
    <row r="15" spans="1:25" x14ac:dyDescent="0.25">
      <c r="A15" s="4">
        <v>7</v>
      </c>
      <c r="B15" s="39">
        <f t="shared" si="21"/>
        <v>0.35</v>
      </c>
      <c r="C15" s="15">
        <f t="shared" si="23"/>
        <v>1.2599999999999998</v>
      </c>
      <c r="D15" s="32">
        <f t="shared" si="11"/>
        <v>4.9875924968391541</v>
      </c>
      <c r="E15" s="33">
        <f t="shared" si="12"/>
        <v>4219.9671379945248</v>
      </c>
      <c r="F15" s="33">
        <f t="shared" si="13"/>
        <v>9.5688080463055027E-3</v>
      </c>
      <c r="G15" s="33">
        <f t="shared" si="14"/>
        <v>0.83120374175591405</v>
      </c>
      <c r="H15" s="34">
        <f t="shared" si="0"/>
        <v>4.2644539236427238E-4</v>
      </c>
      <c r="I15" s="30">
        <f t="shared" si="1"/>
        <v>13</v>
      </c>
      <c r="J15" s="35">
        <f t="shared" si="15"/>
        <v>6.6877200000000006</v>
      </c>
      <c r="K15" s="36">
        <f t="shared" si="16"/>
        <v>41249.864737695978</v>
      </c>
      <c r="L15" s="36">
        <f t="shared" si="2"/>
        <v>149995.54092011056</v>
      </c>
      <c r="M15" s="37">
        <f t="shared" si="3"/>
        <v>900703030.30303037</v>
      </c>
      <c r="N15" s="38">
        <f t="shared" si="17"/>
        <v>1.5506695041866119E-3</v>
      </c>
      <c r="O15" s="36">
        <f t="shared" si="18"/>
        <v>43511.728584399425</v>
      </c>
      <c r="P15" s="36">
        <f t="shared" si="4"/>
        <v>0.16880433168167047</v>
      </c>
      <c r="Q15" s="30">
        <f t="shared" si="5"/>
        <v>-0.20546438634256467</v>
      </c>
      <c r="R15" s="30">
        <f t="shared" si="6"/>
        <v>0.30429280710436296</v>
      </c>
      <c r="S15" s="30">
        <f t="shared" si="7"/>
        <v>0.96800455014058573</v>
      </c>
      <c r="T15" s="37">
        <f t="shared" si="19"/>
        <v>4.900122929176872E-11</v>
      </c>
      <c r="U15" s="36">
        <f t="shared" si="8"/>
        <v>270.34535202226499</v>
      </c>
      <c r="V15" s="36">
        <f t="shared" si="20"/>
        <v>1807.9940176263422</v>
      </c>
      <c r="W15" s="32">
        <f t="shared" si="9"/>
        <v>270.34535202226505</v>
      </c>
      <c r="X15" s="36">
        <f t="shared" si="10"/>
        <v>1807.9940176263426</v>
      </c>
      <c r="Y15" s="15">
        <f t="shared" si="22"/>
        <v>1.2599999999999998</v>
      </c>
    </row>
    <row r="16" spans="1:25" x14ac:dyDescent="0.25">
      <c r="A16" s="4">
        <v>8</v>
      </c>
      <c r="B16" s="39">
        <f t="shared" si="21"/>
        <v>0.39999999999999997</v>
      </c>
      <c r="C16" s="15">
        <f t="shared" si="23"/>
        <v>1.4399999999999997</v>
      </c>
      <c r="D16" s="32">
        <f t="shared" si="11"/>
        <v>6.5144065264837918</v>
      </c>
      <c r="E16" s="33">
        <f t="shared" si="12"/>
        <v>4224.5094097327174</v>
      </c>
      <c r="F16" s="33">
        <f t="shared" si="13"/>
        <v>1.449993262697382E-2</v>
      </c>
      <c r="G16" s="33">
        <f t="shared" si="14"/>
        <v>0.79645423508062885</v>
      </c>
      <c r="H16" s="34">
        <f t="shared" si="0"/>
        <v>4.2595233299654489E-4</v>
      </c>
      <c r="I16" s="30">
        <f t="shared" si="1"/>
        <v>13</v>
      </c>
      <c r="J16" s="35">
        <f t="shared" si="15"/>
        <v>6.6877200000000006</v>
      </c>
      <c r="K16" s="36">
        <f t="shared" si="16"/>
        <v>41246.520366241079</v>
      </c>
      <c r="L16" s="36">
        <f t="shared" si="2"/>
        <v>150156.9925343286</v>
      </c>
      <c r="M16" s="37">
        <f t="shared" si="3"/>
        <v>900703030.30303037</v>
      </c>
      <c r="N16" s="38">
        <f t="shared" si="17"/>
        <v>1.5506695041866119E-3</v>
      </c>
      <c r="O16" s="36">
        <f t="shared" si="18"/>
        <v>41692.666630103267</v>
      </c>
      <c r="P16" s="36">
        <f t="shared" si="4"/>
        <v>0.16880433168167047</v>
      </c>
      <c r="Q16" s="30">
        <f t="shared" si="5"/>
        <v>-0.20546438634256467</v>
      </c>
      <c r="R16" s="30">
        <f t="shared" si="6"/>
        <v>0.37221530869015829</v>
      </c>
      <c r="S16" s="30">
        <f t="shared" si="7"/>
        <v>0.9949272148447087</v>
      </c>
      <c r="T16" s="37">
        <f t="shared" si="19"/>
        <v>3.5896141657093858E-6</v>
      </c>
      <c r="U16" s="36">
        <f t="shared" si="8"/>
        <v>268.72270361752271</v>
      </c>
      <c r="V16" s="36">
        <f t="shared" si="20"/>
        <v>1797.1421994369791</v>
      </c>
      <c r="W16" s="32">
        <f t="shared" si="9"/>
        <v>268.72270362111232</v>
      </c>
      <c r="X16" s="36">
        <f t="shared" si="10"/>
        <v>1797.1421994609855</v>
      </c>
      <c r="Y16" s="15">
        <f t="shared" si="22"/>
        <v>1.4399999999999997</v>
      </c>
    </row>
    <row r="17" spans="1:27" x14ac:dyDescent="0.25">
      <c r="A17" s="4">
        <v>9</v>
      </c>
      <c r="B17" s="39">
        <f t="shared" si="21"/>
        <v>0.44999999999999996</v>
      </c>
      <c r="C17" s="15">
        <f t="shared" si="23"/>
        <v>1.6199999999999997</v>
      </c>
      <c r="D17" s="32">
        <f t="shared" si="11"/>
        <v>8.2447957600810486</v>
      </c>
      <c r="E17" s="33">
        <f t="shared" si="12"/>
        <v>4229.6573177026694</v>
      </c>
      <c r="F17" s="33">
        <f t="shared" si="13"/>
        <v>2.0963104937313268E-2</v>
      </c>
      <c r="G17" s="33">
        <f t="shared" si="14"/>
        <v>0.76060103888046204</v>
      </c>
      <c r="H17" s="34">
        <f t="shared" si="0"/>
        <v>4.254436134220585E-4</v>
      </c>
      <c r="I17" s="30">
        <f t="shared" si="1"/>
        <v>13</v>
      </c>
      <c r="J17" s="35">
        <f t="shared" si="15"/>
        <v>6.6877200000000006</v>
      </c>
      <c r="K17" s="36">
        <f t="shared" si="16"/>
        <v>41247.461399267799</v>
      </c>
      <c r="L17" s="36">
        <f t="shared" si="2"/>
        <v>150339.97103044239</v>
      </c>
      <c r="M17" s="37">
        <f t="shared" si="3"/>
        <v>900703030.30303037</v>
      </c>
      <c r="N17" s="38">
        <f t="shared" si="17"/>
        <v>1.5506695041866119E-3</v>
      </c>
      <c r="O17" s="36">
        <f t="shared" si="18"/>
        <v>39815.828902388865</v>
      </c>
      <c r="P17" s="36">
        <f t="shared" si="4"/>
        <v>0.16880433168167047</v>
      </c>
      <c r="Q17" s="30">
        <f t="shared" si="5"/>
        <v>-0.20546438634256467</v>
      </c>
      <c r="R17" s="30">
        <f t="shared" si="6"/>
        <v>0.4504118021124604</v>
      </c>
      <c r="S17" s="30">
        <f t="shared" si="7"/>
        <v>1.024228900261146</v>
      </c>
      <c r="T17" s="37">
        <f t="shared" si="19"/>
        <v>5.1935253209355013E-3</v>
      </c>
      <c r="U17" s="36">
        <f t="shared" si="8"/>
        <v>267.07319923331175</v>
      </c>
      <c r="V17" s="36">
        <f t="shared" si="20"/>
        <v>1786.1107759766039</v>
      </c>
      <c r="W17" s="32">
        <f t="shared" si="9"/>
        <v>267.07320442683709</v>
      </c>
      <c r="X17" s="36">
        <f t="shared" si="10"/>
        <v>1786.1108107094472</v>
      </c>
      <c r="Y17" s="15">
        <f t="shared" si="22"/>
        <v>1.6199999999999997</v>
      </c>
    </row>
    <row r="18" spans="1:27" x14ac:dyDescent="0.25">
      <c r="A18" s="4">
        <v>10</v>
      </c>
      <c r="B18" s="39">
        <f t="shared" si="21"/>
        <v>0.49999999999999994</v>
      </c>
      <c r="C18" s="15">
        <f t="shared" si="23"/>
        <v>1.7999999999999996</v>
      </c>
      <c r="D18" s="32">
        <f t="shared" si="11"/>
        <v>10.178760197630925</v>
      </c>
      <c r="E18" s="33">
        <f t="shared" si="12"/>
        <v>4235.41086190438</v>
      </c>
      <c r="F18" s="33">
        <f t="shared" si="13"/>
        <v>2.920538842533291E-2</v>
      </c>
      <c r="G18" s="33">
        <f t="shared" si="14"/>
        <v>0.72397882139803238</v>
      </c>
      <c r="H18" s="34">
        <f t="shared" si="0"/>
        <v>4.2492398223519309E-4</v>
      </c>
      <c r="I18" s="30">
        <f t="shared" si="1"/>
        <v>13</v>
      </c>
      <c r="J18" s="35">
        <f t="shared" si="15"/>
        <v>6.6877200000000006</v>
      </c>
      <c r="K18" s="36">
        <f t="shared" si="16"/>
        <v>41253.122116789338</v>
      </c>
      <c r="L18" s="36">
        <f t="shared" si="2"/>
        <v>150544.47640845194</v>
      </c>
      <c r="M18" s="37">
        <f t="shared" si="3"/>
        <v>900703030.30303037</v>
      </c>
      <c r="N18" s="38">
        <f t="shared" si="17"/>
        <v>1.5506695041866119E-3</v>
      </c>
      <c r="O18" s="36">
        <f t="shared" si="18"/>
        <v>37898.734564136641</v>
      </c>
      <c r="P18" s="36">
        <f t="shared" si="4"/>
        <v>0.16880433168167047</v>
      </c>
      <c r="Q18" s="30">
        <f t="shared" si="5"/>
        <v>-0.20546438634256467</v>
      </c>
      <c r="R18" s="30">
        <f t="shared" si="6"/>
        <v>0.54140408536750295</v>
      </c>
      <c r="S18" s="30">
        <f t="shared" si="7"/>
        <v>1.0562819695940915</v>
      </c>
      <c r="T18" s="37">
        <f t="shared" si="19"/>
        <v>0.71829302323692978</v>
      </c>
      <c r="U18" s="36">
        <f t="shared" si="8"/>
        <v>265.41479231252561</v>
      </c>
      <c r="V18" s="36">
        <f t="shared" si="20"/>
        <v>1775.0198148443239</v>
      </c>
      <c r="W18" s="32">
        <f t="shared" si="9"/>
        <v>265.41551060554883</v>
      </c>
      <c r="X18" s="36">
        <f t="shared" si="10"/>
        <v>1775.0246185869412</v>
      </c>
      <c r="Y18" s="15">
        <f t="shared" si="22"/>
        <v>1.7999999999999996</v>
      </c>
    </row>
    <row r="19" spans="1:27" x14ac:dyDescent="0.25">
      <c r="A19" s="4">
        <v>11</v>
      </c>
      <c r="B19" s="39">
        <f t="shared" si="21"/>
        <v>0.54999999999999993</v>
      </c>
      <c r="C19" s="15">
        <f t="shared" si="23"/>
        <v>1.9799999999999995</v>
      </c>
      <c r="D19" s="32">
        <f t="shared" si="11"/>
        <v>12.31629983913342</v>
      </c>
      <c r="E19" s="33">
        <f t="shared" si="12"/>
        <v>4241.7700423378501</v>
      </c>
      <c r="F19" s="33">
        <f>0.56*D19^1.5/(B*T*(0.31*(D19^0.5)+T_f-C19))</f>
        <v>3.9489536741903794E-2</v>
      </c>
      <c r="G19" s="33">
        <f t="shared" si="14"/>
        <v>0.68689054913915482</v>
      </c>
      <c r="H19" s="34">
        <f t="shared" si="0"/>
        <v>4.2439773821564635E-4</v>
      </c>
      <c r="I19" s="30">
        <f t="shared" si="1"/>
        <v>13</v>
      </c>
      <c r="J19" s="35">
        <f t="shared" si="15"/>
        <v>6.6877200000000006</v>
      </c>
      <c r="K19" s="36">
        <f t="shared" si="16"/>
        <v>41263.894527955439</v>
      </c>
      <c r="L19" s="36">
        <f t="shared" si="2"/>
        <v>150770.50866835722</v>
      </c>
      <c r="M19" s="37">
        <f t="shared" si="3"/>
        <v>900703030.30303037</v>
      </c>
      <c r="N19" s="38">
        <f t="shared" si="17"/>
        <v>1.5506695041866119E-3</v>
      </c>
      <c r="O19" s="36">
        <f t="shared" si="18"/>
        <v>35957.243260472031</v>
      </c>
      <c r="P19" s="36">
        <f t="shared" si="4"/>
        <v>0.16880433168167047</v>
      </c>
      <c r="Q19" s="30">
        <f t="shared" si="5"/>
        <v>-0.20546438634256467</v>
      </c>
      <c r="R19" s="30">
        <f t="shared" si="6"/>
        <v>0.64861281514324598</v>
      </c>
      <c r="S19" s="30">
        <f t="shared" si="7"/>
        <v>1.0915458468046602</v>
      </c>
      <c r="T19" s="37">
        <f t="shared" si="19"/>
        <v>22.695700584032505</v>
      </c>
      <c r="U19" s="36">
        <f t="shared" si="8"/>
        <v>263.76373450943942</v>
      </c>
      <c r="V19" s="36">
        <f t="shared" si="20"/>
        <v>1763.9780025534683</v>
      </c>
      <c r="W19" s="32">
        <f t="shared" si="9"/>
        <v>263.78643021002347</v>
      </c>
      <c r="X19" s="36">
        <f t="shared" si="10"/>
        <v>1764.1297850441783</v>
      </c>
      <c r="Y19" s="15">
        <f t="shared" si="22"/>
        <v>1.9799999999999995</v>
      </c>
    </row>
    <row r="20" spans="1:27" x14ac:dyDescent="0.25">
      <c r="A20" s="4">
        <v>12</v>
      </c>
      <c r="B20" s="39">
        <f t="shared" si="21"/>
        <v>0.6</v>
      </c>
      <c r="C20" s="15">
        <f t="shared" si="23"/>
        <v>2.1599999999999997</v>
      </c>
      <c r="D20" s="32">
        <f t="shared" si="11"/>
        <v>14.657414684588534</v>
      </c>
      <c r="E20" s="33">
        <f t="shared" si="12"/>
        <v>4248.7348590030788</v>
      </c>
      <c r="F20" s="33">
        <f>0.56*D20^1.5/(B*T*(0.31*(D20^0.5)+T_f-C20))</f>
        <v>5.2095259377620835E-2</v>
      </c>
      <c r="G20" s="33">
        <f t="shared" si="14"/>
        <v>0.64961143031280111</v>
      </c>
      <c r="H20" s="34">
        <f t="shared" si="0"/>
        <v>4.2386878628174646E-4</v>
      </c>
      <c r="I20" s="30">
        <f t="shared" si="1"/>
        <v>13</v>
      </c>
      <c r="J20" s="35">
        <f t="shared" si="15"/>
        <v>6.6877200000000006</v>
      </c>
      <c r="K20" s="36">
        <f t="shared" si="16"/>
        <v>41280.134120444331</v>
      </c>
      <c r="L20" s="36">
        <f t="shared" si="2"/>
        <v>151018.06781015822</v>
      </c>
      <c r="M20" s="37">
        <f t="shared" si="3"/>
        <v>900703030.30303037</v>
      </c>
      <c r="N20" s="38">
        <f t="shared" si="17"/>
        <v>1.5506695041866119E-3</v>
      </c>
      <c r="O20" s="36">
        <f t="shared" si="18"/>
        <v>34005.761549368035</v>
      </c>
      <c r="P20" s="36">
        <f t="shared" si="4"/>
        <v>0.16880433168167047</v>
      </c>
      <c r="Q20" s="30">
        <f t="shared" si="5"/>
        <v>-0.20546438634256467</v>
      </c>
      <c r="R20" s="30">
        <f t="shared" si="6"/>
        <v>0.77679716596206938</v>
      </c>
      <c r="S20" s="30">
        <f t="shared" si="7"/>
        <v>1.1305950671270579</v>
      </c>
      <c r="T20" s="37">
        <f t="shared" si="19"/>
        <v>272.90104176711202</v>
      </c>
      <c r="U20" s="36">
        <f t="shared" si="8"/>
        <v>262.13478786970455</v>
      </c>
      <c r="V20" s="36">
        <f t="shared" si="20"/>
        <v>1753.0840635319807</v>
      </c>
      <c r="W20" s="32">
        <f>U20+T20/1000</f>
        <v>262.40768891147167</v>
      </c>
      <c r="X20" s="36">
        <f t="shared" si="10"/>
        <v>1754.9091492870275</v>
      </c>
      <c r="Y20" s="15">
        <f t="shared" si="22"/>
        <v>2.1599999999999997</v>
      </c>
    </row>
    <row r="21" spans="1:27" x14ac:dyDescent="0.25">
      <c r="A21" s="4">
        <v>13</v>
      </c>
      <c r="B21" s="39">
        <f t="shared" si="21"/>
        <v>0.65</v>
      </c>
      <c r="C21" s="15">
        <f t="shared" si="23"/>
        <v>2.34</v>
      </c>
      <c r="D21" s="32">
        <f t="shared" si="11"/>
        <v>17.202104733996268</v>
      </c>
      <c r="E21" s="33">
        <f t="shared" si="12"/>
        <v>4256.305311900067</v>
      </c>
      <c r="F21" s="33">
        <f>0.56*D21^1.5/(B*T*(0.31*(D21^0.5)+T_f-C21))</f>
        <v>6.732061181832831E-2</v>
      </c>
      <c r="G21" s="33">
        <f t="shared" si="14"/>
        <v>0.61239150924241315</v>
      </c>
      <c r="H21" s="34">
        <f t="shared" si="0"/>
        <v>4.2334067430245081E-4</v>
      </c>
      <c r="I21" s="30">
        <f t="shared" si="1"/>
        <v>13</v>
      </c>
      <c r="J21" s="35">
        <f t="shared" si="15"/>
        <v>6.6877200000000006</v>
      </c>
      <c r="K21" s="36">
        <f t="shared" si="16"/>
        <v>41302.163706970859</v>
      </c>
      <c r="L21" s="36">
        <f t="shared" si="2"/>
        <v>151287.15383385497</v>
      </c>
      <c r="M21" s="37">
        <f t="shared" si="3"/>
        <v>900703030.30303037</v>
      </c>
      <c r="N21" s="38">
        <f t="shared" si="17"/>
        <v>1.5506695041866119E-3</v>
      </c>
      <c r="O21" s="36">
        <f>coef_1*G21*coef_5*Vol_desl*rho*grav*EXP(coef_m1*(P21^coef_d)+Q21*COS(lambda*(P21^-2)))</f>
        <v>32057.378713498823</v>
      </c>
      <c r="P21" s="36">
        <f t="shared" si="4"/>
        <v>0.16880433168167047</v>
      </c>
      <c r="Q21" s="30">
        <f t="shared" si="5"/>
        <v>-0.20546438634256467</v>
      </c>
      <c r="R21" s="30">
        <f t="shared" si="6"/>
        <v>0.93278053262111971</v>
      </c>
      <c r="S21" s="30">
        <f t="shared" si="7"/>
        <v>1.1741592285030693</v>
      </c>
      <c r="T21" s="40">
        <f t="shared" si="19"/>
        <v>1708.3548919038474</v>
      </c>
      <c r="U21" s="36">
        <f t="shared" si="8"/>
        <v>260.54136448870992</v>
      </c>
      <c r="V21" s="36">
        <f t="shared" si="20"/>
        <v>1742.4276941184353</v>
      </c>
      <c r="W21" s="32">
        <f t="shared" si="9"/>
        <v>262.24971938061378</v>
      </c>
      <c r="X21" s="36">
        <f t="shared" si="10"/>
        <v>1753.8526932961186</v>
      </c>
      <c r="Y21" s="15">
        <f t="shared" si="22"/>
        <v>2.34</v>
      </c>
    </row>
    <row r="22" spans="1:27" x14ac:dyDescent="0.25">
      <c r="A22" s="4">
        <v>14</v>
      </c>
      <c r="B22" s="39">
        <f t="shared" si="21"/>
        <v>0.70000000000000007</v>
      </c>
      <c r="C22" s="15">
        <f t="shared" si="23"/>
        <v>2.52</v>
      </c>
      <c r="D22" s="32">
        <f t="shared" si="11"/>
        <v>19.950369987356623</v>
      </c>
      <c r="E22" s="33">
        <f t="shared" si="12"/>
        <v>4264.4814010288146</v>
      </c>
      <c r="F22" s="33">
        <f t="shared" ref="F22:F28" si="24">0.56*D22^1.5/(B*T*(0.31*(D22^0.5)+T_f-C22))</f>
        <v>8.5483524750019302E-2</v>
      </c>
      <c r="G22" s="33">
        <f t="shared" si="14"/>
        <v>0.57545744868403448</v>
      </c>
      <c r="H22" s="34">
        <f t="shared" si="0"/>
        <v>4.2281661838658723E-4</v>
      </c>
      <c r="I22" s="30">
        <f t="shared" si="1"/>
        <v>13</v>
      </c>
      <c r="J22" s="35">
        <f t="shared" si="15"/>
        <v>6.6877200000000006</v>
      </c>
      <c r="K22" s="36">
        <f t="shared" si="16"/>
        <v>41330.276104824588</v>
      </c>
      <c r="L22" s="36">
        <f t="shared" si="2"/>
        <v>151577.76673944751</v>
      </c>
      <c r="M22" s="37">
        <f t="shared" si="3"/>
        <v>900703030.30303037</v>
      </c>
      <c r="N22" s="38">
        <f t="shared" si="17"/>
        <v>1.5506695041866119E-3</v>
      </c>
      <c r="O22" s="36">
        <f t="shared" si="18"/>
        <v>30123.960060761488</v>
      </c>
      <c r="P22" s="36">
        <f t="shared" si="4"/>
        <v>0.16880433168167047</v>
      </c>
      <c r="Q22" s="30">
        <f t="shared" si="5"/>
        <v>-0.20546438634256467</v>
      </c>
      <c r="R22" s="30">
        <f t="shared" si="6"/>
        <v>1.1267057992783174</v>
      </c>
      <c r="S22" s="30">
        <f t="shared" si="7"/>
        <v>1.2231813117795485</v>
      </c>
      <c r="T22" s="37">
        <f t="shared" si="19"/>
        <v>6801.204773047235</v>
      </c>
      <c r="U22" s="36">
        <f t="shared" si="8"/>
        <v>258.99562249164222</v>
      </c>
      <c r="V22" s="36">
        <f t="shared" si="20"/>
        <v>1732.0902044498057</v>
      </c>
      <c r="W22" s="32">
        <f t="shared" si="9"/>
        <v>265.79682726468945</v>
      </c>
      <c r="X22" s="36">
        <f t="shared" si="10"/>
        <v>1777.5747576346091</v>
      </c>
      <c r="Y22" s="15">
        <f t="shared" si="22"/>
        <v>2.52</v>
      </c>
    </row>
    <row r="23" spans="1:27" x14ac:dyDescent="0.25">
      <c r="A23" s="4">
        <v>15</v>
      </c>
      <c r="B23" s="39">
        <f t="shared" si="21"/>
        <v>0.75000000000000011</v>
      </c>
      <c r="C23" s="15">
        <f t="shared" si="23"/>
        <v>2.7</v>
      </c>
      <c r="D23" s="32">
        <f t="shared" si="11"/>
        <v>22.902210444669596</v>
      </c>
      <c r="E23" s="33">
        <f t="shared" si="12"/>
        <v>4273.26312638932</v>
      </c>
      <c r="F23" s="33">
        <f t="shared" si="24"/>
        <v>0.10692348881457596</v>
      </c>
      <c r="G23" s="33">
        <f t="shared" si="14"/>
        <v>0.53901381749526556</v>
      </c>
      <c r="H23" s="34">
        <f t="shared" si="0"/>
        <v>4.2229952115353765E-4</v>
      </c>
      <c r="I23" s="30">
        <f t="shared" si="1"/>
        <v>13</v>
      </c>
      <c r="J23" s="35">
        <f t="shared" si="15"/>
        <v>6.6877200000000006</v>
      </c>
      <c r="K23" s="36">
        <f t="shared" si="16"/>
        <v>41364.736084125252</v>
      </c>
      <c r="L23" s="36">
        <f t="shared" si="2"/>
        <v>151889.90652693572</v>
      </c>
      <c r="M23" s="37">
        <f t="shared" si="3"/>
        <v>900703030.30303037</v>
      </c>
      <c r="N23" s="38">
        <f t="shared" si="17"/>
        <v>1.5506695041866119E-3</v>
      </c>
      <c r="O23" s="36">
        <f t="shared" si="18"/>
        <v>28216.214330977091</v>
      </c>
      <c r="P23" s="36">
        <f t="shared" si="4"/>
        <v>0.16880433168167047</v>
      </c>
      <c r="Q23" s="30">
        <f t="shared" si="5"/>
        <v>-0.20546438634256467</v>
      </c>
      <c r="R23" s="30">
        <f t="shared" si="6"/>
        <v>1.3743334474713547</v>
      </c>
      <c r="S23" s="30">
        <f t="shared" si="7"/>
        <v>1.2789052649771917</v>
      </c>
      <c r="T23" s="37">
        <f t="shared" si="19"/>
        <v>19653.524878512762</v>
      </c>
      <c r="U23" s="36">
        <f t="shared" si="8"/>
        <v>257.50853538844223</v>
      </c>
      <c r="V23" s="36">
        <f t="shared" si="20"/>
        <v>1722.1449822879929</v>
      </c>
      <c r="W23" s="32">
        <f t="shared" si="9"/>
        <v>277.162060266955</v>
      </c>
      <c r="X23" s="36">
        <f t="shared" si="10"/>
        <v>1853.5822536885205</v>
      </c>
      <c r="Y23" s="15">
        <f t="shared" si="22"/>
        <v>2.7</v>
      </c>
    </row>
    <row r="24" spans="1:27" x14ac:dyDescent="0.25">
      <c r="A24" s="4">
        <v>16</v>
      </c>
      <c r="B24" s="39">
        <f t="shared" si="21"/>
        <v>0.80000000000000016</v>
      </c>
      <c r="C24" s="15">
        <f t="shared" si="23"/>
        <v>2.8800000000000003</v>
      </c>
      <c r="D24" s="32">
        <f t="shared" si="11"/>
        <v>26.057626105935185</v>
      </c>
      <c r="E24" s="33">
        <f t="shared" si="12"/>
        <v>4282.6504879815857</v>
      </c>
      <c r="F24" s="33">
        <f t="shared" si="24"/>
        <v>0.13200341369445137</v>
      </c>
      <c r="G24" s="33">
        <f t="shared" si="14"/>
        <v>0.50324407934852611</v>
      </c>
      <c r="H24" s="34">
        <f t="shared" si="0"/>
        <v>4.2179198576205095E-4</v>
      </c>
      <c r="I24" s="30">
        <f t="shared" si="1"/>
        <v>13</v>
      </c>
      <c r="J24" s="35">
        <f t="shared" si="15"/>
        <v>6.6877200000000006</v>
      </c>
      <c r="K24" s="36">
        <f t="shared" si="16"/>
        <v>41405.781854173743</v>
      </c>
      <c r="L24" s="36">
        <f t="shared" si="2"/>
        <v>152223.57319631972</v>
      </c>
      <c r="M24" s="37">
        <f t="shared" si="3"/>
        <v>900703030.30303037</v>
      </c>
      <c r="N24" s="38">
        <f t="shared" si="17"/>
        <v>1.5506695041866119E-3</v>
      </c>
      <c r="O24" s="36">
        <f t="shared" si="18"/>
        <v>26343.745452903859</v>
      </c>
      <c r="P24" s="36">
        <f t="shared" si="4"/>
        <v>0.16880433168167047</v>
      </c>
      <c r="Q24" s="30">
        <f t="shared" si="5"/>
        <v>-0.20546438634256467</v>
      </c>
      <c r="R24" s="30">
        <f t="shared" si="6"/>
        <v>1.701555696869296</v>
      </c>
      <c r="S24" s="30">
        <f t="shared" si="7"/>
        <v>1.3430119557979729</v>
      </c>
      <c r="T24" s="37">
        <f t="shared" si="19"/>
        <v>45102.239988578971</v>
      </c>
      <c r="U24" s="36">
        <f t="shared" si="8"/>
        <v>256.08994531716905</v>
      </c>
      <c r="V24" s="36">
        <f t="shared" si="20"/>
        <v>1712.657849096538</v>
      </c>
      <c r="W24" s="32">
        <f t="shared" si="9"/>
        <v>301.19218530574801</v>
      </c>
      <c r="X24" s="36">
        <f t="shared" si="10"/>
        <v>2014.2890015129572</v>
      </c>
      <c r="Y24" s="15">
        <f t="shared" si="22"/>
        <v>2.8800000000000003</v>
      </c>
    </row>
    <row r="25" spans="1:27" x14ac:dyDescent="0.25">
      <c r="A25" s="4">
        <v>17</v>
      </c>
      <c r="B25" s="39">
        <f t="shared" si="21"/>
        <v>0.8500000000000002</v>
      </c>
      <c r="C25" s="15">
        <f t="shared" si="23"/>
        <v>3.0600000000000005</v>
      </c>
      <c r="D25" s="32">
        <f t="shared" si="11"/>
        <v>29.416616971153399</v>
      </c>
      <c r="E25" s="33">
        <f t="shared" si="12"/>
        <v>4292.64348580561</v>
      </c>
      <c r="F25" s="33">
        <f t="shared" si="24"/>
        <v>0.16111168294059544</v>
      </c>
      <c r="G25" s="33">
        <f t="shared" si="14"/>
        <v>0.4683114070133953</v>
      </c>
      <c r="H25" s="34">
        <f t="shared" si="0"/>
        <v>4.2129632746406307E-4</v>
      </c>
      <c r="I25" s="30">
        <f t="shared" si="1"/>
        <v>13</v>
      </c>
      <c r="J25" s="35">
        <f t="shared" si="15"/>
        <v>6.6877200000000006</v>
      </c>
      <c r="K25" s="36">
        <f t="shared" si="16"/>
        <v>41453.626260276164</v>
      </c>
      <c r="L25" s="36">
        <f t="shared" si="2"/>
        <v>152578.76674759944</v>
      </c>
      <c r="M25" s="37">
        <f t="shared" si="3"/>
        <v>900703030.30303037</v>
      </c>
      <c r="N25" s="38">
        <f t="shared" si="17"/>
        <v>1.5506695041866119E-3</v>
      </c>
      <c r="O25" s="36">
        <f t="shared" si="18"/>
        <v>24515.0951701669</v>
      </c>
      <c r="P25" s="36">
        <f t="shared" si="4"/>
        <v>0.16880433168167047</v>
      </c>
      <c r="Q25" s="30">
        <f t="shared" si="5"/>
        <v>-0.20546438634256467</v>
      </c>
      <c r="R25" s="30">
        <f t="shared" si="6"/>
        <v>2.1540971056111307</v>
      </c>
      <c r="S25" s="30">
        <f t="shared" si="7"/>
        <v>1.4178386015722548</v>
      </c>
      <c r="T25" s="37">
        <f t="shared" si="19"/>
        <v>87531.506171789108</v>
      </c>
      <c r="U25" s="36">
        <f t="shared" si="8"/>
        <v>254.74860686675396</v>
      </c>
      <c r="V25" s="36">
        <f t="shared" si="20"/>
        <v>1703.6873531149279</v>
      </c>
      <c r="W25" s="32">
        <f t="shared" si="9"/>
        <v>342.28011303854305</v>
      </c>
      <c r="X25" s="36">
        <f t="shared" si="10"/>
        <v>2289.0735575701251</v>
      </c>
      <c r="Y25" s="15">
        <f t="shared" si="22"/>
        <v>3.0600000000000005</v>
      </c>
    </row>
    <row r="26" spans="1:27" x14ac:dyDescent="0.25">
      <c r="A26" s="4">
        <v>18</v>
      </c>
      <c r="B26" s="39">
        <f t="shared" si="21"/>
        <v>0.90000000000000024</v>
      </c>
      <c r="C26" s="15">
        <f t="shared" si="23"/>
        <v>3.2400000000000007</v>
      </c>
      <c r="D26" s="32">
        <f t="shared" si="11"/>
        <v>32.979183040324223</v>
      </c>
      <c r="E26" s="33">
        <f t="shared" si="12"/>
        <v>4303.2421198613929</v>
      </c>
      <c r="F26" s="33">
        <f t="shared" si="24"/>
        <v>0.19466442901790476</v>
      </c>
      <c r="G26" s="33">
        <f t="shared" si="14"/>
        <v>0.43435940322879041</v>
      </c>
      <c r="H26" s="34">
        <f t="shared" si="0"/>
        <v>4.2081458383312327E-4</v>
      </c>
      <c r="I26" s="30">
        <f t="shared" si="1"/>
        <v>13</v>
      </c>
      <c r="J26" s="35">
        <f t="shared" si="15"/>
        <v>6.6877200000000006</v>
      </c>
      <c r="K26" s="36">
        <f t="shared" si="16"/>
        <v>41508.457804316531</v>
      </c>
      <c r="L26" s="36">
        <f t="shared" si="2"/>
        <v>152955.48718077489</v>
      </c>
      <c r="M26" s="37">
        <f t="shared" si="3"/>
        <v>900703030.30303037</v>
      </c>
      <c r="N26" s="38">
        <f t="shared" si="17"/>
        <v>1.5506695041866119E-3</v>
      </c>
      <c r="O26" s="36">
        <f t="shared" si="18"/>
        <v>22737.780777366625</v>
      </c>
      <c r="P26" s="36">
        <f t="shared" si="4"/>
        <v>0.16880433168167047</v>
      </c>
      <c r="Q26" s="30">
        <f t="shared" si="5"/>
        <v>-0.20546438634256467</v>
      </c>
      <c r="R26" s="30">
        <f t="shared" si="6"/>
        <v>2.8210002342833094</v>
      </c>
      <c r="S26" s="30">
        <f t="shared" si="7"/>
        <v>1.5067499092250418</v>
      </c>
      <c r="T26" s="37">
        <f t="shared" si="19"/>
        <v>150301.34291874574</v>
      </c>
      <c r="U26" s="36">
        <f t="shared" si="8"/>
        <v>253.49222583368132</v>
      </c>
      <c r="V26" s="36">
        <f t="shared" si="20"/>
        <v>1695.2850285524273</v>
      </c>
      <c r="W26" s="32">
        <f t="shared" si="9"/>
        <v>403.79356875242706</v>
      </c>
      <c r="X26" s="36">
        <f t="shared" si="10"/>
        <v>2700.4583256169817</v>
      </c>
      <c r="Y26" s="15">
        <f t="shared" si="22"/>
        <v>3.2400000000000007</v>
      </c>
    </row>
    <row r="27" spans="1:27" x14ac:dyDescent="0.25">
      <c r="A27" s="4">
        <v>19</v>
      </c>
      <c r="B27" s="39">
        <f t="shared" si="21"/>
        <v>0.95000000000000029</v>
      </c>
      <c r="C27" s="15">
        <f t="shared" si="23"/>
        <v>3.4200000000000008</v>
      </c>
      <c r="D27" s="32">
        <f t="shared" si="11"/>
        <v>36.745324313447675</v>
      </c>
      <c r="E27" s="33">
        <f t="shared" si="12"/>
        <v>4314.4463901489353</v>
      </c>
      <c r="F27" s="33">
        <f t="shared" si="24"/>
        <v>0.23310805660332715</v>
      </c>
      <c r="G27" s="33">
        <f t="shared" si="14"/>
        <v>0.40151278153725944</v>
      </c>
      <c r="H27" s="34">
        <f t="shared" si="0"/>
        <v>4.2034852442472513E-4</v>
      </c>
      <c r="I27" s="30">
        <f t="shared" si="1"/>
        <v>13</v>
      </c>
      <c r="J27" s="35">
        <f t="shared" si="15"/>
        <v>6.6877200000000006</v>
      </c>
      <c r="K27" s="36">
        <f t="shared" si="16"/>
        <v>41570.441564956731</v>
      </c>
      <c r="L27" s="36">
        <f t="shared" si="2"/>
        <v>153353.73449584609</v>
      </c>
      <c r="M27" s="37">
        <f t="shared" si="3"/>
        <v>900703030.30303037</v>
      </c>
      <c r="N27" s="38">
        <f t="shared" si="17"/>
        <v>1.5506695041866119E-3</v>
      </c>
      <c r="O27" s="36">
        <f t="shared" si="18"/>
        <v>21018.330760290024</v>
      </c>
      <c r="P27" s="36">
        <f t="shared" si="4"/>
        <v>0.16880433168167047</v>
      </c>
      <c r="Q27" s="30">
        <f t="shared" si="5"/>
        <v>-0.20546438634256467</v>
      </c>
      <c r="R27" s="30">
        <f t="shared" si="6"/>
        <v>3.9018432359244235</v>
      </c>
      <c r="S27" s="30">
        <f t="shared" si="7"/>
        <v>1.6148028275245581</v>
      </c>
      <c r="T27" s="37">
        <f t="shared" si="19"/>
        <v>236130.1731688657</v>
      </c>
      <c r="U27" s="36">
        <f t="shared" si="8"/>
        <v>252.32749578240004</v>
      </c>
      <c r="V27" s="36">
        <f t="shared" si="20"/>
        <v>1687.4956400938725</v>
      </c>
      <c r="W27" s="32">
        <f t="shared" si="9"/>
        <v>488.45766895126576</v>
      </c>
      <c r="X27" s="36">
        <f t="shared" si="10"/>
        <v>3266.6681217987593</v>
      </c>
      <c r="Y27" s="15">
        <f t="shared" si="22"/>
        <v>3.4200000000000008</v>
      </c>
    </row>
    <row r="28" spans="1:27" x14ac:dyDescent="0.25">
      <c r="A28" s="4">
        <v>20</v>
      </c>
      <c r="B28" s="39">
        <f>B27+0.05</f>
        <v>1.0000000000000002</v>
      </c>
      <c r="C28" s="15">
        <f t="shared" si="23"/>
        <v>3.6000000000000005</v>
      </c>
      <c r="D28" s="32">
        <f t="shared" si="11"/>
        <v>40.71504079052373</v>
      </c>
      <c r="E28" s="33">
        <f t="shared" si="12"/>
        <v>4326.2562966682362</v>
      </c>
      <c r="F28" s="33">
        <f t="shared" si="24"/>
        <v>0.27692204632621154</v>
      </c>
      <c r="G28" s="33">
        <f t="shared" si="14"/>
        <v>0.36987804226794674</v>
      </c>
      <c r="H28" s="34">
        <f t="shared" si="0"/>
        <v>4.1989966036780184E-4</v>
      </c>
      <c r="I28" s="30">
        <f t="shared" si="1"/>
        <v>13</v>
      </c>
      <c r="J28" s="35">
        <f t="shared" si="15"/>
        <v>6.6877200000000006</v>
      </c>
      <c r="K28" s="36">
        <f t="shared" si="16"/>
        <v>41639.720068878683</v>
      </c>
      <c r="L28" s="36">
        <f t="shared" si="2"/>
        <v>153773.50869281302</v>
      </c>
      <c r="M28" s="37">
        <f t="shared" si="3"/>
        <v>900703030.30303037</v>
      </c>
      <c r="N28" s="38">
        <f t="shared" si="17"/>
        <v>1.5506695041866119E-3</v>
      </c>
      <c r="O28" s="36">
        <f t="shared" si="18"/>
        <v>19362.320182165382</v>
      </c>
      <c r="P28" s="36">
        <f t="shared" si="4"/>
        <v>0.16880433168167047</v>
      </c>
      <c r="Q28" s="30">
        <f t="shared" si="5"/>
        <v>-0.20546438634256467</v>
      </c>
      <c r="R28" s="30">
        <f t="shared" si="6"/>
        <v>5.9554449390425388</v>
      </c>
      <c r="S28" s="30">
        <f t="shared" si="7"/>
        <v>1.7500259066830219</v>
      </c>
      <c r="T28" s="37">
        <f t="shared" si="19"/>
        <v>348348.12830092316</v>
      </c>
      <c r="U28" s="36">
        <f t="shared" si="8"/>
        <v>251.26013430282032</v>
      </c>
      <c r="V28" s="36">
        <f t="shared" si="20"/>
        <v>1680.3574253796576</v>
      </c>
      <c r="W28" s="32">
        <f t="shared" si="9"/>
        <v>599.60826260374347</v>
      </c>
      <c r="X28" s="36">
        <f t="shared" si="10"/>
        <v>4010.0121699803076</v>
      </c>
      <c r="Y28" s="15">
        <f>$H$3*B28</f>
        <v>3.6000000000000005</v>
      </c>
    </row>
    <row r="30" spans="1:27" ht="18.75" x14ac:dyDescent="0.3">
      <c r="V30" s="106" t="s">
        <v>83</v>
      </c>
      <c r="W30" s="106"/>
      <c r="X30" s="106"/>
      <c r="Y30" s="41">
        <f>MIN(W8:W28)</f>
        <v>262.24971938061378</v>
      </c>
      <c r="Z30" s="36">
        <f>VLOOKUP(Y30,W8:Y28,3,FALSE)</f>
        <v>2.34</v>
      </c>
      <c r="AA30" s="4">
        <f>vel_s</f>
        <v>13</v>
      </c>
    </row>
    <row r="31" spans="1:27" ht="18.75" x14ac:dyDescent="0.3">
      <c r="V31" s="106"/>
      <c r="W31" s="106"/>
      <c r="X31" s="106"/>
      <c r="Y31" s="41"/>
    </row>
    <row r="37" spans="15:15" x14ac:dyDescent="0.25">
      <c r="O37" s="42"/>
    </row>
  </sheetData>
  <mergeCells count="4">
    <mergeCell ref="D2:T2"/>
    <mergeCell ref="V30:X30"/>
    <mergeCell ref="V31:X31"/>
    <mergeCell ref="E3:G3"/>
  </mergeCells>
  <conditionalFormatting sqref="W8:W28">
    <cfRule type="cellIs" dxfId="0" priority="1" operator="equal">
      <formula>$Y$30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3AE3-07F8-49B8-9758-A0DA69143A2C}">
  <dimension ref="A1:AF80"/>
  <sheetViews>
    <sheetView zoomScaleNormal="100" workbookViewId="0">
      <selection sqref="A1:Y1"/>
    </sheetView>
  </sheetViews>
  <sheetFormatPr defaultRowHeight="15" x14ac:dyDescent="0.25"/>
  <cols>
    <col min="1" max="18" width="9.140625" style="5"/>
    <col min="19" max="19" width="69.28515625" style="5" bestFit="1" customWidth="1"/>
    <col min="20" max="25" width="9.140625" style="5"/>
    <col min="26" max="26" width="11.7109375" style="5" bestFit="1" customWidth="1"/>
    <col min="27" max="16384" width="9.140625" style="5"/>
  </cols>
  <sheetData>
    <row r="1" spans="1:30" x14ac:dyDescent="0.25">
      <c r="A1" s="6"/>
      <c r="B1" s="6"/>
      <c r="C1" s="6"/>
      <c r="D1" s="5" t="s">
        <v>99</v>
      </c>
      <c r="E1" s="7">
        <f>MAIN!C7*0.514444</f>
        <v>6.6877719999999998</v>
      </c>
      <c r="F1" s="5" t="s">
        <v>14</v>
      </c>
      <c r="G1" s="6"/>
      <c r="H1" s="6"/>
      <c r="I1" s="6"/>
      <c r="J1" s="6"/>
      <c r="K1" s="6"/>
      <c r="L1" s="6"/>
      <c r="M1" s="6"/>
      <c r="N1" s="6"/>
      <c r="R1" s="7"/>
      <c r="S1" s="7"/>
    </row>
    <row r="2" spans="1:30" x14ac:dyDescent="0.25">
      <c r="A2" s="8"/>
      <c r="B2" s="8"/>
      <c r="C2" s="6"/>
      <c r="E2" s="6" t="s">
        <v>117</v>
      </c>
      <c r="F2" s="6" t="s">
        <v>118</v>
      </c>
      <c r="H2" s="7"/>
      <c r="I2" s="7"/>
      <c r="R2" s="7"/>
      <c r="S2" s="7"/>
    </row>
    <row r="3" spans="1:30" x14ac:dyDescent="0.25">
      <c r="A3" s="7"/>
      <c r="B3" s="7"/>
      <c r="C3" s="7"/>
      <c r="D3" s="8" t="s">
        <v>116</v>
      </c>
      <c r="E3" s="7">
        <f>MAIN!$C$6</f>
        <v>13</v>
      </c>
      <c r="F3" s="7">
        <f>MAIN!C2</f>
        <v>160</v>
      </c>
      <c r="H3" s="7"/>
      <c r="I3" s="7"/>
      <c r="R3" s="7"/>
      <c r="S3" s="7"/>
    </row>
    <row r="4" spans="1:30" x14ac:dyDescent="0.25">
      <c r="A4" s="7"/>
      <c r="B4" s="7"/>
      <c r="C4" s="7"/>
      <c r="D4" s="8" t="s">
        <v>113</v>
      </c>
      <c r="E4" s="7">
        <f>2*PI()*$E$1^2/9.81</f>
        <v>28.646645804387973</v>
      </c>
      <c r="F4" s="7">
        <f>2*PI()*$E$1^2/9.81</f>
        <v>28.646645804387973</v>
      </c>
      <c r="H4" s="7"/>
      <c r="I4" s="7"/>
      <c r="Z4" s="5" t="s">
        <v>124</v>
      </c>
      <c r="AA4" s="5">
        <f>E3/F3</f>
        <v>8.1250000000000003E-2</v>
      </c>
    </row>
    <row r="5" spans="1:30" x14ac:dyDescent="0.25">
      <c r="A5" s="7"/>
      <c r="B5" s="7"/>
      <c r="C5" s="7"/>
      <c r="D5" s="9" t="s">
        <v>114</v>
      </c>
      <c r="E5" s="7">
        <f>E1/E4</f>
        <v>0.23345741926182489</v>
      </c>
      <c r="F5" s="7">
        <f>E1/F4</f>
        <v>0.23345741926182489</v>
      </c>
      <c r="R5" s="7"/>
      <c r="S5" s="7"/>
      <c r="Z5" s="5" t="s">
        <v>125</v>
      </c>
      <c r="AA5" s="5">
        <f>W7/F3</f>
        <v>0.17904153627742483</v>
      </c>
    </row>
    <row r="6" spans="1:30" x14ac:dyDescent="0.25">
      <c r="A6" s="7"/>
      <c r="B6" s="7"/>
      <c r="C6" s="7"/>
      <c r="D6" s="9" t="s">
        <v>115</v>
      </c>
      <c r="E6" s="7">
        <f>2*PI()*E5</f>
        <v>1.4668562265579628</v>
      </c>
      <c r="F6" s="7">
        <f>2*PI()*F5</f>
        <v>1.4668562265579628</v>
      </c>
      <c r="H6" s="7"/>
      <c r="I6" s="7"/>
      <c r="V6" s="9" t="s">
        <v>122</v>
      </c>
      <c r="W6" s="5">
        <f>0.95*F3</f>
        <v>152</v>
      </c>
    </row>
    <row r="7" spans="1:30" x14ac:dyDescent="0.25">
      <c r="A7" s="7"/>
      <c r="B7" s="7"/>
      <c r="C7" s="7"/>
      <c r="D7" s="9" t="s">
        <v>66</v>
      </c>
      <c r="E7" s="10">
        <v>1</v>
      </c>
      <c r="F7" s="10">
        <v>1</v>
      </c>
      <c r="G7" s="7"/>
      <c r="H7" s="7"/>
      <c r="I7" s="7"/>
      <c r="V7" s="8" t="s">
        <v>113</v>
      </c>
      <c r="W7" s="7">
        <f>2*PI()*$E$1^2/9.81</f>
        <v>28.646645804387973</v>
      </c>
    </row>
    <row r="8" spans="1:30" x14ac:dyDescent="0.25">
      <c r="A8" s="7"/>
      <c r="B8" s="7"/>
      <c r="C8" s="7"/>
      <c r="D8" s="7"/>
      <c r="F8" s="7"/>
      <c r="G8" s="7"/>
      <c r="H8" s="7"/>
      <c r="I8" s="7"/>
    </row>
    <row r="9" spans="1:30" x14ac:dyDescent="0.25">
      <c r="C9" s="107"/>
      <c r="D9" s="107"/>
      <c r="E9" s="107"/>
      <c r="F9" s="107"/>
      <c r="X9" s="5" t="str">
        <f>IF(Planilha2!A1=1,"Onda da Proa","Bow wave")</f>
        <v>Onda da Proa</v>
      </c>
      <c r="Z9" s="5" t="s">
        <v>123</v>
      </c>
      <c r="AB9" s="5" t="str">
        <f>IF(Planilha2!A1=1,"Onda do bulbo","Bulb wave")</f>
        <v>Onda do bulbo</v>
      </c>
      <c r="AD9" s="5" t="str">
        <f>IF(Planilha2!A1=1,"Onda resultante","Resulting wave")</f>
        <v>Onda resultante</v>
      </c>
    </row>
    <row r="10" spans="1:30" x14ac:dyDescent="0.25">
      <c r="C10" s="5" t="s">
        <v>126</v>
      </c>
      <c r="D10" s="5" t="s">
        <v>147</v>
      </c>
      <c r="E10" s="7">
        <f>2*PI()*(0.5144*MAIN!C7)^2/9.81</f>
        <v>28.641745762740559</v>
      </c>
      <c r="F10" s="5" t="s">
        <v>69</v>
      </c>
      <c r="V10" s="5">
        <v>-1</v>
      </c>
      <c r="AA10" s="5">
        <f>V10*$E$3</f>
        <v>-13</v>
      </c>
      <c r="AB10" s="5">
        <f>IF($E$3&gt;0,$E$7*SIN(2*PI()*AA10/$W$7+2*PI()*$E$3/$W$7),0)</f>
        <v>0</v>
      </c>
    </row>
    <row r="11" spans="1:30" x14ac:dyDescent="0.25">
      <c r="C11" s="5" t="s">
        <v>127</v>
      </c>
      <c r="D11" s="5" t="s">
        <v>127</v>
      </c>
      <c r="E11" s="7">
        <v>2</v>
      </c>
      <c r="V11" s="5">
        <v>-0.95</v>
      </c>
      <c r="AA11" s="5">
        <f t="shared" ref="AA11:AA29" si="0">V11*$E$3</f>
        <v>-12.35</v>
      </c>
      <c r="AB11" s="5">
        <f t="shared" ref="AB11:AB74" si="1">IF($E$3&gt;0,$E$7*SIN(2*PI()*AA11/$W$7+2*PI()*$E$3/$W$7),0)</f>
        <v>0.14208467813315381</v>
      </c>
    </row>
    <row r="12" spans="1:30" x14ac:dyDescent="0.25">
      <c r="C12" s="5" t="s">
        <v>131</v>
      </c>
      <c r="D12" s="5" t="s">
        <v>148</v>
      </c>
      <c r="E12" s="7">
        <f>SQRT(2*MAIN!C6*9.81/(2*PI()))/0.5144</f>
        <v>12.38597740966045</v>
      </c>
      <c r="F12" s="5" t="str">
        <f>IF(Planilha2!A1=1,"Nós","knots")</f>
        <v>Nós</v>
      </c>
      <c r="G12" s="5" t="str">
        <f>IF(Planilha2!$A$1=1,C12&amp;" "&amp;ROUND($E$12,2)&amp;$F$12,D12&amp;" "&amp;ROUND($E$12,2)&amp;$F$12)</f>
        <v>Velocidade sugerida para este comprimento de bulbo 12.39Nós</v>
      </c>
      <c r="V12" s="5">
        <v>-0.9</v>
      </c>
      <c r="AA12" s="5">
        <f t="shared" si="0"/>
        <v>-11.700000000000001</v>
      </c>
      <c r="AB12" s="5">
        <f t="shared" si="1"/>
        <v>0.28128631793832259</v>
      </c>
    </row>
    <row r="13" spans="1:30" x14ac:dyDescent="0.25">
      <c r="C13" s="5" t="s">
        <v>132</v>
      </c>
      <c r="D13" s="5" t="s">
        <v>149</v>
      </c>
      <c r="E13" s="7">
        <f>$E$10/E11</f>
        <v>14.320872881370279</v>
      </c>
      <c r="F13" s="5" t="s">
        <v>69</v>
      </c>
      <c r="G13" s="5" t="str">
        <f>IF(Planilha2!$A$1=1,C13&amp;" "&amp;ROUND($E$13,2)&amp;$F$13,D13&amp;" "&amp;ROUND($E$13,2)&amp;$F$13)</f>
        <v>Comprimento do bulbo sugerido para esta velocidade 14.32m</v>
      </c>
      <c r="V13" s="5">
        <v>-0.85</v>
      </c>
      <c r="AA13" s="5">
        <f t="shared" si="0"/>
        <v>-11.049999999999999</v>
      </c>
      <c r="AB13" s="5">
        <f t="shared" si="1"/>
        <v>0.41478038078017088</v>
      </c>
    </row>
    <row r="14" spans="1:30" x14ac:dyDescent="0.25">
      <c r="C14" s="5" t="s">
        <v>133</v>
      </c>
      <c r="D14" s="5" t="s">
        <v>150</v>
      </c>
      <c r="E14" s="7">
        <f>'INFLUENCIA DE BULBO'!Z30</f>
        <v>2.34</v>
      </c>
      <c r="F14" s="5" t="s">
        <v>69</v>
      </c>
      <c r="G14" s="5" t="str">
        <f>IF(Planilha2!$A$1=1,C14&amp;" "&amp;ROUND($E$14,2)&amp;$F$14,D14&amp;" "&amp;ROUND($E$14,2)&amp;$F$14)</f>
        <v>Altura do centro do bulbo sugerida 2.34m</v>
      </c>
      <c r="V14" s="5">
        <v>-0.8</v>
      </c>
      <c r="AA14" s="5">
        <f t="shared" si="0"/>
        <v>-10.4</v>
      </c>
      <c r="AB14" s="5">
        <f t="shared" si="1"/>
        <v>0.53985814039216273</v>
      </c>
    </row>
    <row r="15" spans="1:30" x14ac:dyDescent="0.25">
      <c r="V15" s="5">
        <v>-0.75</v>
      </c>
      <c r="AA15" s="5">
        <f t="shared" si="0"/>
        <v>-9.75</v>
      </c>
      <c r="AB15" s="5">
        <f t="shared" si="1"/>
        <v>0.65398164560547656</v>
      </c>
    </row>
    <row r="16" spans="1:30" x14ac:dyDescent="0.25">
      <c r="V16" s="5">
        <v>-0.7</v>
      </c>
      <c r="AA16" s="5">
        <f t="shared" si="0"/>
        <v>-9.1</v>
      </c>
      <c r="AB16" s="5">
        <f t="shared" si="1"/>
        <v>0.75483521788265917</v>
      </c>
    </row>
    <row r="17" spans="22:32" x14ac:dyDescent="0.25">
      <c r="V17" s="5">
        <v>-0.65</v>
      </c>
      <c r="AA17" s="5">
        <f t="shared" si="0"/>
        <v>-8.4500000000000011</v>
      </c>
      <c r="AB17" s="5">
        <f t="shared" si="1"/>
        <v>0.84037243872025458</v>
      </c>
    </row>
    <row r="18" spans="22:32" x14ac:dyDescent="0.25">
      <c r="V18" s="5">
        <v>-0.6</v>
      </c>
      <c r="AA18" s="5">
        <f t="shared" si="0"/>
        <v>-7.8</v>
      </c>
      <c r="AB18" s="5">
        <f t="shared" si="1"/>
        <v>0.90885767349963875</v>
      </c>
    </row>
    <row r="19" spans="22:32" x14ac:dyDescent="0.25">
      <c r="V19" s="5">
        <v>-0.55000000000000004</v>
      </c>
      <c r="AA19" s="5">
        <f t="shared" si="0"/>
        <v>-7.15</v>
      </c>
      <c r="AB19" s="5">
        <f t="shared" si="1"/>
        <v>0.9589012892261477</v>
      </c>
    </row>
    <row r="20" spans="22:32" x14ac:dyDescent="0.25">
      <c r="V20" s="5">
        <v>-0.5</v>
      </c>
      <c r="AA20" s="5">
        <f t="shared" si="0"/>
        <v>-6.5</v>
      </c>
      <c r="AB20" s="5">
        <f t="shared" si="1"/>
        <v>0.98948785155382646</v>
      </c>
    </row>
    <row r="21" spans="22:32" x14ac:dyDescent="0.25">
      <c r="V21" s="5">
        <v>-0.45</v>
      </c>
      <c r="AA21" s="5">
        <f t="shared" si="0"/>
        <v>-5.8500000000000005</v>
      </c>
      <c r="AB21" s="5">
        <f t="shared" si="1"/>
        <v>0.99999672895033354</v>
      </c>
    </row>
    <row r="22" spans="22:32" x14ac:dyDescent="0.25">
      <c r="V22" s="5">
        <v>-0.4</v>
      </c>
      <c r="AA22" s="5">
        <f t="shared" si="0"/>
        <v>-5.2</v>
      </c>
      <c r="AB22" s="5">
        <f t="shared" si="1"/>
        <v>0.99021468592317052</v>
      </c>
    </row>
    <row r="23" spans="22:32" x14ac:dyDescent="0.25">
      <c r="V23" s="5">
        <v>-0.35</v>
      </c>
      <c r="AA23" s="5">
        <f t="shared" si="0"/>
        <v>-4.55</v>
      </c>
      <c r="AB23" s="5">
        <f t="shared" si="1"/>
        <v>0.9603402097782443</v>
      </c>
    </row>
    <row r="24" spans="22:32" x14ac:dyDescent="0.25">
      <c r="V24" s="5">
        <v>-0.3</v>
      </c>
      <c r="AA24" s="5">
        <f t="shared" si="0"/>
        <v>-3.9</v>
      </c>
      <c r="AB24" s="5">
        <f t="shared" si="1"/>
        <v>0.91097948311656396</v>
      </c>
    </row>
    <row r="25" spans="22:32" x14ac:dyDescent="0.25">
      <c r="V25" s="5">
        <v>-0.25</v>
      </c>
      <c r="AA25" s="5">
        <f t="shared" si="0"/>
        <v>-3.25</v>
      </c>
      <c r="AB25" s="5">
        <f t="shared" si="1"/>
        <v>0.84313408379108679</v>
      </c>
    </row>
    <row r="26" spans="22:32" x14ac:dyDescent="0.25">
      <c r="V26" s="5">
        <v>-0.2</v>
      </c>
      <c r="AA26" s="5">
        <f t="shared" si="0"/>
        <v>-2.6</v>
      </c>
      <c r="AB26" s="5">
        <f t="shared" si="1"/>
        <v>0.75818066190372935</v>
      </c>
    </row>
    <row r="27" spans="22:32" x14ac:dyDescent="0.25">
      <c r="V27" s="5">
        <v>-0.15</v>
      </c>
      <c r="AA27" s="5">
        <f t="shared" si="0"/>
        <v>-1.95</v>
      </c>
      <c r="AB27" s="5">
        <f t="shared" si="1"/>
        <v>0.65784300621632485</v>
      </c>
    </row>
    <row r="28" spans="22:32" x14ac:dyDescent="0.25">
      <c r="V28" s="5">
        <v>-0.1</v>
      </c>
      <c r="AA28" s="5">
        <f t="shared" si="0"/>
        <v>-1.3</v>
      </c>
      <c r="AB28" s="5">
        <f t="shared" si="1"/>
        <v>0.54415706677561793</v>
      </c>
    </row>
    <row r="29" spans="22:32" x14ac:dyDescent="0.25">
      <c r="V29" s="5">
        <v>-0.05</v>
      </c>
      <c r="AA29" s="5">
        <f t="shared" si="0"/>
        <v>-0.65</v>
      </c>
      <c r="AB29" s="5">
        <f t="shared" si="1"/>
        <v>0.41942964347774708</v>
      </c>
    </row>
    <row r="30" spans="22:32" x14ac:dyDescent="0.25">
      <c r="V30" s="5">
        <v>0</v>
      </c>
      <c r="W30" s="5">
        <f>V30*$W$6</f>
        <v>0</v>
      </c>
      <c r="X30" s="5">
        <f>$F$7*SIN(2*PI()*W30/$W$7)</f>
        <v>0</v>
      </c>
      <c r="AA30" s="5">
        <f>W30</f>
        <v>0</v>
      </c>
      <c r="AB30" s="5">
        <f t="shared" si="1"/>
        <v>0.28619157882201041</v>
      </c>
      <c r="AD30" s="5">
        <f>IF(AB30&lt;&gt;0,X30+AB30,NA())</f>
        <v>0.28619157882201041</v>
      </c>
      <c r="AF30" s="5">
        <f>MAX(AD30:AD80)</f>
        <v>0.28745883818603424</v>
      </c>
    </row>
    <row r="31" spans="22:32" x14ac:dyDescent="0.25">
      <c r="V31" s="5">
        <v>2.5000000000000001E-2</v>
      </c>
      <c r="W31" s="5">
        <f>V31*$W$6</f>
        <v>3.8000000000000003</v>
      </c>
      <c r="X31" s="5">
        <f t="shared" ref="X31:X80" si="2">$F$7*SIN(2*PI()*W31/$W$7)</f>
        <v>0.74026837389309819</v>
      </c>
      <c r="AA31" s="5">
        <f>W31</f>
        <v>3.8000000000000003</v>
      </c>
      <c r="AB31" s="5">
        <f t="shared" si="1"/>
        <v>-0.51689485112824474</v>
      </c>
      <c r="AD31" s="5">
        <f t="shared" ref="AD31:AD58" si="3">IF(AB31&lt;&gt;0,X31+AB31,NA())</f>
        <v>0.22337352276485345</v>
      </c>
      <c r="AF31" s="5" t="str">
        <f>IF(Planilha2!A1=1,IF(AF30&gt;E7,"Bulbo está aumenta o efeito de onda ao longo do casco","Bulbo está reduzindo o efeito de onda ao longo do casco"),IF(AF30&gt;E7,"Bulb is increasing the wave effect along the hull "," Bulb is reducing the wave effect along the hull "))</f>
        <v>Bulbo está reduzindo o efeito de onda ao longo do casco</v>
      </c>
    </row>
    <row r="32" spans="22:32" x14ac:dyDescent="0.25">
      <c r="V32" s="5">
        <v>0.05</v>
      </c>
      <c r="W32" s="5">
        <f t="shared" ref="W32:W80" si="4">V32*$W$6</f>
        <v>7.6000000000000005</v>
      </c>
      <c r="X32" s="5">
        <f t="shared" si="2"/>
        <v>0.99538186142893725</v>
      </c>
      <c r="AA32" s="5">
        <f t="shared" ref="AA32:AA80" si="5">W32</f>
        <v>7.6000000000000005</v>
      </c>
      <c r="AB32" s="5">
        <f t="shared" si="1"/>
        <v>-0.98122027006982182</v>
      </c>
      <c r="AD32" s="5">
        <f t="shared" si="3"/>
        <v>1.4161591359115433E-2</v>
      </c>
    </row>
    <row r="33" spans="16:30" x14ac:dyDescent="0.25">
      <c r="V33" s="5">
        <v>7.4999999999999997E-2</v>
      </c>
      <c r="W33" s="5">
        <f t="shared" si="4"/>
        <v>11.4</v>
      </c>
      <c r="X33" s="5">
        <f t="shared" si="2"/>
        <v>0.59814494349767633</v>
      </c>
      <c r="AA33" s="5">
        <f t="shared" si="5"/>
        <v>11.4</v>
      </c>
      <c r="AB33" s="5">
        <f t="shared" si="1"/>
        <v>-0.80247646519243143</v>
      </c>
      <c r="AD33" s="5">
        <f t="shared" si="3"/>
        <v>-0.2043315216947551</v>
      </c>
    </row>
    <row r="34" spans="16:30" x14ac:dyDescent="0.25">
      <c r="V34" s="5">
        <v>0.1</v>
      </c>
      <c r="W34" s="5">
        <f t="shared" si="4"/>
        <v>15.200000000000001</v>
      </c>
      <c r="X34" s="5">
        <f t="shared" si="2"/>
        <v>-0.19110242945498296</v>
      </c>
      <c r="AA34" s="5">
        <f t="shared" si="5"/>
        <v>15.200000000000001</v>
      </c>
      <c r="AB34" s="5">
        <f t="shared" si="1"/>
        <v>-9.7808020002052021E-2</v>
      </c>
      <c r="AD34" s="5">
        <f t="shared" si="3"/>
        <v>-0.28891044945703498</v>
      </c>
    </row>
    <row r="35" spans="16:30" x14ac:dyDescent="0.25">
      <c r="V35" s="5">
        <v>0.125</v>
      </c>
      <c r="W35" s="5">
        <f t="shared" si="4"/>
        <v>19</v>
      </c>
      <c r="X35" s="5">
        <f t="shared" si="2"/>
        <v>-0.85510566026329982</v>
      </c>
      <c r="AA35" s="5">
        <f t="shared" si="5"/>
        <v>19</v>
      </c>
      <c r="AB35" s="5">
        <f t="shared" si="1"/>
        <v>0.67096155459275075</v>
      </c>
      <c r="AD35" s="5">
        <f t="shared" si="3"/>
        <v>-0.18414410567054906</v>
      </c>
    </row>
    <row r="36" spans="16:30" x14ac:dyDescent="0.25">
      <c r="V36" s="5">
        <v>0.15</v>
      </c>
      <c r="W36" s="5">
        <f t="shared" si="4"/>
        <v>22.8</v>
      </c>
      <c r="X36" s="5">
        <f t="shared" si="2"/>
        <v>-0.95869228533884276</v>
      </c>
      <c r="AA36" s="5">
        <f t="shared" si="5"/>
        <v>22.8</v>
      </c>
      <c r="AB36" s="5">
        <f t="shared" si="1"/>
        <v>0.99999834004162247</v>
      </c>
      <c r="AD36" s="5">
        <f t="shared" si="3"/>
        <v>4.1306054702779704E-2</v>
      </c>
    </row>
    <row r="37" spans="16:30" x14ac:dyDescent="0.25">
      <c r="V37" s="5">
        <v>0.17499999999999999</v>
      </c>
      <c r="W37" s="5">
        <f t="shared" si="4"/>
        <v>26.599999999999998</v>
      </c>
      <c r="X37" s="5">
        <f t="shared" si="2"/>
        <v>-0.43397401026162846</v>
      </c>
      <c r="AA37" s="5">
        <f t="shared" si="5"/>
        <v>26.599999999999998</v>
      </c>
      <c r="AB37" s="5">
        <f t="shared" si="1"/>
        <v>0.67365918599317587</v>
      </c>
      <c r="AD37" s="5">
        <f t="shared" si="3"/>
        <v>0.23968517573154741</v>
      </c>
    </row>
    <row r="38" spans="16:30" x14ac:dyDescent="0.25">
      <c r="V38" s="5">
        <v>0.2</v>
      </c>
      <c r="W38" s="5">
        <f t="shared" si="4"/>
        <v>30.400000000000002</v>
      </c>
      <c r="X38" s="5">
        <f t="shared" si="2"/>
        <v>0.37516086162793283</v>
      </c>
      <c r="AA38" s="5">
        <f t="shared" si="5"/>
        <v>30.400000000000002</v>
      </c>
      <c r="AB38" s="5">
        <f t="shared" si="1"/>
        <v>-9.4180722849424872E-2</v>
      </c>
      <c r="AD38" s="5">
        <f t="shared" si="3"/>
        <v>0.28098013877850797</v>
      </c>
    </row>
    <row r="39" spans="16:30" x14ac:dyDescent="0.25">
      <c r="V39" s="5">
        <v>0.22500000000000001</v>
      </c>
      <c r="W39" s="5">
        <f t="shared" si="4"/>
        <v>34.200000000000003</v>
      </c>
      <c r="X39" s="5">
        <f t="shared" si="2"/>
        <v>0.93842392322849266</v>
      </c>
      <c r="AA39" s="5">
        <f t="shared" si="5"/>
        <v>34.200000000000003</v>
      </c>
      <c r="AB39" s="5">
        <f t="shared" si="1"/>
        <v>-0.8002967495129707</v>
      </c>
      <c r="AD39" s="5">
        <f t="shared" si="3"/>
        <v>0.13812717371552197</v>
      </c>
    </row>
    <row r="40" spans="16:30" x14ac:dyDescent="0.25">
      <c r="V40" s="5">
        <v>0.25</v>
      </c>
      <c r="W40" s="5">
        <f t="shared" si="4"/>
        <v>38</v>
      </c>
      <c r="X40" s="5">
        <f t="shared" si="2"/>
        <v>0.88666550358636032</v>
      </c>
      <c r="AA40" s="5">
        <f t="shared" si="5"/>
        <v>38</v>
      </c>
      <c r="AB40" s="5">
        <f t="shared" si="1"/>
        <v>-0.98191667144610117</v>
      </c>
      <c r="AD40" s="5">
        <f t="shared" si="3"/>
        <v>-9.525116785974086E-2</v>
      </c>
    </row>
    <row r="41" spans="16:30" x14ac:dyDescent="0.25">
      <c r="V41" s="5">
        <v>0.27500000000000002</v>
      </c>
      <c r="W41" s="5">
        <f t="shared" si="4"/>
        <v>41.800000000000004</v>
      </c>
      <c r="X41" s="5">
        <f t="shared" si="2"/>
        <v>0.25380688190930523</v>
      </c>
      <c r="AA41" s="5">
        <f t="shared" si="5"/>
        <v>41.800000000000004</v>
      </c>
      <c r="AB41" s="5">
        <f t="shared" si="1"/>
        <v>-0.52001096409640435</v>
      </c>
      <c r="AD41" s="5">
        <f t="shared" si="3"/>
        <v>-0.26620408218709912</v>
      </c>
    </row>
    <row r="42" spans="16:30" x14ac:dyDescent="0.25">
      <c r="V42" s="5">
        <v>0.3</v>
      </c>
      <c r="W42" s="5">
        <f t="shared" si="4"/>
        <v>45.6</v>
      </c>
      <c r="X42" s="5">
        <f t="shared" si="2"/>
        <v>-0.54539093956609441</v>
      </c>
      <c r="AA42" s="5">
        <f t="shared" si="5"/>
        <v>45.6</v>
      </c>
      <c r="AB42" s="5">
        <f t="shared" si="1"/>
        <v>0.28269798311607391</v>
      </c>
      <c r="AD42" s="5">
        <f t="shared" si="3"/>
        <v>-0.2626929564500205</v>
      </c>
    </row>
    <row r="43" spans="16:30" x14ac:dyDescent="0.25">
      <c r="V43" s="5">
        <v>0.32500000000000001</v>
      </c>
      <c r="W43" s="5">
        <f t="shared" si="4"/>
        <v>49.4</v>
      </c>
      <c r="X43" s="5">
        <f t="shared" si="2"/>
        <v>-0.98715206830000557</v>
      </c>
      <c r="AA43" s="5">
        <f t="shared" si="5"/>
        <v>49.4</v>
      </c>
      <c r="AB43" s="5">
        <f t="shared" si="1"/>
        <v>0.9001331665031197</v>
      </c>
      <c r="AD43" s="5">
        <f t="shared" si="3"/>
        <v>-8.7018901796885872E-2</v>
      </c>
    </row>
    <row r="44" spans="16:30" x14ac:dyDescent="0.25">
      <c r="V44" s="5">
        <v>0.35</v>
      </c>
      <c r="W44" s="5">
        <f t="shared" si="4"/>
        <v>53.199999999999996</v>
      </c>
      <c r="X44" s="5">
        <f t="shared" si="2"/>
        <v>-0.78195640892374163</v>
      </c>
      <c r="AA44" s="5">
        <f t="shared" si="5"/>
        <v>53.199999999999996</v>
      </c>
      <c r="AB44" s="5">
        <f t="shared" si="1"/>
        <v>0.92764175096688972</v>
      </c>
      <c r="AD44" s="5">
        <f t="shared" si="3"/>
        <v>0.14568534204314809</v>
      </c>
    </row>
    <row r="45" spans="16:30" x14ac:dyDescent="0.25">
      <c r="V45" s="5">
        <v>0.375</v>
      </c>
      <c r="W45" s="5">
        <f t="shared" si="4"/>
        <v>57</v>
      </c>
      <c r="X45" s="5">
        <f t="shared" si="2"/>
        <v>-6.4284482713859364E-2</v>
      </c>
      <c r="AA45" s="5">
        <f t="shared" si="5"/>
        <v>57</v>
      </c>
      <c r="AB45" s="5">
        <f t="shared" si="1"/>
        <v>0.34719524219364745</v>
      </c>
      <c r="AD45" s="5">
        <f t="shared" si="3"/>
        <v>0.28291075947978805</v>
      </c>
    </row>
    <row r="46" spans="16:30" x14ac:dyDescent="0.25">
      <c r="V46" s="5">
        <v>0.4</v>
      </c>
      <c r="W46" s="5">
        <f t="shared" si="4"/>
        <v>60.800000000000004</v>
      </c>
      <c r="X46" s="5">
        <f t="shared" si="2"/>
        <v>0.69551801668471669</v>
      </c>
      <c r="AA46" s="5">
        <f t="shared" si="5"/>
        <v>60.800000000000004</v>
      </c>
      <c r="AB46" s="5">
        <f t="shared" si="1"/>
        <v>-0.46079505233447177</v>
      </c>
      <c r="AD46" s="5">
        <f t="shared" si="3"/>
        <v>0.23472296435024492</v>
      </c>
    </row>
    <row r="47" spans="16:30" x14ac:dyDescent="0.25">
      <c r="V47" s="5">
        <v>0.42499999999999999</v>
      </c>
      <c r="W47" s="5">
        <f t="shared" si="4"/>
        <v>64.599999999999994</v>
      </c>
      <c r="X47" s="5">
        <f t="shared" si="2"/>
        <v>0.99949398580816617</v>
      </c>
      <c r="AA47" s="5">
        <f t="shared" si="5"/>
        <v>64.599999999999994</v>
      </c>
      <c r="AB47" s="5">
        <f t="shared" si="1"/>
        <v>-0.96679085522488084</v>
      </c>
      <c r="AD47" s="5">
        <f t="shared" si="3"/>
        <v>3.2703130583285334E-2</v>
      </c>
    </row>
    <row r="48" spans="16:30" x14ac:dyDescent="0.25">
      <c r="P48" s="7"/>
      <c r="V48" s="5">
        <v>0.45</v>
      </c>
      <c r="W48" s="5">
        <f t="shared" si="4"/>
        <v>68.400000000000006</v>
      </c>
      <c r="X48" s="5">
        <f t="shared" si="2"/>
        <v>0.64842455761257378</v>
      </c>
      <c r="AA48" s="5">
        <f t="shared" si="5"/>
        <v>68.400000000000006</v>
      </c>
      <c r="AB48" s="5">
        <f t="shared" si="1"/>
        <v>-0.83917414130446366</v>
      </c>
      <c r="AD48" s="5">
        <f t="shared" si="3"/>
        <v>-0.19074958369188988</v>
      </c>
    </row>
    <row r="49" spans="16:30" x14ac:dyDescent="0.25">
      <c r="V49" s="5">
        <v>0.47499999999999998</v>
      </c>
      <c r="W49" s="5">
        <f t="shared" si="4"/>
        <v>72.2</v>
      </c>
      <c r="X49" s="5">
        <f t="shared" si="2"/>
        <v>-0.12760742964164987</v>
      </c>
      <c r="AA49" s="5">
        <f t="shared" si="5"/>
        <v>72.2</v>
      </c>
      <c r="AB49" s="5">
        <f t="shared" si="1"/>
        <v>-0.16158197318841755</v>
      </c>
      <c r="AD49" s="5">
        <f t="shared" si="3"/>
        <v>-0.28918940283006744</v>
      </c>
    </row>
    <row r="50" spans="16:30" x14ac:dyDescent="0.25">
      <c r="V50" s="5">
        <v>0.5</v>
      </c>
      <c r="W50" s="5">
        <f t="shared" si="4"/>
        <v>76</v>
      </c>
      <c r="X50" s="5">
        <f t="shared" si="2"/>
        <v>-0.82000843898369735</v>
      </c>
      <c r="AA50" s="5">
        <f t="shared" si="5"/>
        <v>76</v>
      </c>
      <c r="AB50" s="5">
        <f t="shared" si="1"/>
        <v>0.62190730819661799</v>
      </c>
      <c r="AD50" s="5">
        <f t="shared" si="3"/>
        <v>-0.19810113078707936</v>
      </c>
    </row>
    <row r="51" spans="16:30" x14ac:dyDescent="0.25">
      <c r="P51" s="7"/>
      <c r="V51" s="5">
        <v>0.52500000000000002</v>
      </c>
      <c r="W51" s="5">
        <f t="shared" si="4"/>
        <v>79.8</v>
      </c>
      <c r="X51" s="5">
        <f t="shared" si="2"/>
        <v>-0.97499475514505451</v>
      </c>
      <c r="AA51" s="5">
        <f t="shared" si="5"/>
        <v>79.8</v>
      </c>
      <c r="AB51" s="5">
        <f t="shared" si="1"/>
        <v>0.99781282661996717</v>
      </c>
      <c r="AD51" s="5">
        <f t="shared" si="3"/>
        <v>2.281807147491266E-2</v>
      </c>
    </row>
    <row r="52" spans="16:30" x14ac:dyDescent="0.25">
      <c r="P52" s="7"/>
      <c r="V52" s="5">
        <v>0.55000000000000004</v>
      </c>
      <c r="W52" s="5">
        <f t="shared" si="4"/>
        <v>83.600000000000009</v>
      </c>
      <c r="X52" s="5">
        <f t="shared" si="2"/>
        <v>-0.49099190695284545</v>
      </c>
      <c r="AA52" s="5">
        <f t="shared" si="5"/>
        <v>83.600000000000009</v>
      </c>
      <c r="AB52" s="5">
        <f t="shared" si="1"/>
        <v>0.71977474083561443</v>
      </c>
      <c r="AD52" s="5">
        <f t="shared" si="3"/>
        <v>0.22878283388276899</v>
      </c>
    </row>
    <row r="53" spans="16:30" x14ac:dyDescent="0.25">
      <c r="V53" s="5">
        <v>0.57499999999999996</v>
      </c>
      <c r="W53" s="5">
        <f t="shared" si="4"/>
        <v>87.399999999999991</v>
      </c>
      <c r="X53" s="5">
        <f t="shared" si="2"/>
        <v>0.31479575769356405</v>
      </c>
      <c r="AA53" s="5">
        <f t="shared" si="5"/>
        <v>87.399999999999991</v>
      </c>
      <c r="AB53" s="5">
        <f t="shared" si="1"/>
        <v>-2.9987174992239261E-2</v>
      </c>
      <c r="AD53" s="5">
        <f t="shared" si="3"/>
        <v>0.28480858270132481</v>
      </c>
    </row>
    <row r="54" spans="16:30" x14ac:dyDescent="0.25">
      <c r="P54" s="7"/>
      <c r="V54" s="5">
        <v>0.6</v>
      </c>
      <c r="W54" s="5">
        <f t="shared" si="4"/>
        <v>91.2</v>
      </c>
      <c r="X54" s="5">
        <f t="shared" si="2"/>
        <v>0.91427351442592775</v>
      </c>
      <c r="Z54" s="5">
        <v>0.3</v>
      </c>
      <c r="AA54" s="5">
        <f t="shared" si="5"/>
        <v>91.2</v>
      </c>
      <c r="AB54" s="5">
        <f t="shared" si="1"/>
        <v>-0.76009618521368305</v>
      </c>
      <c r="AD54" s="5">
        <f t="shared" si="3"/>
        <v>0.1541773292122447</v>
      </c>
    </row>
    <row r="55" spans="16:30" x14ac:dyDescent="0.25">
      <c r="V55" s="5">
        <v>0.625</v>
      </c>
      <c r="W55" s="5">
        <f t="shared" si="4"/>
        <v>95</v>
      </c>
      <c r="X55" s="5">
        <f t="shared" si="2"/>
        <v>0.91455741304701588</v>
      </c>
      <c r="AA55" s="5">
        <f t="shared" si="5"/>
        <v>95</v>
      </c>
      <c r="AB55" s="5">
        <f t="shared" si="1"/>
        <v>-0.99205561703481127</v>
      </c>
      <c r="AD55" s="5">
        <f t="shared" si="3"/>
        <v>-7.7498203987795389E-2</v>
      </c>
    </row>
    <row r="56" spans="16:30" x14ac:dyDescent="0.25">
      <c r="V56" s="5">
        <v>0.65</v>
      </c>
      <c r="W56" s="5">
        <f t="shared" si="4"/>
        <v>98.8</v>
      </c>
      <c r="X56" s="5">
        <f t="shared" si="2"/>
        <v>0.31546139292246456</v>
      </c>
      <c r="AA56" s="5">
        <f t="shared" si="5"/>
        <v>98.8</v>
      </c>
      <c r="AB56" s="5">
        <f t="shared" si="1"/>
        <v>-0.57384458755225742</v>
      </c>
      <c r="AD56" s="5">
        <f t="shared" si="3"/>
        <v>-0.25838319462979287</v>
      </c>
    </row>
    <row r="57" spans="16:30" x14ac:dyDescent="0.25">
      <c r="V57" s="5">
        <v>0.67500000000000004</v>
      </c>
      <c r="W57" s="5">
        <f t="shared" si="4"/>
        <v>102.60000000000001</v>
      </c>
      <c r="X57" s="5">
        <f t="shared" si="2"/>
        <v>-0.49038077715378531</v>
      </c>
      <c r="AA57" s="5">
        <f t="shared" si="5"/>
        <v>102.60000000000001</v>
      </c>
      <c r="AB57" s="5">
        <f t="shared" si="1"/>
        <v>0.22045100190752578</v>
      </c>
      <c r="AD57" s="5">
        <f t="shared" si="3"/>
        <v>-0.2699297752462595</v>
      </c>
    </row>
    <row r="58" spans="16:30" x14ac:dyDescent="0.25">
      <c r="V58" s="5">
        <v>0.7</v>
      </c>
      <c r="W58" s="5">
        <f t="shared" si="4"/>
        <v>106.39999999999999</v>
      </c>
      <c r="X58" s="5">
        <f t="shared" si="2"/>
        <v>-0.97483865120689173</v>
      </c>
      <c r="AA58" s="5">
        <f t="shared" si="5"/>
        <v>106.39999999999999</v>
      </c>
      <c r="AB58" s="5">
        <f t="shared" si="1"/>
        <v>0.87026806905070353</v>
      </c>
      <c r="AD58" s="5">
        <f t="shared" si="3"/>
        <v>-0.1045705821561882</v>
      </c>
    </row>
    <row r="59" spans="16:30" x14ac:dyDescent="0.25">
      <c r="V59" s="5">
        <v>0.72499999999999998</v>
      </c>
      <c r="W59" s="5">
        <f t="shared" si="4"/>
        <v>110.2</v>
      </c>
      <c r="X59" s="5">
        <f t="shared" si="2"/>
        <v>-0.82040966784139291</v>
      </c>
      <c r="AA59" s="5">
        <f t="shared" si="5"/>
        <v>110.2</v>
      </c>
      <c r="AB59" s="5">
        <f t="shared" si="1"/>
        <v>0.94973143606185839</v>
      </c>
      <c r="AD59" s="5">
        <f t="shared" ref="AD59:AD80" si="6">IF(AB59&lt;&gt;0,X59+AB59,NA())</f>
        <v>0.12932176822046548</v>
      </c>
    </row>
    <row r="60" spans="16:30" x14ac:dyDescent="0.25">
      <c r="V60" s="5">
        <v>0.75</v>
      </c>
      <c r="W60" s="5">
        <f t="shared" si="4"/>
        <v>114</v>
      </c>
      <c r="X60" s="5">
        <f t="shared" si="2"/>
        <v>-0.12830303511914182</v>
      </c>
      <c r="AA60" s="5">
        <f t="shared" si="5"/>
        <v>114</v>
      </c>
      <c r="AB60" s="5">
        <f t="shared" si="1"/>
        <v>0.40676263768234966</v>
      </c>
      <c r="AD60" s="5">
        <f t="shared" si="6"/>
        <v>0.27845960256320784</v>
      </c>
    </row>
    <row r="61" spans="16:30" x14ac:dyDescent="0.25">
      <c r="V61" s="5">
        <v>0.77500000000000002</v>
      </c>
      <c r="W61" s="5">
        <f t="shared" si="4"/>
        <v>117.8</v>
      </c>
      <c r="X61" s="5">
        <f t="shared" si="2"/>
        <v>0.64789045936536982</v>
      </c>
      <c r="AA61" s="5">
        <f t="shared" si="5"/>
        <v>117.8</v>
      </c>
      <c r="AB61" s="5">
        <f t="shared" si="1"/>
        <v>-0.40278904903714025</v>
      </c>
      <c r="AD61" s="5">
        <f t="shared" si="6"/>
        <v>0.24510141032822957</v>
      </c>
    </row>
    <row r="62" spans="16:30" x14ac:dyDescent="0.25">
      <c r="V62" s="5">
        <v>0.8</v>
      </c>
      <c r="W62" s="5">
        <f t="shared" si="4"/>
        <v>121.60000000000001</v>
      </c>
      <c r="X62" s="5">
        <f t="shared" si="2"/>
        <v>0.99947143051283294</v>
      </c>
      <c r="AA62" s="5">
        <f t="shared" si="5"/>
        <v>121.60000000000001</v>
      </c>
      <c r="AB62" s="5">
        <f t="shared" si="1"/>
        <v>-0.94836204613104047</v>
      </c>
      <c r="AD62" s="5">
        <f t="shared" si="6"/>
        <v>5.1109384381792466E-2</v>
      </c>
    </row>
    <row r="63" spans="16:30" x14ac:dyDescent="0.25">
      <c r="V63" s="5">
        <v>0.82499999999999996</v>
      </c>
      <c r="W63" s="5">
        <f t="shared" si="4"/>
        <v>125.39999999999999</v>
      </c>
      <c r="X63" s="5">
        <f t="shared" si="2"/>
        <v>0.69602178656366565</v>
      </c>
      <c r="AA63" s="5">
        <f t="shared" si="5"/>
        <v>125.39999999999999</v>
      </c>
      <c r="AB63" s="5">
        <f t="shared" si="1"/>
        <v>-0.87240034453648407</v>
      </c>
      <c r="AD63" s="5">
        <f t="shared" si="6"/>
        <v>-0.17637855797281843</v>
      </c>
    </row>
    <row r="64" spans="16:30" x14ac:dyDescent="0.25">
      <c r="V64" s="5">
        <v>0.85</v>
      </c>
      <c r="W64" s="5">
        <f t="shared" si="4"/>
        <v>129.19999999999999</v>
      </c>
      <c r="X64" s="5">
        <f t="shared" si="2"/>
        <v>-6.3584546866381708E-2</v>
      </c>
      <c r="AA64" s="5">
        <f t="shared" si="5"/>
        <v>129.19999999999999</v>
      </c>
      <c r="AB64" s="5">
        <f t="shared" si="1"/>
        <v>-0.224687498440446</v>
      </c>
      <c r="AD64" s="5">
        <f t="shared" si="6"/>
        <v>-0.28827204530682771</v>
      </c>
    </row>
    <row r="65" spans="22:30" x14ac:dyDescent="0.25">
      <c r="V65" s="5">
        <v>0.875</v>
      </c>
      <c r="W65" s="5">
        <f t="shared" si="4"/>
        <v>133</v>
      </c>
      <c r="X65" s="5">
        <f t="shared" si="2"/>
        <v>-0.78151902898282888</v>
      </c>
      <c r="AA65" s="5">
        <f t="shared" si="5"/>
        <v>133</v>
      </c>
      <c r="AB65" s="5">
        <f t="shared" si="1"/>
        <v>0.57028037247651586</v>
      </c>
      <c r="AD65" s="5">
        <f t="shared" si="6"/>
        <v>-0.21123865650631302</v>
      </c>
    </row>
    <row r="66" spans="22:30" x14ac:dyDescent="0.25">
      <c r="V66" s="5">
        <v>0.9</v>
      </c>
      <c r="W66" s="5">
        <f t="shared" si="4"/>
        <v>136.80000000000001</v>
      </c>
      <c r="X66" s="5">
        <f t="shared" si="2"/>
        <v>-0.98726389303117024</v>
      </c>
      <c r="AA66" s="5">
        <f t="shared" si="5"/>
        <v>136.80000000000001</v>
      </c>
      <c r="AB66" s="5">
        <f t="shared" si="1"/>
        <v>0.99149958809758842</v>
      </c>
      <c r="AD66" s="5">
        <f t="shared" si="6"/>
        <v>4.235695066418188E-3</v>
      </c>
    </row>
    <row r="67" spans="22:30" x14ac:dyDescent="0.25">
      <c r="V67" s="5">
        <v>0.92500000000000004</v>
      </c>
      <c r="W67" s="5">
        <f t="shared" si="4"/>
        <v>140.6</v>
      </c>
      <c r="X67" s="5">
        <f t="shared" si="2"/>
        <v>-0.54597868160943819</v>
      </c>
      <c r="AA67" s="5">
        <f t="shared" si="5"/>
        <v>140.6</v>
      </c>
      <c r="AB67" s="5">
        <f t="shared" si="1"/>
        <v>0.76291275100700096</v>
      </c>
      <c r="AD67" s="5">
        <f t="shared" si="6"/>
        <v>0.21693406939756277</v>
      </c>
    </row>
    <row r="68" spans="22:30" x14ac:dyDescent="0.25">
      <c r="V68" s="5">
        <v>0.95</v>
      </c>
      <c r="W68" s="5">
        <f t="shared" si="4"/>
        <v>144.4</v>
      </c>
      <c r="X68" s="5">
        <f t="shared" si="2"/>
        <v>0.25312841518702511</v>
      </c>
      <c r="AA68" s="5">
        <f t="shared" si="5"/>
        <v>144.4</v>
      </c>
      <c r="AB68" s="5">
        <f t="shared" si="1"/>
        <v>3.4330422999009097E-2</v>
      </c>
      <c r="AD68" s="5">
        <f t="shared" si="6"/>
        <v>0.28745883818603424</v>
      </c>
    </row>
    <row r="69" spans="22:30" x14ac:dyDescent="0.25">
      <c r="V69" s="5">
        <v>0.97499999999999998</v>
      </c>
      <c r="W69" s="5">
        <f t="shared" si="4"/>
        <v>148.19999999999999</v>
      </c>
      <c r="X69" s="5">
        <f t="shared" si="2"/>
        <v>0.88634096368877713</v>
      </c>
      <c r="AA69" s="5">
        <f t="shared" si="5"/>
        <v>148.19999999999999</v>
      </c>
      <c r="AB69" s="5">
        <f t="shared" si="1"/>
        <v>-0.71675127558331264</v>
      </c>
      <c r="AD69" s="5">
        <f t="shared" si="6"/>
        <v>0.16958968810546449</v>
      </c>
    </row>
    <row r="70" spans="22:30" x14ac:dyDescent="0.25">
      <c r="V70" s="5">
        <v>1</v>
      </c>
      <c r="W70" s="5">
        <f t="shared" si="4"/>
        <v>152</v>
      </c>
      <c r="X70" s="5">
        <f t="shared" si="2"/>
        <v>0.93866600614895934</v>
      </c>
      <c r="AA70" s="5">
        <f t="shared" si="5"/>
        <v>152</v>
      </c>
      <c r="AB70" s="5">
        <f t="shared" si="1"/>
        <v>-0.9980906537916221</v>
      </c>
      <c r="AD70" s="5">
        <f t="shared" si="6"/>
        <v>-5.9424647642662753E-2</v>
      </c>
    </row>
    <row r="71" spans="22:30" x14ac:dyDescent="0.25">
      <c r="V71" s="5">
        <v>1.0249999999999999</v>
      </c>
      <c r="W71" s="5">
        <f t="shared" si="4"/>
        <v>155.79999999999998</v>
      </c>
      <c r="X71" s="5">
        <f t="shared" si="2"/>
        <v>0.3758109117816465</v>
      </c>
      <c r="AA71" s="5">
        <f t="shared" si="5"/>
        <v>155.79999999999998</v>
      </c>
      <c r="AB71" s="5">
        <f t="shared" si="1"/>
        <v>-0.62530434624634024</v>
      </c>
      <c r="AD71" s="5">
        <f t="shared" si="6"/>
        <v>-0.24949343446469374</v>
      </c>
    </row>
    <row r="72" spans="22:30" x14ac:dyDescent="0.25">
      <c r="V72" s="5">
        <v>1.05</v>
      </c>
      <c r="W72" s="5">
        <f t="shared" si="4"/>
        <v>159.6</v>
      </c>
      <c r="X72" s="5">
        <f t="shared" si="2"/>
        <v>-0.43334202081206297</v>
      </c>
      <c r="AA72" s="5">
        <f t="shared" si="5"/>
        <v>159.6</v>
      </c>
      <c r="AB72" s="5">
        <f t="shared" si="1"/>
        <v>0.15729206495960549</v>
      </c>
      <c r="AD72" s="5">
        <f t="shared" si="6"/>
        <v>-0.27604995585245751</v>
      </c>
    </row>
    <row r="73" spans="22:30" x14ac:dyDescent="0.25">
      <c r="V73" s="5">
        <v>1.075</v>
      </c>
      <c r="W73" s="5">
        <f t="shared" si="4"/>
        <v>163.4</v>
      </c>
      <c r="X73" s="5">
        <f t="shared" si="2"/>
        <v>-0.95849254796023153</v>
      </c>
      <c r="AA73" s="5">
        <f t="shared" si="5"/>
        <v>163.4</v>
      </c>
      <c r="AB73" s="5">
        <f t="shared" si="1"/>
        <v>0.83680287019936572</v>
      </c>
      <c r="AD73" s="5">
        <f t="shared" si="6"/>
        <v>-0.12168967776086581</v>
      </c>
    </row>
    <row r="74" spans="22:30" x14ac:dyDescent="0.25">
      <c r="V74" s="5">
        <v>1.1000000000000001</v>
      </c>
      <c r="W74" s="5">
        <f t="shared" si="4"/>
        <v>167.20000000000002</v>
      </c>
      <c r="X74" s="5">
        <f t="shared" si="2"/>
        <v>-0.85546907824509311</v>
      </c>
      <c r="AA74" s="5">
        <f t="shared" si="5"/>
        <v>167.20000000000002</v>
      </c>
      <c r="AB74" s="5">
        <f t="shared" si="1"/>
        <v>0.96789229785149977</v>
      </c>
      <c r="AD74" s="5">
        <f t="shared" si="6"/>
        <v>0.11242321960640667</v>
      </c>
    </row>
    <row r="75" spans="22:30" x14ac:dyDescent="0.25">
      <c r="V75" s="5">
        <v>1.125</v>
      </c>
      <c r="W75" s="5">
        <f t="shared" si="4"/>
        <v>171</v>
      </c>
      <c r="X75" s="5">
        <f t="shared" si="2"/>
        <v>-0.19179082700057321</v>
      </c>
      <c r="AA75" s="5">
        <f t="shared" si="5"/>
        <v>171</v>
      </c>
      <c r="AB75" s="5">
        <f t="shared" ref="AB75:AB80" si="7">IF($E$3&gt;0,$E$7*SIN(2*PI()*AA75/$W$7+2*PI()*$E$3/$W$7),0)</f>
        <v>0.46464734849832889</v>
      </c>
      <c r="AD75" s="5">
        <f t="shared" si="6"/>
        <v>0.27285652149775569</v>
      </c>
    </row>
    <row r="76" spans="22:30" x14ac:dyDescent="0.25">
      <c r="V76" s="5">
        <v>1.1499999999999999</v>
      </c>
      <c r="W76" s="5">
        <f t="shared" si="4"/>
        <v>174.79999999999998</v>
      </c>
      <c r="X76" s="5">
        <f t="shared" si="2"/>
        <v>0.59758272632538401</v>
      </c>
      <c r="AA76" s="5">
        <f t="shared" si="5"/>
        <v>174.79999999999998</v>
      </c>
      <c r="AB76" s="5">
        <f t="shared" si="7"/>
        <v>-0.3431167989010645</v>
      </c>
      <c r="AD76" s="5">
        <f t="shared" si="6"/>
        <v>0.2544659274243195</v>
      </c>
    </row>
    <row r="77" spans="22:30" x14ac:dyDescent="0.25">
      <c r="V77" s="5">
        <v>1.175</v>
      </c>
      <c r="W77" s="5">
        <f t="shared" si="4"/>
        <v>178.6</v>
      </c>
      <c r="X77" s="5">
        <f t="shared" si="2"/>
        <v>0.99531428884907225</v>
      </c>
      <c r="AA77" s="5">
        <f t="shared" si="5"/>
        <v>178.6</v>
      </c>
      <c r="AB77" s="5">
        <f t="shared" si="7"/>
        <v>-0.92601007858708073</v>
      </c>
      <c r="AD77" s="5">
        <f t="shared" si="6"/>
        <v>6.9304210261991517E-2</v>
      </c>
    </row>
    <row r="78" spans="22:30" x14ac:dyDescent="0.25">
      <c r="V78" s="5">
        <v>1.2</v>
      </c>
      <c r="W78" s="5">
        <f t="shared" si="4"/>
        <v>182.4</v>
      </c>
      <c r="X78" s="5">
        <f t="shared" si="2"/>
        <v>0.74073973142217975</v>
      </c>
      <c r="AA78" s="5">
        <f t="shared" si="5"/>
        <v>182.4</v>
      </c>
      <c r="AB78" s="5">
        <f t="shared" si="7"/>
        <v>-0.90201762563004428</v>
      </c>
      <c r="AD78" s="5">
        <f t="shared" si="6"/>
        <v>-0.16127789420786454</v>
      </c>
    </row>
    <row r="79" spans="22:30" x14ac:dyDescent="0.25">
      <c r="V79" s="5">
        <v>1.2250000000000001</v>
      </c>
      <c r="W79" s="5">
        <f t="shared" si="4"/>
        <v>186.20000000000002</v>
      </c>
      <c r="X79" s="5">
        <f t="shared" si="2"/>
        <v>7.0137074177887757E-4</v>
      </c>
      <c r="AA79" s="5">
        <f t="shared" si="5"/>
        <v>186.20000000000002</v>
      </c>
      <c r="AB79" s="5">
        <f t="shared" si="7"/>
        <v>-0.28686354252887442</v>
      </c>
      <c r="AD79" s="5">
        <f t="shared" si="6"/>
        <v>-0.28616217178709552</v>
      </c>
    </row>
    <row r="80" spans="22:30" x14ac:dyDescent="0.25">
      <c r="V80" s="5">
        <v>1.25</v>
      </c>
      <c r="W80" s="5">
        <f t="shared" si="4"/>
        <v>190</v>
      </c>
      <c r="X80" s="5">
        <f t="shared" si="2"/>
        <v>-0.73979665221047153</v>
      </c>
      <c r="AA80" s="5">
        <f t="shared" si="5"/>
        <v>190</v>
      </c>
      <c r="AB80" s="5">
        <f t="shared" si="7"/>
        <v>0.51629431634312706</v>
      </c>
      <c r="AD80" s="5">
        <f t="shared" si="6"/>
        <v>-0.22350233586734447</v>
      </c>
    </row>
  </sheetData>
  <mergeCells count="2">
    <mergeCell ref="C9:D9"/>
    <mergeCell ref="E9:F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F56A-069B-4E19-B733-64F11406242E}">
  <dimension ref="A1:B15"/>
  <sheetViews>
    <sheetView workbookViewId="0">
      <selection sqref="A1:Y1"/>
    </sheetView>
  </sheetViews>
  <sheetFormatPr defaultRowHeight="15" x14ac:dyDescent="0.25"/>
  <cols>
    <col min="1" max="1" width="28.5703125" style="81" customWidth="1"/>
    <col min="2" max="2" width="45.140625" style="81" customWidth="1"/>
    <col min="3" max="16384" width="9.140625" style="81"/>
  </cols>
  <sheetData>
    <row r="1" spans="1:2" x14ac:dyDescent="0.25">
      <c r="A1" s="82">
        <v>1</v>
      </c>
    </row>
    <row r="3" spans="1:2" x14ac:dyDescent="0.25">
      <c r="A3" s="81" t="s">
        <v>139</v>
      </c>
      <c r="B3" s="81" t="s">
        <v>140</v>
      </c>
    </row>
    <row r="4" spans="1:2" x14ac:dyDescent="0.25">
      <c r="A4" s="81" t="s">
        <v>128</v>
      </c>
      <c r="B4" s="81" t="s">
        <v>141</v>
      </c>
    </row>
    <row r="5" spans="1:2" x14ac:dyDescent="0.25">
      <c r="A5" s="81" t="s">
        <v>129</v>
      </c>
      <c r="B5" s="81" t="s">
        <v>142</v>
      </c>
    </row>
    <row r="6" spans="1:2" x14ac:dyDescent="0.25">
      <c r="A6" s="81" t="s">
        <v>130</v>
      </c>
      <c r="B6" s="81" t="s">
        <v>143</v>
      </c>
    </row>
    <row r="7" spans="1:2" x14ac:dyDescent="0.25">
      <c r="A7" s="81" t="s">
        <v>98</v>
      </c>
      <c r="B7" s="81" t="s">
        <v>144</v>
      </c>
    </row>
    <row r="8" spans="1:2" x14ac:dyDescent="0.25">
      <c r="A8" s="81" t="s">
        <v>151</v>
      </c>
      <c r="B8" s="81" t="s">
        <v>145</v>
      </c>
    </row>
    <row r="9" spans="1:2" x14ac:dyDescent="0.25">
      <c r="A9" s="81" t="s">
        <v>99</v>
      </c>
      <c r="B9" s="81" t="s">
        <v>146</v>
      </c>
    </row>
    <row r="10" spans="1:2" ht="51.75" customHeight="1" x14ac:dyDescent="0.25">
      <c r="A10" s="81" t="str">
        <f>IF(MAIN!C8&gt;0,"Bulbo proporciona uma Redução de Potência efetiva de ","Bulbo proporciona um aumento de Potência efetiva de")</f>
        <v xml:space="preserve">Bulbo proporciona uma Redução de Potência efetiva de </v>
      </c>
      <c r="B10" s="81" t="str">
        <f>IF(MAIN!C8&gt;0,"Bulb provides effective Power Reduction of ","Bulb provides an effective Power Increase of")</f>
        <v xml:space="preserve">Bulb provides effective Power Reduction of </v>
      </c>
    </row>
    <row r="11" spans="1:2" ht="48.75" customHeight="1" x14ac:dyDescent="0.25">
      <c r="A11" s="81" t="str">
        <f>IF($A$1=1,"
Outros artigos:","
More articles")</f>
        <v xml:space="preserve">
Outros artigos:</v>
      </c>
    </row>
    <row r="12" spans="1:2" x14ac:dyDescent="0.25">
      <c r="A12" s="81" t="str">
        <f>IF($A$1=1,"Ir para o artigo","Go to article")</f>
        <v>Ir para o artigo</v>
      </c>
    </row>
    <row r="13" spans="1:2" x14ac:dyDescent="0.25">
      <c r="A13" s="81" t="str">
        <f>IF($A$1=1,"Calado X Profundidade","Draft X Depth")</f>
        <v>Calado X Profundidade</v>
      </c>
    </row>
    <row r="14" spans="1:2" x14ac:dyDescent="0.25">
      <c r="A14" s="81" t="str">
        <f>IF($A$1=1,"Tração estática","Bolalrd Pull")</f>
        <v>Tração estática</v>
      </c>
    </row>
    <row r="15" spans="1:2" x14ac:dyDescent="0.25">
      <c r="A15" s="81" t="str">
        <f>IF($A$1=1,"Marcas de calado","Draft Marks")</f>
        <v>Marcas de calado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78</vt:i4>
      </vt:variant>
    </vt:vector>
  </HeadingPairs>
  <TitlesOfParts>
    <vt:vector size="84" baseType="lpstr">
      <vt:lpstr>MAIN</vt:lpstr>
      <vt:lpstr>bulbo</vt:lpstr>
      <vt:lpstr>sembulbo</vt:lpstr>
      <vt:lpstr>INFLUENCIA DE BULBO</vt:lpstr>
      <vt:lpstr>Planilha1</vt:lpstr>
      <vt:lpstr>Planilha2</vt:lpstr>
      <vt:lpstr>sembulbo!A_bulbo</vt:lpstr>
      <vt:lpstr>A_bulbo</vt:lpstr>
      <vt:lpstr>sembulbo!A_tram</vt:lpstr>
      <vt:lpstr>A_tram</vt:lpstr>
      <vt:lpstr>sembulbo!B</vt:lpstr>
      <vt:lpstr>B</vt:lpstr>
      <vt:lpstr>sembulbo!C_x</vt:lpstr>
      <vt:lpstr>C_x</vt:lpstr>
      <vt:lpstr>sembulbo!cb</vt:lpstr>
      <vt:lpstr>cb</vt:lpstr>
      <vt:lpstr>sembulbo!coef_1</vt:lpstr>
      <vt:lpstr>coef_1</vt:lpstr>
      <vt:lpstr>sembulbo!coef_12</vt:lpstr>
      <vt:lpstr>coef_12</vt:lpstr>
      <vt:lpstr>sembulbo!coef_13</vt:lpstr>
      <vt:lpstr>coef_13</vt:lpstr>
      <vt:lpstr>sembulbo!coef_15</vt:lpstr>
      <vt:lpstr>coef_15</vt:lpstr>
      <vt:lpstr>sembulbo!coef_16</vt:lpstr>
      <vt:lpstr>coef_16</vt:lpstr>
      <vt:lpstr>sembulbo!coef_2</vt:lpstr>
      <vt:lpstr>coef_2</vt:lpstr>
      <vt:lpstr>sembulbo!coef_3</vt:lpstr>
      <vt:lpstr>coef_3</vt:lpstr>
      <vt:lpstr>sembulbo!coef_4</vt:lpstr>
      <vt:lpstr>coef_4</vt:lpstr>
      <vt:lpstr>sembulbo!coef_5</vt:lpstr>
      <vt:lpstr>coef_5</vt:lpstr>
      <vt:lpstr>sembulbo!coef_7</vt:lpstr>
      <vt:lpstr>coef_7</vt:lpstr>
      <vt:lpstr>sembulbo!coef_ca</vt:lpstr>
      <vt:lpstr>coef_ca</vt:lpstr>
      <vt:lpstr>sembulbo!coef_d</vt:lpstr>
      <vt:lpstr>coef_d</vt:lpstr>
      <vt:lpstr>sembulbo!coef_ie</vt:lpstr>
      <vt:lpstr>coef_ie</vt:lpstr>
      <vt:lpstr>sembulbo!coef_k1</vt:lpstr>
      <vt:lpstr>coef_k1</vt:lpstr>
      <vt:lpstr>sembulbo!coef_k2</vt:lpstr>
      <vt:lpstr>coef_k2</vt:lpstr>
      <vt:lpstr>sembulbo!coef_lr</vt:lpstr>
      <vt:lpstr>coef_lr</vt:lpstr>
      <vt:lpstr>sembulbo!coef_m1</vt:lpstr>
      <vt:lpstr>coef_m1</vt:lpstr>
      <vt:lpstr>sembulbo!coef_pb</vt:lpstr>
      <vt:lpstr>coef_pb</vt:lpstr>
      <vt:lpstr>sembulbo!Cp</vt:lpstr>
      <vt:lpstr>Cp</vt:lpstr>
      <vt:lpstr>sembulbo!cstern</vt:lpstr>
      <vt:lpstr>cstern</vt:lpstr>
      <vt:lpstr>sembulbo!cwp</vt:lpstr>
      <vt:lpstr>cwp</vt:lpstr>
      <vt:lpstr>sembulbo!grav</vt:lpstr>
      <vt:lpstr>grav</vt:lpstr>
      <vt:lpstr>sembulbo!h_bulbo</vt:lpstr>
      <vt:lpstr>h_bulbo</vt:lpstr>
      <vt:lpstr>sembulbo!lambda</vt:lpstr>
      <vt:lpstr>lambda</vt:lpstr>
      <vt:lpstr>sembulbo!Lbp</vt:lpstr>
      <vt:lpstr>Lbp</vt:lpstr>
      <vt:lpstr>sembulbo!LCB</vt:lpstr>
      <vt:lpstr>LCB</vt:lpstr>
      <vt:lpstr>sembulbo!peso_desl</vt:lpstr>
      <vt:lpstr>peso_desl</vt:lpstr>
      <vt:lpstr>sembulbo!rho</vt:lpstr>
      <vt:lpstr>rho</vt:lpstr>
      <vt:lpstr>sembulbo!Sm</vt:lpstr>
      <vt:lpstr>Sm</vt:lpstr>
      <vt:lpstr>sembulbo!T</vt:lpstr>
      <vt:lpstr>T</vt:lpstr>
      <vt:lpstr>sembulbo!T_f</vt:lpstr>
      <vt:lpstr>T_f</vt:lpstr>
      <vt:lpstr>sembulbo!vel_s</vt:lpstr>
      <vt:lpstr>vel_s</vt:lpstr>
      <vt:lpstr>sembulbo!visco</vt:lpstr>
      <vt:lpstr>visco</vt:lpstr>
      <vt:lpstr>sembulbo!Vol_desl</vt:lpstr>
      <vt:lpstr>Vol_desl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Bulbo em navios</dc:title>
  <dc:creator>Rafael Pieper</dc:creator>
  <cp:lastModifiedBy>Rafael Pieper</cp:lastModifiedBy>
  <cp:lastPrinted>2016-09-27T12:27:03Z</cp:lastPrinted>
  <dcterms:created xsi:type="dcterms:W3CDTF">2016-09-24T01:26:03Z</dcterms:created>
  <dcterms:modified xsi:type="dcterms:W3CDTF">2019-07-30T15:49:01Z</dcterms:modified>
  <cp:category>Arquitetura Naval</cp:category>
</cp:coreProperties>
</file>