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09" codeName="{00000000-0000-0000-0000-0000000000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Rafael Pieper\Dropbox\"/>
    </mc:Choice>
  </mc:AlternateContent>
  <xr:revisionPtr revIDLastSave="0" documentId="102_{361C617F-6987-7E4D-BD5B-8A00E518534F}" xr6:coauthVersionLast="47" xr6:coauthVersionMax="47" xr10:uidLastSave="{00000000-0000-0000-0000-000000000000}"/>
  <bookViews>
    <workbookView xWindow="-120" yWindow="-120" windowWidth="29040" windowHeight="15840" tabRatio="910" xr2:uid="{00000000-000D-0000-FFFF-FFFF00000000}"/>
  </bookViews>
  <sheets>
    <sheet name="DADOS" sheetId="1" r:id="rId1"/>
    <sheet name="CARGAS" sheetId="2" state="hidden" r:id="rId2"/>
    <sheet name="SEM ONDA LB=10" sheetId="3" state="hidden" r:id="rId3"/>
  </sheets>
  <externalReferences>
    <externalReference r:id="rId4"/>
  </externalReferences>
  <definedNames>
    <definedName name="boa">DADOS!$C$4</definedName>
    <definedName name="Boca">[1]Dados!$B$5</definedName>
    <definedName name="calado">DADOS!$I$3</definedName>
    <definedName name="casco">CARGAS!$D$21</definedName>
    <definedName name="cb">DADOS!#REF!</definedName>
    <definedName name="Ccarga">DADOS!#REF!</definedName>
    <definedName name="cm">DADOS!$F$5</definedName>
    <definedName name="deslocamento">DADOS!$I$4</definedName>
    <definedName name="infocarga">'SEM ONDA LB=10'!$G$20</definedName>
    <definedName name="loa">DADOS!$C$3</definedName>
    <definedName name="motor">CARGAS!#REF!</definedName>
    <definedName name="out">CARGAS!$D$22</definedName>
    <definedName name="pontal">DADOS!$C$5</definedName>
    <definedName name="sup">CARGAS!$D$23</definedName>
    <definedName name="tanque1">CARGAS!$D$14</definedName>
    <definedName name="tanque2">CARGAS!$D$15</definedName>
    <definedName name="tanque3">CARGAS!$D$16</definedName>
    <definedName name="tanque4">CARGAS!$D$17</definedName>
    <definedName name="tanque5">CARGAS!$D$18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Y3" i="2"/>
  <c r="Z3" i="2"/>
  <c r="AA3" i="2"/>
  <c r="AB3" i="2"/>
  <c r="X3" i="2"/>
  <c r="H8" i="2"/>
  <c r="F3" i="1"/>
  <c r="I3" i="1"/>
  <c r="L5" i="2"/>
  <c r="L6" i="2"/>
  <c r="D21" i="2"/>
  <c r="B30" i="3"/>
  <c r="Y12" i="2"/>
  <c r="Z12" i="2"/>
  <c r="AA12" i="2"/>
  <c r="AA14" i="2"/>
  <c r="Z14" i="2"/>
  <c r="AB11" i="2"/>
  <c r="AA11" i="2"/>
  <c r="AA13" i="2"/>
  <c r="AB13" i="2"/>
  <c r="H10" i="2"/>
  <c r="AB37" i="2"/>
  <c r="AB39" i="2"/>
  <c r="AB38" i="2"/>
  <c r="Y39" i="2"/>
  <c r="Y38" i="2"/>
  <c r="V39" i="2"/>
  <c r="V38" i="2"/>
  <c r="S38" i="2"/>
  <c r="S37" i="2"/>
  <c r="P39" i="2"/>
  <c r="P38" i="2"/>
  <c r="O37" i="2"/>
  <c r="O41" i="2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19" i="3"/>
  <c r="G20" i="3"/>
  <c r="L3" i="1"/>
  <c r="H11" i="2"/>
  <c r="F18" i="3"/>
  <c r="AB12" i="2"/>
  <c r="L7" i="2"/>
  <c r="L8" i="2"/>
  <c r="B23" i="3"/>
  <c r="B205" i="3"/>
  <c r="B197" i="3"/>
  <c r="B189" i="3"/>
  <c r="B181" i="3"/>
  <c r="B173" i="3"/>
  <c r="B165" i="3"/>
  <c r="B157" i="3"/>
  <c r="B149" i="3"/>
  <c r="B141" i="3"/>
  <c r="B133" i="3"/>
  <c r="B125" i="3"/>
  <c r="B117" i="3"/>
  <c r="B109" i="3"/>
  <c r="B101" i="3"/>
  <c r="B93" i="3"/>
  <c r="B85" i="3"/>
  <c r="B77" i="3"/>
  <c r="B69" i="3"/>
  <c r="B61" i="3"/>
  <c r="B53" i="3"/>
  <c r="B45" i="3"/>
  <c r="B37" i="3"/>
  <c r="B29" i="3"/>
  <c r="B212" i="3"/>
  <c r="B204" i="3"/>
  <c r="B196" i="3"/>
  <c r="B188" i="3"/>
  <c r="B180" i="3"/>
  <c r="B172" i="3"/>
  <c r="B164" i="3"/>
  <c r="B156" i="3"/>
  <c r="B148" i="3"/>
  <c r="B140" i="3"/>
  <c r="B132" i="3"/>
  <c r="B124" i="3"/>
  <c r="B116" i="3"/>
  <c r="B108" i="3"/>
  <c r="B100" i="3"/>
  <c r="B92" i="3"/>
  <c r="B84" i="3"/>
  <c r="B76" i="3"/>
  <c r="B68" i="3"/>
  <c r="B60" i="3"/>
  <c r="B52" i="3"/>
  <c r="B44" i="3"/>
  <c r="B36" i="3"/>
  <c r="B28" i="3"/>
  <c r="B211" i="3"/>
  <c r="B203" i="3"/>
  <c r="B195" i="3"/>
  <c r="B187" i="3"/>
  <c r="B179" i="3"/>
  <c r="B171" i="3"/>
  <c r="B163" i="3"/>
  <c r="B155" i="3"/>
  <c r="B147" i="3"/>
  <c r="B139" i="3"/>
  <c r="B131" i="3"/>
  <c r="B123" i="3"/>
  <c r="B115" i="3"/>
  <c r="B107" i="3"/>
  <c r="B99" i="3"/>
  <c r="B91" i="3"/>
  <c r="B83" i="3"/>
  <c r="B75" i="3"/>
  <c r="B67" i="3"/>
  <c r="B59" i="3"/>
  <c r="B51" i="3"/>
  <c r="B43" i="3"/>
  <c r="B35" i="3"/>
  <c r="B27" i="3"/>
  <c r="B210" i="3"/>
  <c r="B202" i="3"/>
  <c r="B194" i="3"/>
  <c r="B186" i="3"/>
  <c r="B178" i="3"/>
  <c r="B170" i="3"/>
  <c r="B162" i="3"/>
  <c r="B154" i="3"/>
  <c r="B146" i="3"/>
  <c r="B138" i="3"/>
  <c r="B130" i="3"/>
  <c r="B122" i="3"/>
  <c r="B114" i="3"/>
  <c r="B106" i="3"/>
  <c r="B98" i="3"/>
  <c r="B90" i="3"/>
  <c r="B82" i="3"/>
  <c r="B74" i="3"/>
  <c r="B66" i="3"/>
  <c r="B58" i="3"/>
  <c r="B50" i="3"/>
  <c r="B42" i="3"/>
  <c r="B34" i="3"/>
  <c r="B26" i="3"/>
  <c r="B209" i="3"/>
  <c r="B201" i="3"/>
  <c r="B193" i="3"/>
  <c r="B185" i="3"/>
  <c r="B177" i="3"/>
  <c r="B169" i="3"/>
  <c r="B161" i="3"/>
  <c r="B153" i="3"/>
  <c r="B145" i="3"/>
  <c r="B137" i="3"/>
  <c r="B129" i="3"/>
  <c r="B121" i="3"/>
  <c r="B113" i="3"/>
  <c r="B105" i="3"/>
  <c r="B97" i="3"/>
  <c r="B89" i="3"/>
  <c r="B81" i="3"/>
  <c r="B73" i="3"/>
  <c r="B65" i="3"/>
  <c r="B57" i="3"/>
  <c r="B49" i="3"/>
  <c r="B41" i="3"/>
  <c r="B33" i="3"/>
  <c r="B25" i="3"/>
  <c r="B208" i="3"/>
  <c r="B200" i="3"/>
  <c r="B192" i="3"/>
  <c r="B184" i="3"/>
  <c r="B176" i="3"/>
  <c r="B168" i="3"/>
  <c r="B160" i="3"/>
  <c r="B152" i="3"/>
  <c r="B144" i="3"/>
  <c r="B136" i="3"/>
  <c r="B128" i="3"/>
  <c r="B120" i="3"/>
  <c r="B112" i="3"/>
  <c r="B104" i="3"/>
  <c r="B96" i="3"/>
  <c r="B88" i="3"/>
  <c r="B80" i="3"/>
  <c r="B72" i="3"/>
  <c r="B64" i="3"/>
  <c r="B56" i="3"/>
  <c r="B48" i="3"/>
  <c r="B40" i="3"/>
  <c r="B32" i="3"/>
  <c r="B24" i="3"/>
  <c r="B207" i="3"/>
  <c r="B199" i="3"/>
  <c r="B191" i="3"/>
  <c r="B183" i="3"/>
  <c r="B175" i="3"/>
  <c r="B167" i="3"/>
  <c r="B159" i="3"/>
  <c r="B151" i="3"/>
  <c r="B143" i="3"/>
  <c r="B135" i="3"/>
  <c r="B127" i="3"/>
  <c r="B119" i="3"/>
  <c r="B111" i="3"/>
  <c r="B103" i="3"/>
  <c r="B95" i="3"/>
  <c r="B87" i="3"/>
  <c r="B79" i="3"/>
  <c r="B71" i="3"/>
  <c r="B63" i="3"/>
  <c r="B55" i="3"/>
  <c r="B47" i="3"/>
  <c r="B39" i="3"/>
  <c r="B31" i="3"/>
  <c r="B206" i="3"/>
  <c r="B198" i="3"/>
  <c r="B190" i="3"/>
  <c r="B182" i="3"/>
  <c r="B174" i="3"/>
  <c r="B166" i="3"/>
  <c r="B158" i="3"/>
  <c r="B150" i="3"/>
  <c r="B142" i="3"/>
  <c r="B134" i="3"/>
  <c r="B126" i="3"/>
  <c r="B118" i="3"/>
  <c r="B110" i="3"/>
  <c r="B102" i="3"/>
  <c r="B94" i="3"/>
  <c r="B86" i="3"/>
  <c r="B78" i="3"/>
  <c r="B70" i="3"/>
  <c r="B62" i="3"/>
  <c r="B54" i="3"/>
  <c r="B46" i="3"/>
  <c r="B38" i="3"/>
  <c r="O38" i="2"/>
  <c r="O39" i="2"/>
  <c r="O40" i="2"/>
  <c r="R37" i="2"/>
  <c r="R41" i="2"/>
  <c r="S36" i="2"/>
  <c r="S39" i="2"/>
  <c r="AB41" i="2"/>
  <c r="AB40" i="2"/>
  <c r="V37" i="2"/>
  <c r="Y37" i="2"/>
  <c r="P37" i="2"/>
  <c r="D22" i="2"/>
  <c r="C77" i="3"/>
  <c r="L5" i="1"/>
  <c r="D23" i="2"/>
  <c r="D47" i="3"/>
  <c r="L4" i="1"/>
  <c r="C117" i="3"/>
  <c r="C41" i="3"/>
  <c r="C64" i="3"/>
  <c r="C86" i="3"/>
  <c r="C60" i="3"/>
  <c r="C109" i="3"/>
  <c r="C72" i="3"/>
  <c r="C43" i="3"/>
  <c r="C127" i="3"/>
  <c r="C96" i="3"/>
  <c r="C124" i="3"/>
  <c r="C173" i="3"/>
  <c r="C182" i="3"/>
  <c r="C136" i="3"/>
  <c r="C190" i="3"/>
  <c r="C191" i="3"/>
  <c r="C160" i="3"/>
  <c r="C164" i="3"/>
  <c r="C45" i="3"/>
  <c r="C54" i="3"/>
  <c r="C31" i="3"/>
  <c r="C192" i="3"/>
  <c r="C44" i="3"/>
  <c r="C108" i="3"/>
  <c r="C61" i="3"/>
  <c r="C125" i="3"/>
  <c r="C189" i="3"/>
  <c r="C70" i="3"/>
  <c r="C198" i="3"/>
  <c r="C79" i="3"/>
  <c r="C207" i="3"/>
  <c r="C80" i="3"/>
  <c r="C144" i="3"/>
  <c r="C208" i="3"/>
  <c r="C82" i="3"/>
  <c r="C210" i="3"/>
  <c r="C179" i="3"/>
  <c r="C171" i="3"/>
  <c r="C52" i="3"/>
  <c r="C116" i="3"/>
  <c r="C180" i="3"/>
  <c r="C133" i="3"/>
  <c r="C197" i="3"/>
  <c r="C78" i="3"/>
  <c r="C142" i="3"/>
  <c r="C206" i="3"/>
  <c r="C87" i="3"/>
  <c r="C151" i="3"/>
  <c r="C88" i="3"/>
  <c r="C152" i="3"/>
  <c r="C33" i="3"/>
  <c r="C161" i="3"/>
  <c r="C98" i="3"/>
  <c r="C35" i="3"/>
  <c r="C195" i="3"/>
  <c r="C68" i="3"/>
  <c r="C132" i="3"/>
  <c r="C196" i="3"/>
  <c r="C85" i="3"/>
  <c r="C149" i="3"/>
  <c r="C23" i="3"/>
  <c r="C30" i="3"/>
  <c r="C94" i="3"/>
  <c r="C158" i="3"/>
  <c r="C39" i="3"/>
  <c r="C103" i="3"/>
  <c r="C167" i="3"/>
  <c r="C40" i="3"/>
  <c r="C104" i="3"/>
  <c r="C168" i="3"/>
  <c r="C57" i="3"/>
  <c r="C185" i="3"/>
  <c r="C122" i="3"/>
  <c r="C59" i="3"/>
  <c r="C76" i="3"/>
  <c r="C140" i="3"/>
  <c r="C204" i="3"/>
  <c r="C29" i="3"/>
  <c r="C93" i="3"/>
  <c r="C157" i="3"/>
  <c r="C38" i="3"/>
  <c r="C102" i="3"/>
  <c r="C166" i="3"/>
  <c r="C47" i="3"/>
  <c r="C111" i="3"/>
  <c r="C175" i="3"/>
  <c r="C48" i="3"/>
  <c r="C112" i="3"/>
  <c r="C176" i="3"/>
  <c r="C81" i="3"/>
  <c r="C209" i="3"/>
  <c r="C146" i="3"/>
  <c r="C83" i="3"/>
  <c r="C84" i="3"/>
  <c r="C148" i="3"/>
  <c r="C212" i="3"/>
  <c r="C37" i="3"/>
  <c r="C101" i="3"/>
  <c r="C165" i="3"/>
  <c r="C46" i="3"/>
  <c r="C110" i="3"/>
  <c r="C174" i="3"/>
  <c r="C55" i="3"/>
  <c r="C119" i="3"/>
  <c r="C183" i="3"/>
  <c r="C56" i="3"/>
  <c r="C120" i="3"/>
  <c r="C184" i="3"/>
  <c r="C97" i="3"/>
  <c r="C34" i="3"/>
  <c r="C162" i="3"/>
  <c r="C107" i="3"/>
  <c r="C99" i="3"/>
  <c r="C123" i="3"/>
  <c r="C49" i="3"/>
  <c r="C113" i="3"/>
  <c r="C177" i="3"/>
  <c r="C50" i="3"/>
  <c r="C114" i="3"/>
  <c r="C178" i="3"/>
  <c r="C51" i="3"/>
  <c r="C115" i="3"/>
  <c r="C187" i="3"/>
  <c r="C65" i="3"/>
  <c r="C129" i="3"/>
  <c r="C193" i="3"/>
  <c r="C66" i="3"/>
  <c r="C130" i="3"/>
  <c r="C194" i="3"/>
  <c r="C67" i="3"/>
  <c r="C131" i="3"/>
  <c r="C203" i="3"/>
  <c r="C73" i="3"/>
  <c r="C137" i="3"/>
  <c r="C201" i="3"/>
  <c r="C74" i="3"/>
  <c r="C138" i="3"/>
  <c r="C202" i="3"/>
  <c r="C75" i="3"/>
  <c r="C139" i="3"/>
  <c r="C211" i="3"/>
  <c r="C25" i="3"/>
  <c r="C89" i="3"/>
  <c r="C153" i="3"/>
  <c r="C26" i="3"/>
  <c r="C90" i="3"/>
  <c r="C154" i="3"/>
  <c r="C27" i="3"/>
  <c r="C91" i="3"/>
  <c r="C155" i="3"/>
  <c r="C163" i="3"/>
  <c r="S40" i="2"/>
  <c r="R38" i="2"/>
  <c r="R39" i="2"/>
  <c r="R40" i="2"/>
  <c r="U36" i="2"/>
  <c r="U37" i="2"/>
  <c r="U38" i="2"/>
  <c r="U39" i="2"/>
  <c r="X37" i="2"/>
  <c r="P41" i="2"/>
  <c r="P40" i="2"/>
  <c r="V41" i="2"/>
  <c r="V40" i="2"/>
  <c r="Y41" i="2"/>
  <c r="Y40" i="2"/>
  <c r="C188" i="3"/>
  <c r="C32" i="3"/>
  <c r="C150" i="3"/>
  <c r="C186" i="3"/>
  <c r="C71" i="3"/>
  <c r="C199" i="3"/>
  <c r="C42" i="3"/>
  <c r="C105" i="3"/>
  <c r="C169" i="3"/>
  <c r="C128" i="3"/>
  <c r="C24" i="3"/>
  <c r="C69" i="3"/>
  <c r="C145" i="3"/>
  <c r="C134" i="3"/>
  <c r="C106" i="3"/>
  <c r="C58" i="3"/>
  <c r="C159" i="3"/>
  <c r="C126" i="3"/>
  <c r="C200" i="3"/>
  <c r="C63" i="3"/>
  <c r="C36" i="3"/>
  <c r="C53" i="3"/>
  <c r="C181" i="3"/>
  <c r="C147" i="3"/>
  <c r="C95" i="3"/>
  <c r="C135" i="3"/>
  <c r="C100" i="3"/>
  <c r="C143" i="3"/>
  <c r="C172" i="3"/>
  <c r="C205" i="3"/>
  <c r="C156" i="3"/>
  <c r="C121" i="3"/>
  <c r="C118" i="3"/>
  <c r="C170" i="3"/>
  <c r="C28" i="3"/>
  <c r="C92" i="3"/>
  <c r="C141" i="3"/>
  <c r="C62" i="3"/>
  <c r="U40" i="2"/>
  <c r="X38" i="2"/>
  <c r="X39" i="2"/>
  <c r="X40" i="2"/>
  <c r="AA37" i="2"/>
  <c r="X41" i="2"/>
  <c r="AA41" i="2"/>
  <c r="AA38" i="2"/>
  <c r="AA39" i="2"/>
  <c r="AA40" i="2"/>
  <c r="D17" i="3"/>
  <c r="C4" i="1"/>
  <c r="H9" i="2"/>
  <c r="H12" i="2"/>
  <c r="H23" i="3"/>
  <c r="H28" i="3"/>
  <c r="H36" i="3"/>
  <c r="H44" i="3"/>
  <c r="H52" i="3"/>
  <c r="H60" i="3"/>
  <c r="H68" i="3"/>
  <c r="H76" i="3"/>
  <c r="H84" i="3"/>
  <c r="H92" i="3"/>
  <c r="H100" i="3"/>
  <c r="H108" i="3"/>
  <c r="H116" i="3"/>
  <c r="H124" i="3"/>
  <c r="H132" i="3"/>
  <c r="H140" i="3"/>
  <c r="H148" i="3"/>
  <c r="H156" i="3"/>
  <c r="H164" i="3"/>
  <c r="H172" i="3"/>
  <c r="H180" i="3"/>
  <c r="H188" i="3"/>
  <c r="H196" i="3"/>
  <c r="H204" i="3"/>
  <c r="H212" i="3"/>
  <c r="H206" i="3"/>
  <c r="H39" i="3"/>
  <c r="H71" i="3"/>
  <c r="H111" i="3"/>
  <c r="H127" i="3"/>
  <c r="H167" i="3"/>
  <c r="H191" i="3"/>
  <c r="H207" i="3"/>
  <c r="H25" i="3"/>
  <c r="H65" i="3"/>
  <c r="H89" i="3"/>
  <c r="H129" i="3"/>
  <c r="H161" i="3"/>
  <c r="H193" i="3"/>
  <c r="H42" i="3"/>
  <c r="H66" i="3"/>
  <c r="H90" i="3"/>
  <c r="H114" i="3"/>
  <c r="H138" i="3"/>
  <c r="H170" i="3"/>
  <c r="H202" i="3"/>
  <c r="H29" i="3"/>
  <c r="H37" i="3"/>
  <c r="H45" i="3"/>
  <c r="H53" i="3"/>
  <c r="H61" i="3"/>
  <c r="H69" i="3"/>
  <c r="H77" i="3"/>
  <c r="H85" i="3"/>
  <c r="H93" i="3"/>
  <c r="H101" i="3"/>
  <c r="H109" i="3"/>
  <c r="H117" i="3"/>
  <c r="H125" i="3"/>
  <c r="H133" i="3"/>
  <c r="H141" i="3"/>
  <c r="H149" i="3"/>
  <c r="H157" i="3"/>
  <c r="H165" i="3"/>
  <c r="H173" i="3"/>
  <c r="H181" i="3"/>
  <c r="H189" i="3"/>
  <c r="H197" i="3"/>
  <c r="H205" i="3"/>
  <c r="H31" i="3"/>
  <c r="H79" i="3"/>
  <c r="H103" i="3"/>
  <c r="H135" i="3"/>
  <c r="H159" i="3"/>
  <c r="H183" i="3"/>
  <c r="H49" i="3"/>
  <c r="H81" i="3"/>
  <c r="H113" i="3"/>
  <c r="H153" i="3"/>
  <c r="H185" i="3"/>
  <c r="H50" i="3"/>
  <c r="H74" i="3"/>
  <c r="H98" i="3"/>
  <c r="H122" i="3"/>
  <c r="H146" i="3"/>
  <c r="H178" i="3"/>
  <c r="H210" i="3"/>
  <c r="H30" i="3"/>
  <c r="H38" i="3"/>
  <c r="H46" i="3"/>
  <c r="H54" i="3"/>
  <c r="H62" i="3"/>
  <c r="H70" i="3"/>
  <c r="H78" i="3"/>
  <c r="H86" i="3"/>
  <c r="H94" i="3"/>
  <c r="H102" i="3"/>
  <c r="H110" i="3"/>
  <c r="H118" i="3"/>
  <c r="H126" i="3"/>
  <c r="H134" i="3"/>
  <c r="H142" i="3"/>
  <c r="H150" i="3"/>
  <c r="H158" i="3"/>
  <c r="H166" i="3"/>
  <c r="H174" i="3"/>
  <c r="H182" i="3"/>
  <c r="H190" i="3"/>
  <c r="H198" i="3"/>
  <c r="H47" i="3"/>
  <c r="H63" i="3"/>
  <c r="H95" i="3"/>
  <c r="H119" i="3"/>
  <c r="H143" i="3"/>
  <c r="H175" i="3"/>
  <c r="H199" i="3"/>
  <c r="H208" i="3"/>
  <c r="H57" i="3"/>
  <c r="H97" i="3"/>
  <c r="H145" i="3"/>
  <c r="H177" i="3"/>
  <c r="H106" i="3"/>
  <c r="H186" i="3"/>
  <c r="H24" i="3"/>
  <c r="H55" i="3"/>
  <c r="H87" i="3"/>
  <c r="H151" i="3"/>
  <c r="H41" i="3"/>
  <c r="H121" i="3"/>
  <c r="H209" i="3"/>
  <c r="H34" i="3"/>
  <c r="H154" i="3"/>
  <c r="H32" i="3"/>
  <c r="H40" i="3"/>
  <c r="H48" i="3"/>
  <c r="H56" i="3"/>
  <c r="H64" i="3"/>
  <c r="H72" i="3"/>
  <c r="H80" i="3"/>
  <c r="H88" i="3"/>
  <c r="H96" i="3"/>
  <c r="H104" i="3"/>
  <c r="H112" i="3"/>
  <c r="H120" i="3"/>
  <c r="H128" i="3"/>
  <c r="H136" i="3"/>
  <c r="H144" i="3"/>
  <c r="H152" i="3"/>
  <c r="H160" i="3"/>
  <c r="H168" i="3"/>
  <c r="H176" i="3"/>
  <c r="H184" i="3"/>
  <c r="H192" i="3"/>
  <c r="H200" i="3"/>
  <c r="H33" i="3"/>
  <c r="H73" i="3"/>
  <c r="H105" i="3"/>
  <c r="H137" i="3"/>
  <c r="H169" i="3"/>
  <c r="H201" i="3"/>
  <c r="H26" i="3"/>
  <c r="H58" i="3"/>
  <c r="H82" i="3"/>
  <c r="H130" i="3"/>
  <c r="H162" i="3"/>
  <c r="H194" i="3"/>
  <c r="H67" i="3"/>
  <c r="H131" i="3"/>
  <c r="H195" i="3"/>
  <c r="H75" i="3"/>
  <c r="H203" i="3"/>
  <c r="H43" i="3"/>
  <c r="H179" i="3"/>
  <c r="H139" i="3"/>
  <c r="H115" i="3"/>
  <c r="H187" i="3"/>
  <c r="H83" i="3"/>
  <c r="H147" i="3"/>
  <c r="H211" i="3"/>
  <c r="H155" i="3"/>
  <c r="H35" i="3"/>
  <c r="H171" i="3"/>
  <c r="H123" i="3"/>
  <c r="H27" i="3"/>
  <c r="H91" i="3"/>
  <c r="H99" i="3"/>
  <c r="H163" i="3"/>
  <c r="H107" i="3"/>
  <c r="H51" i="3"/>
  <c r="H59" i="3"/>
  <c r="D8" i="2"/>
  <c r="D9" i="2"/>
  <c r="D10" i="2"/>
  <c r="D11" i="2"/>
  <c r="D7" i="2"/>
  <c r="H13" i="2"/>
  <c r="B7" i="2"/>
  <c r="F7" i="2"/>
  <c r="D18" i="2"/>
  <c r="B11" i="2"/>
  <c r="F11" i="2"/>
  <c r="D17" i="2"/>
  <c r="F10" i="2"/>
  <c r="B10" i="2"/>
  <c r="D16" i="2"/>
  <c r="F9" i="2"/>
  <c r="B9" i="2"/>
  <c r="D15" i="2"/>
  <c r="F8" i="2"/>
  <c r="B8" i="2"/>
  <c r="L9" i="2"/>
  <c r="L11" i="2"/>
  <c r="D14" i="2"/>
  <c r="E52" i="3"/>
  <c r="F52" i="3"/>
  <c r="D29" i="3"/>
  <c r="F29" i="3"/>
  <c r="D37" i="3"/>
  <c r="F37" i="3"/>
  <c r="D45" i="3"/>
  <c r="F45" i="3"/>
  <c r="D30" i="3"/>
  <c r="F30" i="3"/>
  <c r="D38" i="3"/>
  <c r="F38" i="3"/>
  <c r="D46" i="3"/>
  <c r="F46" i="3"/>
  <c r="D31" i="3"/>
  <c r="F31" i="3"/>
  <c r="D39" i="3"/>
  <c r="F39" i="3"/>
  <c r="F47" i="3"/>
  <c r="D24" i="3"/>
  <c r="F24" i="3"/>
  <c r="D32" i="3"/>
  <c r="F32" i="3"/>
  <c r="D40" i="3"/>
  <c r="F40" i="3"/>
  <c r="D23" i="3"/>
  <c r="F23" i="3"/>
  <c r="D25" i="3"/>
  <c r="F25" i="3"/>
  <c r="D33" i="3"/>
  <c r="F33" i="3"/>
  <c r="D41" i="3"/>
  <c r="F41" i="3"/>
  <c r="D26" i="3"/>
  <c r="F26" i="3"/>
  <c r="D34" i="3"/>
  <c r="F34" i="3"/>
  <c r="D42" i="3"/>
  <c r="D27" i="3"/>
  <c r="F27" i="3"/>
  <c r="D35" i="3"/>
  <c r="F35" i="3"/>
  <c r="D43" i="3"/>
  <c r="F43" i="3"/>
  <c r="D28" i="3"/>
  <c r="F28" i="3"/>
  <c r="D36" i="3"/>
  <c r="F36" i="3"/>
  <c r="D44" i="3"/>
  <c r="F44" i="3"/>
  <c r="E55" i="3"/>
  <c r="F55" i="3"/>
  <c r="L55" i="3"/>
  <c r="E48" i="3"/>
  <c r="F48" i="3"/>
  <c r="I48" i="3"/>
  <c r="E76" i="3"/>
  <c r="F76" i="3"/>
  <c r="E62" i="3"/>
  <c r="F62" i="3"/>
  <c r="I62" i="3"/>
  <c r="E56" i="3"/>
  <c r="F56" i="3"/>
  <c r="I56" i="3"/>
  <c r="E73" i="3"/>
  <c r="F73" i="3"/>
  <c r="E77" i="3"/>
  <c r="F77" i="3"/>
  <c r="E68" i="3"/>
  <c r="F68" i="3"/>
  <c r="E65" i="3"/>
  <c r="F65" i="3"/>
  <c r="E69" i="3"/>
  <c r="F69" i="3"/>
  <c r="E54" i="3"/>
  <c r="F54" i="3"/>
  <c r="L54" i="3"/>
  <c r="E59" i="3"/>
  <c r="F59" i="3"/>
  <c r="L59" i="3"/>
  <c r="E67" i="3"/>
  <c r="F67" i="3"/>
  <c r="E79" i="3"/>
  <c r="F79" i="3"/>
  <c r="E61" i="3"/>
  <c r="F61" i="3"/>
  <c r="I61" i="3"/>
  <c r="E71" i="3"/>
  <c r="F71" i="3"/>
  <c r="E74" i="3"/>
  <c r="F74" i="3"/>
  <c r="E57" i="3"/>
  <c r="F57" i="3"/>
  <c r="I57" i="3"/>
  <c r="E60" i="3"/>
  <c r="F60" i="3"/>
  <c r="L60" i="3"/>
  <c r="E78" i="3"/>
  <c r="F78" i="3"/>
  <c r="E66" i="3"/>
  <c r="F66" i="3"/>
  <c r="E53" i="3"/>
  <c r="F53" i="3"/>
  <c r="I53" i="3"/>
  <c r="E51" i="3"/>
  <c r="F51" i="3"/>
  <c r="I51" i="3"/>
  <c r="E63" i="3"/>
  <c r="F63" i="3"/>
  <c r="E64" i="3"/>
  <c r="F64" i="3"/>
  <c r="E70" i="3"/>
  <c r="F70" i="3"/>
  <c r="E50" i="3"/>
  <c r="F50" i="3"/>
  <c r="I50" i="3"/>
  <c r="E72" i="3"/>
  <c r="F72" i="3"/>
  <c r="E58" i="3"/>
  <c r="F58" i="3"/>
  <c r="I58" i="3"/>
  <c r="E80" i="3"/>
  <c r="F80" i="3"/>
  <c r="E75" i="3"/>
  <c r="F75" i="3"/>
  <c r="E49" i="3"/>
  <c r="F49" i="3"/>
  <c r="I49" i="3"/>
  <c r="F42" i="3"/>
  <c r="I42" i="3"/>
  <c r="I47" i="3"/>
  <c r="L47" i="3"/>
  <c r="L23" i="3"/>
  <c r="I23" i="3"/>
  <c r="J23" i="3"/>
  <c r="K23" i="3"/>
  <c r="I52" i="3"/>
  <c r="L52" i="3"/>
  <c r="I39" i="3"/>
  <c r="L39" i="3"/>
  <c r="I29" i="3"/>
  <c r="L29" i="3"/>
  <c r="I24" i="3"/>
  <c r="L24" i="3"/>
  <c r="I44" i="3"/>
  <c r="L44" i="3"/>
  <c r="I26" i="3"/>
  <c r="L26" i="3"/>
  <c r="I38" i="3"/>
  <c r="L38" i="3"/>
  <c r="I32" i="3"/>
  <c r="L32" i="3"/>
  <c r="I41" i="3"/>
  <c r="L41" i="3"/>
  <c r="I35" i="3"/>
  <c r="L35" i="3"/>
  <c r="I36" i="3"/>
  <c r="L36" i="3"/>
  <c r="I43" i="3"/>
  <c r="L43" i="3"/>
  <c r="I46" i="3"/>
  <c r="L46" i="3"/>
  <c r="I40" i="3"/>
  <c r="L40" i="3"/>
  <c r="I30" i="3"/>
  <c r="L30" i="3"/>
  <c r="I33" i="3"/>
  <c r="L33" i="3"/>
  <c r="I45" i="3"/>
  <c r="L45" i="3"/>
  <c r="I28" i="3"/>
  <c r="L28" i="3"/>
  <c r="I31" i="3"/>
  <c r="L31" i="3"/>
  <c r="I37" i="3"/>
  <c r="L37" i="3"/>
  <c r="I27" i="3"/>
  <c r="L27" i="3"/>
  <c r="I25" i="3"/>
  <c r="L25" i="3"/>
  <c r="I34" i="3"/>
  <c r="L34" i="3"/>
  <c r="I60" i="3"/>
  <c r="I55" i="3"/>
  <c r="L62" i="3"/>
  <c r="I59" i="3"/>
  <c r="I54" i="3"/>
  <c r="L48" i="3"/>
  <c r="L57" i="3"/>
  <c r="L56" i="3"/>
  <c r="L51" i="3"/>
  <c r="L61" i="3"/>
  <c r="L53" i="3"/>
  <c r="L50" i="3"/>
  <c r="L58" i="3"/>
  <c r="L49" i="3"/>
  <c r="L42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E188" i="3"/>
  <c r="F188" i="3"/>
  <c r="E196" i="3"/>
  <c r="F196" i="3"/>
  <c r="E204" i="3"/>
  <c r="F204" i="3"/>
  <c r="E212" i="3"/>
  <c r="F212" i="3"/>
  <c r="E187" i="3"/>
  <c r="F187" i="3"/>
  <c r="E181" i="3"/>
  <c r="F181" i="3"/>
  <c r="E189" i="3"/>
  <c r="F189" i="3"/>
  <c r="E197" i="3"/>
  <c r="F197" i="3"/>
  <c r="E205" i="3"/>
  <c r="F205" i="3"/>
  <c r="E180" i="3"/>
  <c r="F180" i="3"/>
  <c r="E203" i="3"/>
  <c r="F203" i="3"/>
  <c r="E182" i="3"/>
  <c r="F182" i="3"/>
  <c r="E190" i="3"/>
  <c r="F190" i="3"/>
  <c r="E198" i="3"/>
  <c r="F198" i="3"/>
  <c r="E206" i="3"/>
  <c r="F206" i="3"/>
  <c r="E202" i="3"/>
  <c r="F202" i="3"/>
  <c r="E183" i="3"/>
  <c r="F183" i="3"/>
  <c r="E191" i="3"/>
  <c r="F191" i="3"/>
  <c r="E199" i="3"/>
  <c r="F199" i="3"/>
  <c r="E207" i="3"/>
  <c r="F207" i="3"/>
  <c r="E194" i="3"/>
  <c r="F194" i="3"/>
  <c r="E211" i="3"/>
  <c r="F211" i="3"/>
  <c r="E184" i="3"/>
  <c r="F184" i="3"/>
  <c r="E192" i="3"/>
  <c r="F192" i="3"/>
  <c r="E200" i="3"/>
  <c r="F200" i="3"/>
  <c r="E208" i="3"/>
  <c r="F208" i="3"/>
  <c r="E210" i="3"/>
  <c r="F210" i="3"/>
  <c r="E185" i="3"/>
  <c r="F185" i="3"/>
  <c r="E193" i="3"/>
  <c r="F193" i="3"/>
  <c r="E201" i="3"/>
  <c r="F201" i="3"/>
  <c r="E209" i="3"/>
  <c r="F209" i="3"/>
  <c r="E186" i="3"/>
  <c r="F186" i="3"/>
  <c r="E195" i="3"/>
  <c r="F195" i="3"/>
  <c r="E86" i="3"/>
  <c r="F86" i="3"/>
  <c r="E94" i="3"/>
  <c r="F94" i="3"/>
  <c r="E102" i="3"/>
  <c r="F102" i="3"/>
  <c r="E110" i="3"/>
  <c r="F110" i="3"/>
  <c r="E87" i="3"/>
  <c r="F87" i="3"/>
  <c r="E95" i="3"/>
  <c r="F95" i="3"/>
  <c r="E103" i="3"/>
  <c r="F103" i="3"/>
  <c r="E111" i="3"/>
  <c r="F111" i="3"/>
  <c r="E93" i="3"/>
  <c r="F93" i="3"/>
  <c r="E85" i="3"/>
  <c r="F85" i="3"/>
  <c r="E109" i="3"/>
  <c r="F109" i="3"/>
  <c r="E88" i="3"/>
  <c r="F88" i="3"/>
  <c r="E96" i="3"/>
  <c r="F96" i="3"/>
  <c r="E104" i="3"/>
  <c r="F104" i="3"/>
  <c r="E112" i="3"/>
  <c r="F112" i="3"/>
  <c r="E92" i="3"/>
  <c r="F92" i="3"/>
  <c r="E89" i="3"/>
  <c r="F89" i="3"/>
  <c r="E97" i="3"/>
  <c r="F97" i="3"/>
  <c r="E105" i="3"/>
  <c r="F105" i="3"/>
  <c r="E113" i="3"/>
  <c r="F113" i="3"/>
  <c r="E108" i="3"/>
  <c r="F108" i="3"/>
  <c r="E101" i="3"/>
  <c r="F101" i="3"/>
  <c r="E82" i="3"/>
  <c r="F82" i="3"/>
  <c r="E90" i="3"/>
  <c r="F90" i="3"/>
  <c r="E98" i="3"/>
  <c r="F98" i="3"/>
  <c r="E106" i="3"/>
  <c r="F106" i="3"/>
  <c r="E81" i="3"/>
  <c r="F81" i="3"/>
  <c r="E100" i="3"/>
  <c r="F100" i="3"/>
  <c r="E83" i="3"/>
  <c r="F83" i="3"/>
  <c r="E91" i="3"/>
  <c r="F91" i="3"/>
  <c r="E99" i="3"/>
  <c r="F99" i="3"/>
  <c r="E107" i="3"/>
  <c r="F107" i="3"/>
  <c r="E84" i="3"/>
  <c r="F84" i="3"/>
  <c r="E120" i="3"/>
  <c r="F120" i="3"/>
  <c r="E128" i="3"/>
  <c r="F128" i="3"/>
  <c r="E136" i="3"/>
  <c r="F136" i="3"/>
  <c r="E144" i="3"/>
  <c r="F144" i="3"/>
  <c r="E121" i="3"/>
  <c r="F121" i="3"/>
  <c r="E129" i="3"/>
  <c r="F129" i="3"/>
  <c r="E137" i="3"/>
  <c r="F137" i="3"/>
  <c r="E127" i="3"/>
  <c r="F127" i="3"/>
  <c r="E145" i="3"/>
  <c r="F145" i="3"/>
  <c r="E119" i="3"/>
  <c r="F119" i="3"/>
  <c r="E122" i="3"/>
  <c r="F122" i="3"/>
  <c r="E130" i="3"/>
  <c r="F130" i="3"/>
  <c r="E138" i="3"/>
  <c r="F138" i="3"/>
  <c r="E146" i="3"/>
  <c r="F146" i="3"/>
  <c r="E134" i="3"/>
  <c r="F134" i="3"/>
  <c r="E115" i="3"/>
  <c r="F115" i="3"/>
  <c r="E123" i="3"/>
  <c r="F123" i="3"/>
  <c r="E131" i="3"/>
  <c r="F131" i="3"/>
  <c r="E139" i="3"/>
  <c r="F139" i="3"/>
  <c r="E114" i="3"/>
  <c r="F114" i="3"/>
  <c r="E118" i="3"/>
  <c r="F118" i="3"/>
  <c r="E142" i="3"/>
  <c r="F142" i="3"/>
  <c r="E135" i="3"/>
  <c r="F135" i="3"/>
  <c r="E116" i="3"/>
  <c r="F116" i="3"/>
  <c r="E124" i="3"/>
  <c r="F124" i="3"/>
  <c r="E132" i="3"/>
  <c r="F132" i="3"/>
  <c r="E140" i="3"/>
  <c r="F140" i="3"/>
  <c r="E117" i="3"/>
  <c r="F117" i="3"/>
  <c r="E125" i="3"/>
  <c r="F125" i="3"/>
  <c r="E133" i="3"/>
  <c r="F133" i="3"/>
  <c r="E141" i="3"/>
  <c r="F141" i="3"/>
  <c r="E126" i="3"/>
  <c r="F126" i="3"/>
  <c r="E143" i="3"/>
  <c r="F143" i="3"/>
  <c r="E154" i="3"/>
  <c r="F154" i="3"/>
  <c r="E162" i="3"/>
  <c r="F162" i="3"/>
  <c r="E170" i="3"/>
  <c r="F170" i="3"/>
  <c r="E178" i="3"/>
  <c r="F178" i="3"/>
  <c r="E179" i="3"/>
  <c r="F179" i="3"/>
  <c r="E155" i="3"/>
  <c r="F155" i="3"/>
  <c r="E163" i="3"/>
  <c r="F163" i="3"/>
  <c r="E171" i="3"/>
  <c r="F171" i="3"/>
  <c r="E148" i="3"/>
  <c r="F148" i="3"/>
  <c r="E156" i="3"/>
  <c r="F156" i="3"/>
  <c r="E164" i="3"/>
  <c r="F164" i="3"/>
  <c r="E172" i="3"/>
  <c r="F172" i="3"/>
  <c r="E147" i="3"/>
  <c r="F147" i="3"/>
  <c r="E176" i="3"/>
  <c r="F176" i="3"/>
  <c r="E153" i="3"/>
  <c r="F153" i="3"/>
  <c r="E149" i="3"/>
  <c r="F149" i="3"/>
  <c r="E157" i="3"/>
  <c r="F157" i="3"/>
  <c r="E165" i="3"/>
  <c r="F165" i="3"/>
  <c r="E173" i="3"/>
  <c r="F173" i="3"/>
  <c r="E152" i="3"/>
  <c r="F152" i="3"/>
  <c r="E160" i="3"/>
  <c r="F160" i="3"/>
  <c r="E169" i="3"/>
  <c r="F169" i="3"/>
  <c r="E150" i="3"/>
  <c r="F150" i="3"/>
  <c r="E158" i="3"/>
  <c r="F158" i="3"/>
  <c r="E166" i="3"/>
  <c r="F166" i="3"/>
  <c r="E174" i="3"/>
  <c r="F174" i="3"/>
  <c r="E161" i="3"/>
  <c r="F161" i="3"/>
  <c r="E151" i="3"/>
  <c r="F151" i="3"/>
  <c r="E159" i="3"/>
  <c r="F159" i="3"/>
  <c r="E167" i="3"/>
  <c r="F167" i="3"/>
  <c r="E175" i="3"/>
  <c r="F175" i="3"/>
  <c r="E168" i="3"/>
  <c r="F168" i="3"/>
  <c r="E177" i="3"/>
  <c r="F177" i="3"/>
  <c r="I211" i="3"/>
  <c r="L211" i="3"/>
  <c r="I206" i="3"/>
  <c r="L206" i="3"/>
  <c r="L207" i="3"/>
  <c r="I207" i="3"/>
  <c r="I212" i="3"/>
  <c r="L212" i="3"/>
  <c r="L210" i="3"/>
  <c r="I210" i="3"/>
  <c r="L203" i="3"/>
  <c r="I203" i="3"/>
  <c r="I204" i="3"/>
  <c r="L204" i="3"/>
  <c r="I208" i="3"/>
  <c r="L208" i="3"/>
  <c r="L209" i="3"/>
  <c r="I209" i="3"/>
  <c r="L205" i="3"/>
  <c r="I205" i="3"/>
  <c r="L103" i="3"/>
  <c r="I103" i="3"/>
  <c r="I143" i="3"/>
  <c r="L143" i="3"/>
  <c r="I183" i="3"/>
  <c r="L183" i="3"/>
  <c r="L83" i="3"/>
  <c r="I83" i="3"/>
  <c r="I163" i="3"/>
  <c r="L163" i="3"/>
  <c r="I123" i="3"/>
  <c r="L123" i="3"/>
  <c r="I63" i="3"/>
  <c r="J63" i="3"/>
  <c r="L63" i="3"/>
  <c r="L144" i="3"/>
  <c r="I144" i="3"/>
  <c r="L124" i="3"/>
  <c r="I124" i="3"/>
  <c r="L164" i="3"/>
  <c r="I164" i="3"/>
  <c r="I104" i="3"/>
  <c r="L104" i="3"/>
  <c r="I64" i="3"/>
  <c r="J64" i="3"/>
  <c r="L64" i="3"/>
  <c r="I84" i="3"/>
  <c r="L84" i="3"/>
  <c r="K63" i="3"/>
  <c r="L184" i="3"/>
  <c r="I184" i="3"/>
  <c r="L85" i="3"/>
  <c r="I85" i="3"/>
  <c r="L125" i="3"/>
  <c r="I125" i="3"/>
  <c r="I65" i="3"/>
  <c r="J65" i="3"/>
  <c r="L65" i="3"/>
  <c r="L105" i="3"/>
  <c r="I105" i="3"/>
  <c r="I185" i="3"/>
  <c r="L185" i="3"/>
  <c r="L165" i="3"/>
  <c r="I165" i="3"/>
  <c r="K64" i="3"/>
  <c r="L145" i="3"/>
  <c r="I145" i="3"/>
  <c r="L106" i="3"/>
  <c r="I106" i="3"/>
  <c r="I66" i="3"/>
  <c r="J66" i="3"/>
  <c r="L66" i="3"/>
  <c r="L146" i="3"/>
  <c r="I146" i="3"/>
  <c r="I166" i="3"/>
  <c r="L166" i="3"/>
  <c r="L86" i="3"/>
  <c r="I86" i="3"/>
  <c r="K65" i="3"/>
  <c r="L126" i="3"/>
  <c r="I126" i="3"/>
  <c r="I186" i="3"/>
  <c r="L186" i="3"/>
  <c r="L67" i="3"/>
  <c r="I67" i="3"/>
  <c r="J67" i="3"/>
  <c r="I107" i="3"/>
  <c r="L107" i="3"/>
  <c r="I127" i="3"/>
  <c r="L127" i="3"/>
  <c r="K66" i="3"/>
  <c r="I167" i="3"/>
  <c r="L167" i="3"/>
  <c r="I147" i="3"/>
  <c r="L147" i="3"/>
  <c r="I187" i="3"/>
  <c r="L187" i="3"/>
  <c r="L87" i="3"/>
  <c r="I87" i="3"/>
  <c r="L128" i="3"/>
  <c r="I128" i="3"/>
  <c r="I188" i="3"/>
  <c r="L188" i="3"/>
  <c r="I88" i="3"/>
  <c r="L88" i="3"/>
  <c r="I108" i="3"/>
  <c r="L108" i="3"/>
  <c r="L148" i="3"/>
  <c r="I148" i="3"/>
  <c r="I68" i="3"/>
  <c r="J68" i="3"/>
  <c r="L68" i="3"/>
  <c r="K67" i="3"/>
  <c r="L168" i="3"/>
  <c r="I168" i="3"/>
  <c r="I189" i="3"/>
  <c r="L189" i="3"/>
  <c r="L129" i="3"/>
  <c r="I129" i="3"/>
  <c r="I109" i="3"/>
  <c r="L109" i="3"/>
  <c r="I149" i="3"/>
  <c r="L149" i="3"/>
  <c r="K68" i="3"/>
  <c r="L169" i="3"/>
  <c r="I169" i="3"/>
  <c r="I89" i="3"/>
  <c r="L89" i="3"/>
  <c r="I69" i="3"/>
  <c r="J69" i="3"/>
  <c r="L69" i="3"/>
  <c r="L70" i="3"/>
  <c r="I70" i="3"/>
  <c r="J70" i="3"/>
  <c r="L150" i="3"/>
  <c r="I150" i="3"/>
  <c r="L90" i="3"/>
  <c r="I90" i="3"/>
  <c r="L170" i="3"/>
  <c r="I170" i="3"/>
  <c r="L130" i="3"/>
  <c r="I130" i="3"/>
  <c r="K69" i="3"/>
  <c r="L110" i="3"/>
  <c r="I110" i="3"/>
  <c r="L190" i="3"/>
  <c r="I190" i="3"/>
  <c r="L191" i="3"/>
  <c r="I191" i="3"/>
  <c r="L171" i="3"/>
  <c r="I171" i="3"/>
  <c r="L111" i="3"/>
  <c r="I111" i="3"/>
  <c r="I71" i="3"/>
  <c r="J71" i="3"/>
  <c r="L71" i="3"/>
  <c r="I151" i="3"/>
  <c r="L151" i="3"/>
  <c r="L131" i="3"/>
  <c r="I131" i="3"/>
  <c r="K70" i="3"/>
  <c r="L91" i="3"/>
  <c r="I91" i="3"/>
  <c r="L192" i="3"/>
  <c r="I192" i="3"/>
  <c r="L112" i="3"/>
  <c r="I112" i="3"/>
  <c r="L152" i="3"/>
  <c r="I152" i="3"/>
  <c r="L72" i="3"/>
  <c r="I72" i="3"/>
  <c r="J72" i="3"/>
  <c r="L132" i="3"/>
  <c r="I132" i="3"/>
  <c r="I172" i="3"/>
  <c r="L172" i="3"/>
  <c r="L92" i="3"/>
  <c r="I92" i="3"/>
  <c r="K71" i="3"/>
  <c r="L113" i="3"/>
  <c r="I113" i="3"/>
  <c r="L173" i="3"/>
  <c r="I173" i="3"/>
  <c r="L153" i="3"/>
  <c r="I153" i="3"/>
  <c r="L133" i="3"/>
  <c r="I133" i="3"/>
  <c r="I93" i="3"/>
  <c r="L93" i="3"/>
  <c r="I193" i="3"/>
  <c r="L193" i="3"/>
  <c r="L73" i="3"/>
  <c r="I73" i="3"/>
  <c r="J73" i="3"/>
  <c r="K72" i="3"/>
  <c r="I74" i="3"/>
  <c r="J74" i="3"/>
  <c r="L74" i="3"/>
  <c r="L174" i="3"/>
  <c r="I174" i="3"/>
  <c r="L114" i="3"/>
  <c r="I114" i="3"/>
  <c r="K73" i="3"/>
  <c r="I134" i="3"/>
  <c r="L134" i="3"/>
  <c r="I94" i="3"/>
  <c r="L94" i="3"/>
  <c r="I154" i="3"/>
  <c r="L154" i="3"/>
  <c r="I194" i="3"/>
  <c r="L194" i="3"/>
  <c r="L195" i="3"/>
  <c r="I195" i="3"/>
  <c r="I135" i="3"/>
  <c r="L135" i="3"/>
  <c r="K74" i="3"/>
  <c r="I175" i="3"/>
  <c r="L175" i="3"/>
  <c r="I155" i="3"/>
  <c r="L155" i="3"/>
  <c r="L75" i="3"/>
  <c r="I75" i="3"/>
  <c r="J75" i="3"/>
  <c r="I115" i="3"/>
  <c r="L115" i="3"/>
  <c r="L95" i="3"/>
  <c r="I95" i="3"/>
  <c r="L156" i="3"/>
  <c r="I156" i="3"/>
  <c r="L196" i="3"/>
  <c r="I196" i="3"/>
  <c r="K75" i="3"/>
  <c r="I136" i="3"/>
  <c r="L136" i="3"/>
  <c r="L176" i="3"/>
  <c r="I176" i="3"/>
  <c r="I116" i="3"/>
  <c r="L116" i="3"/>
  <c r="I76" i="3"/>
  <c r="J76" i="3"/>
  <c r="L76" i="3"/>
  <c r="I96" i="3"/>
  <c r="L96" i="3"/>
  <c r="L197" i="3"/>
  <c r="I197" i="3"/>
  <c r="L137" i="3"/>
  <c r="I137" i="3"/>
  <c r="K76" i="3"/>
  <c r="L177" i="3"/>
  <c r="I177" i="3"/>
  <c r="I77" i="3"/>
  <c r="J77" i="3"/>
  <c r="L77" i="3"/>
  <c r="L157" i="3"/>
  <c r="I157" i="3"/>
  <c r="I117" i="3"/>
  <c r="L117" i="3"/>
  <c r="I97" i="3"/>
  <c r="L97" i="3"/>
  <c r="I198" i="3"/>
  <c r="L198" i="3"/>
  <c r="K77" i="3"/>
  <c r="I178" i="3"/>
  <c r="L178" i="3"/>
  <c r="I158" i="3"/>
  <c r="L158" i="3"/>
  <c r="L98" i="3"/>
  <c r="I98" i="3"/>
  <c r="L78" i="3"/>
  <c r="I78" i="3"/>
  <c r="J78" i="3"/>
  <c r="I138" i="3"/>
  <c r="L138" i="3"/>
  <c r="L118" i="3"/>
  <c r="I118" i="3"/>
  <c r="I119" i="3"/>
  <c r="L119" i="3"/>
  <c r="L139" i="3"/>
  <c r="I139" i="3"/>
  <c r="L199" i="3"/>
  <c r="I199" i="3"/>
  <c r="I99" i="3"/>
  <c r="L99" i="3"/>
  <c r="I79" i="3"/>
  <c r="J79" i="3"/>
  <c r="L79" i="3"/>
  <c r="K78" i="3"/>
  <c r="I159" i="3"/>
  <c r="L159" i="3"/>
  <c r="L179" i="3"/>
  <c r="I179" i="3"/>
  <c r="K79" i="3"/>
  <c r="I120" i="3"/>
  <c r="L120" i="3"/>
  <c r="L180" i="3"/>
  <c r="I180" i="3"/>
  <c r="I140" i="3"/>
  <c r="L140" i="3"/>
  <c r="L160" i="3"/>
  <c r="I160" i="3"/>
  <c r="L80" i="3"/>
  <c r="I80" i="3"/>
  <c r="J80" i="3"/>
  <c r="I100" i="3"/>
  <c r="L100" i="3"/>
  <c r="I200" i="3"/>
  <c r="L200" i="3"/>
  <c r="L122" i="3"/>
  <c r="I122" i="3"/>
  <c r="L102" i="3"/>
  <c r="I102" i="3"/>
  <c r="I142" i="3"/>
  <c r="L142" i="3"/>
  <c r="I81" i="3"/>
  <c r="J81" i="3"/>
  <c r="L81" i="3"/>
  <c r="L101" i="3"/>
  <c r="I101" i="3"/>
  <c r="L121" i="3"/>
  <c r="I121" i="3"/>
  <c r="I162" i="3"/>
  <c r="L162" i="3"/>
  <c r="L161" i="3"/>
  <c r="I161" i="3"/>
  <c r="L201" i="3"/>
  <c r="I201" i="3"/>
  <c r="L182" i="3"/>
  <c r="I182" i="3"/>
  <c r="L181" i="3"/>
  <c r="I181" i="3"/>
  <c r="K80" i="3"/>
  <c r="I141" i="3"/>
  <c r="L141" i="3"/>
  <c r="L202" i="3"/>
  <c r="I202" i="3"/>
  <c r="H19" i="3"/>
  <c r="I82" i="3"/>
  <c r="L82" i="3"/>
  <c r="N11" i="2"/>
  <c r="I5" i="1"/>
  <c r="I4" i="1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D19" i="3"/>
  <c r="M2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19" i="3"/>
  <c r="K120" i="3"/>
  <c r="K121" i="3"/>
  <c r="K122" i="3"/>
  <c r="K123" i="3"/>
  <c r="K124" i="3"/>
  <c r="K125" i="3"/>
  <c r="K126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K139" i="3"/>
  <c r="K140" i="3"/>
  <c r="K141" i="3"/>
  <c r="K142" i="3"/>
  <c r="K143" i="3"/>
  <c r="K144" i="3"/>
  <c r="K145" i="3"/>
  <c r="K146" i="3"/>
  <c r="K147" i="3"/>
  <c r="K148" i="3"/>
  <c r="K149" i="3"/>
  <c r="K150" i="3"/>
  <c r="K151" i="3"/>
  <c r="K152" i="3"/>
  <c r="K153" i="3"/>
  <c r="K154" i="3"/>
  <c r="K155" i="3"/>
  <c r="K156" i="3"/>
  <c r="K157" i="3"/>
  <c r="K158" i="3"/>
  <c r="K159" i="3"/>
  <c r="K160" i="3"/>
  <c r="K161" i="3"/>
  <c r="K162" i="3"/>
  <c r="K163" i="3"/>
  <c r="K164" i="3"/>
  <c r="K165" i="3"/>
  <c r="K166" i="3"/>
  <c r="K167" i="3"/>
  <c r="K168" i="3"/>
  <c r="K169" i="3"/>
  <c r="K170" i="3"/>
  <c r="K171" i="3"/>
  <c r="K172" i="3"/>
  <c r="K173" i="3"/>
  <c r="K174" i="3"/>
  <c r="K175" i="3"/>
  <c r="K176" i="3"/>
  <c r="K177" i="3"/>
  <c r="K178" i="3"/>
  <c r="K179" i="3"/>
  <c r="K180" i="3"/>
  <c r="K181" i="3"/>
  <c r="K182" i="3"/>
  <c r="K183" i="3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212" i="3"/>
  <c r="D20" i="3"/>
</calcChain>
</file>

<file path=xl/sharedStrings.xml><?xml version="1.0" encoding="utf-8"?>
<sst xmlns="http://schemas.openxmlformats.org/spreadsheetml/2006/main" count="154" uniqueCount="84">
  <si>
    <r>
      <t xml:space="preserve">DADOS DA EMBARCAÇÃO
</t>
    </r>
    <r>
      <rPr>
        <b/>
        <sz val="9"/>
        <color theme="0"/>
        <rFont val="Arial"/>
        <family val="2"/>
      </rPr>
      <t>Navio caixa</t>
    </r>
  </si>
  <si>
    <t>OUTROS DADOS</t>
  </si>
  <si>
    <t>INFORMAÇÕES DE CALADO E DESLOCAMENTO</t>
  </si>
  <si>
    <t>PESOS</t>
  </si>
  <si>
    <t>Comprimento</t>
  </si>
  <si>
    <t>m</t>
  </si>
  <si>
    <t>Densidade da Água</t>
  </si>
  <si>
    <t>t/m³</t>
  </si>
  <si>
    <r>
      <t>Calado T</t>
    </r>
    <r>
      <rPr>
        <b/>
        <vertAlign val="subscript"/>
        <sz val="11"/>
        <color theme="1"/>
        <rFont val="Arial"/>
        <family val="2"/>
      </rPr>
      <t xml:space="preserve"> médio atual</t>
    </r>
  </si>
  <si>
    <t>Casco</t>
  </si>
  <si>
    <t>t</t>
  </si>
  <si>
    <t>Boca</t>
  </si>
  <si>
    <t>Comprimento da Superestrutura</t>
  </si>
  <si>
    <r>
      <t xml:space="preserve">Deslocamento volumétrico </t>
    </r>
    <r>
      <rPr>
        <b/>
        <vertAlign val="subscript"/>
        <sz val="11"/>
        <color theme="1"/>
        <rFont val="Arial"/>
        <family val="2"/>
      </rPr>
      <t>atual</t>
    </r>
  </si>
  <si>
    <t>m³</t>
  </si>
  <si>
    <t>Superestrutura</t>
  </si>
  <si>
    <t>Pontal</t>
  </si>
  <si>
    <t>Coeficiente de seção</t>
  </si>
  <si>
    <t>-</t>
  </si>
  <si>
    <r>
      <t xml:space="preserve">Peso Total </t>
    </r>
    <r>
      <rPr>
        <b/>
        <vertAlign val="subscript"/>
        <sz val="11"/>
        <color theme="1"/>
        <rFont val="Arial"/>
        <family val="2"/>
      </rPr>
      <t>atual</t>
    </r>
  </si>
  <si>
    <t xml:space="preserve">t </t>
  </si>
  <si>
    <t>Acessórios</t>
  </si>
  <si>
    <t>Águas de navegação</t>
  </si>
  <si>
    <t>Carga</t>
  </si>
  <si>
    <t xml:space="preserve"> </t>
  </si>
  <si>
    <t>Condição escolhida</t>
  </si>
  <si>
    <t>Água salgada</t>
  </si>
  <si>
    <t>Petróleo</t>
  </si>
  <si>
    <t>Peso Leve</t>
  </si>
  <si>
    <t>ton</t>
  </si>
  <si>
    <t>Água doce</t>
  </si>
  <si>
    <t>Água</t>
  </si>
  <si>
    <t>Tanques</t>
  </si>
  <si>
    <t>Carregamento</t>
  </si>
  <si>
    <t>tanques</t>
  </si>
  <si>
    <t>Peso Casco</t>
  </si>
  <si>
    <t>Minério de ferro</t>
  </si>
  <si>
    <t>Quantidade</t>
  </si>
  <si>
    <t>Peso Superestrutura</t>
  </si>
  <si>
    <t>Soja</t>
  </si>
  <si>
    <t>Peso Outfit</t>
  </si>
  <si>
    <t>Bauxita</t>
  </si>
  <si>
    <t>Largura</t>
  </si>
  <si>
    <t>Peso Carga</t>
  </si>
  <si>
    <t xml:space="preserve">Altura </t>
  </si>
  <si>
    <t>densidade da carga</t>
  </si>
  <si>
    <t>ton/m³</t>
  </si>
  <si>
    <t>x</t>
  </si>
  <si>
    <t>Capacidades</t>
  </si>
  <si>
    <t>y</t>
  </si>
  <si>
    <t>Peso por metro</t>
  </si>
  <si>
    <t>Capacidade total</t>
  </si>
  <si>
    <t>t/m</t>
  </si>
  <si>
    <t>% de carregamento</t>
  </si>
  <si>
    <t>Outfiting</t>
  </si>
  <si>
    <t>Posição de tanques</t>
  </si>
  <si>
    <t>Tanque 3</t>
  </si>
  <si>
    <t>Tanque 1</t>
  </si>
  <si>
    <t>Tanque 2</t>
  </si>
  <si>
    <t>p1</t>
  </si>
  <si>
    <t>Tanque 4</t>
  </si>
  <si>
    <t>Tanque 5</t>
  </si>
  <si>
    <t>p2</t>
  </si>
  <si>
    <t>p3</t>
  </si>
  <si>
    <t>p4</t>
  </si>
  <si>
    <t>p5</t>
  </si>
  <si>
    <t>Ângulo de Trim (°) =</t>
  </si>
  <si>
    <t>Ângulo de Trim (rad) =</t>
  </si>
  <si>
    <t>Calado Médio (m) =</t>
  </si>
  <si>
    <t>Força Cortante (Último ponto) (ton) =</t>
  </si>
  <si>
    <t>LCG</t>
  </si>
  <si>
    <t>Momento Fletor (Último ponto) (ton.m) =</t>
  </si>
  <si>
    <t>L (m)</t>
  </si>
  <si>
    <t>Peso Casco (ton/m)</t>
  </si>
  <si>
    <t>Peso Outfit (ton/m)</t>
  </si>
  <si>
    <t>Peso Superestrutura (ton/m)</t>
  </si>
  <si>
    <t>Peso Carga - Tanques (ton/m)</t>
  </si>
  <si>
    <t>p(x) (ton/m)</t>
  </si>
  <si>
    <t>T(x) (m)</t>
  </si>
  <si>
    <t>b(x) (ton/m)</t>
  </si>
  <si>
    <t>q(x) (ton/m)</t>
  </si>
  <si>
    <t>Q(x) (ton/m)</t>
  </si>
  <si>
    <t>M(x) (ton/m)</t>
  </si>
  <si>
    <t>p*L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</si>
</sst>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"/>
    <numFmt numFmtId="165" formatCode="0.00000"/>
    <numFmt numFmtId="166" formatCode="0.000000000000"/>
  </numFmts>
  <fonts count="15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1"/>
      <color theme="0" tint="-0.14999847407452621"/>
      <name val="Arial"/>
      <family val="2"/>
    </font>
    <font>
      <b/>
      <sz val="11"/>
      <color theme="0"/>
      <name val="Arial"/>
      <family val="2"/>
    </font>
    <font>
      <b/>
      <sz val="9"/>
      <color theme="0"/>
      <name val="Arial"/>
      <family val="2"/>
    </font>
    <font>
      <sz val="11"/>
      <color theme="0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BEBEBE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5" fillId="0" borderId="0" xfId="0" applyFont="1" applyAlignment="1" applyProtection="1">
      <alignment vertical="center"/>
      <protection hidden="1"/>
    </xf>
    <xf numFmtId="0" fontId="5" fillId="3" borderId="9" xfId="0" applyFont="1" applyFill="1" applyBorder="1" applyAlignment="1" applyProtection="1">
      <alignment horizontal="center" vertical="center"/>
      <protection hidden="1"/>
    </xf>
    <xf numFmtId="0" fontId="5" fillId="3" borderId="7" xfId="0" applyFont="1" applyFill="1" applyBorder="1" applyAlignment="1" applyProtection="1">
      <alignment horizontal="center" vertical="center"/>
      <protection hidden="1"/>
    </xf>
    <xf numFmtId="2" fontId="5" fillId="3" borderId="9" xfId="0" applyNumberFormat="1" applyFont="1" applyFill="1" applyBorder="1" applyAlignment="1" applyProtection="1">
      <alignment horizontal="center" vertical="center"/>
      <protection hidden="1"/>
    </xf>
    <xf numFmtId="164" fontId="5" fillId="3" borderId="7" xfId="0" applyNumberFormat="1" applyFont="1" applyFill="1" applyBorder="1" applyAlignment="1" applyProtection="1">
      <alignment horizontal="center" vertical="center"/>
      <protection hidden="1"/>
    </xf>
    <xf numFmtId="0" fontId="5" fillId="3" borderId="14" xfId="0" applyFont="1" applyFill="1" applyBorder="1" applyAlignment="1" applyProtection="1">
      <alignment horizontal="center" vertical="center"/>
      <protection hidden="1"/>
    </xf>
    <xf numFmtId="164" fontId="5" fillId="3" borderId="14" xfId="0" applyNumberFormat="1" applyFont="1" applyFill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5" fillId="0" borderId="0" xfId="0" applyFont="1" applyProtection="1">
      <protection hidden="1"/>
    </xf>
    <xf numFmtId="164" fontId="6" fillId="0" borderId="0" xfId="0" applyNumberFormat="1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8" fillId="0" borderId="0" xfId="0" applyFont="1" applyAlignment="1" applyProtection="1">
      <alignment vertical="center"/>
      <protection locked="0" hidden="1"/>
    </xf>
    <xf numFmtId="0" fontId="6" fillId="5" borderId="8" xfId="0" applyFont="1" applyFill="1" applyBorder="1" applyAlignment="1" applyProtection="1">
      <alignment horizontal="left" vertical="center"/>
      <protection hidden="1"/>
    </xf>
    <xf numFmtId="0" fontId="6" fillId="5" borderId="11" xfId="0" applyFont="1" applyFill="1" applyBorder="1" applyAlignment="1" applyProtection="1">
      <alignment horizontal="left" vertical="center"/>
      <protection hidden="1"/>
    </xf>
    <xf numFmtId="0" fontId="6" fillId="5" borderId="16" xfId="0" applyFont="1" applyFill="1" applyBorder="1" applyAlignment="1" applyProtection="1">
      <alignment horizontal="left" vertical="center"/>
      <protection hidden="1"/>
    </xf>
    <xf numFmtId="0" fontId="6" fillId="5" borderId="10" xfId="0" applyFont="1" applyFill="1" applyBorder="1" applyAlignment="1" applyProtection="1">
      <alignment horizontal="center" vertical="center"/>
      <protection hidden="1"/>
    </xf>
    <xf numFmtId="0" fontId="6" fillId="5" borderId="12" xfId="0" applyFont="1" applyFill="1" applyBorder="1" applyAlignment="1" applyProtection="1">
      <alignment horizontal="center" vertical="center"/>
      <protection hidden="1"/>
    </xf>
    <xf numFmtId="0" fontId="6" fillId="5" borderId="17" xfId="0" applyFont="1" applyFill="1" applyBorder="1" applyAlignment="1" applyProtection="1">
      <alignment horizontal="center" vertical="center"/>
      <protection hidden="1"/>
    </xf>
    <xf numFmtId="0" fontId="5" fillId="5" borderId="18" xfId="0" applyFont="1" applyFill="1" applyBorder="1" applyAlignment="1" applyProtection="1">
      <alignment horizontal="center" vertical="center"/>
      <protection hidden="1"/>
    </xf>
    <xf numFmtId="0" fontId="6" fillId="5" borderId="13" xfId="0" applyFont="1" applyFill="1" applyBorder="1" applyAlignment="1" applyProtection="1">
      <alignment horizontal="center" vertical="center"/>
      <protection hidden="1"/>
    </xf>
    <xf numFmtId="0" fontId="8" fillId="5" borderId="15" xfId="0" applyFont="1" applyFill="1" applyBorder="1" applyAlignment="1" applyProtection="1">
      <alignment vertical="center"/>
      <protection hidden="1"/>
    </xf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3" fillId="2" borderId="0" xfId="0" applyFont="1" applyFill="1"/>
    <xf numFmtId="164" fontId="11" fillId="2" borderId="0" xfId="0" applyNumberFormat="1" applyFont="1" applyFill="1"/>
    <xf numFmtId="0" fontId="3" fillId="2" borderId="0" xfId="0" applyFont="1" applyFill="1" applyAlignment="1">
      <alignment horizontal="center" vertical="center"/>
    </xf>
    <xf numFmtId="164" fontId="3" fillId="2" borderId="0" xfId="0" applyNumberFormat="1" applyFont="1" applyFill="1" applyAlignment="1">
      <alignment horizontal="center" vertical="center"/>
    </xf>
    <xf numFmtId="164" fontId="11" fillId="2" borderId="0" xfId="0" applyNumberFormat="1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2" fontId="11" fillId="2" borderId="0" xfId="0" applyNumberFormat="1" applyFont="1" applyFill="1"/>
    <xf numFmtId="166" fontId="11" fillId="2" borderId="0" xfId="0" applyNumberFormat="1" applyFont="1" applyFill="1"/>
    <xf numFmtId="164" fontId="11" fillId="2" borderId="0" xfId="0" applyNumberFormat="1" applyFont="1" applyFill="1" applyAlignment="1">
      <alignment horizontal="center" vertical="center"/>
    </xf>
    <xf numFmtId="0" fontId="14" fillId="2" borderId="0" xfId="0" applyFont="1" applyFill="1" applyAlignment="1" applyProtection="1">
      <alignment horizontal="center" vertical="center"/>
      <protection hidden="1"/>
    </xf>
    <xf numFmtId="0" fontId="14" fillId="2" borderId="0" xfId="0" applyFont="1" applyFill="1" applyAlignment="1" applyProtection="1">
      <alignment horizontal="left" vertical="center"/>
      <protection hidden="1"/>
    </xf>
    <xf numFmtId="0" fontId="14" fillId="2" borderId="0" xfId="0" applyFont="1" applyFill="1" applyAlignment="1" applyProtection="1">
      <alignment horizontal="center" vertical="center"/>
      <protection locked="0" hidden="1"/>
    </xf>
    <xf numFmtId="165" fontId="11" fillId="2" borderId="0" xfId="0" applyNumberFormat="1" applyFont="1" applyFill="1" applyProtection="1">
      <protection locked="0" hidden="1"/>
    </xf>
    <xf numFmtId="2" fontId="11" fillId="2" borderId="0" xfId="0" applyNumberFormat="1" applyFont="1" applyFill="1" applyProtection="1">
      <protection locked="0" hidden="1"/>
    </xf>
    <xf numFmtId="0" fontId="11" fillId="2" borderId="0" xfId="0" applyFont="1" applyFill="1" applyProtection="1">
      <protection hidden="1"/>
    </xf>
    <xf numFmtId="2" fontId="11" fillId="2" borderId="0" xfId="0" applyNumberFormat="1" applyFont="1" applyFill="1" applyProtection="1">
      <protection hidden="1"/>
    </xf>
    <xf numFmtId="0" fontId="3" fillId="2" borderId="0" xfId="0" applyFont="1" applyFill="1" applyAlignment="1" applyProtection="1">
      <alignment horizontal="left"/>
      <protection hidden="1"/>
    </xf>
    <xf numFmtId="0" fontId="3" fillId="2" borderId="0" xfId="0" applyFont="1" applyFill="1" applyProtection="1">
      <protection hidden="1"/>
    </xf>
    <xf numFmtId="0" fontId="3" fillId="2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/>
      <protection hidden="1"/>
    </xf>
    <xf numFmtId="2" fontId="11" fillId="2" borderId="0" xfId="0" applyNumberFormat="1" applyFont="1" applyFill="1" applyAlignment="1" applyProtection="1">
      <alignment horizontal="center"/>
      <protection hidden="1"/>
    </xf>
    <xf numFmtId="0" fontId="9" fillId="4" borderId="1" xfId="0" applyFont="1" applyFill="1" applyBorder="1" applyAlignment="1" applyProtection="1">
      <alignment horizontal="center" vertical="center" wrapText="1"/>
      <protection hidden="1"/>
    </xf>
    <xf numFmtId="0" fontId="9" fillId="4" borderId="2" xfId="0" applyFont="1" applyFill="1" applyBorder="1" applyAlignment="1" applyProtection="1">
      <alignment horizontal="center" vertical="center" wrapText="1"/>
      <protection hidden="1"/>
    </xf>
    <xf numFmtId="0" fontId="9" fillId="4" borderId="3" xfId="0" applyFont="1" applyFill="1" applyBorder="1" applyAlignment="1" applyProtection="1">
      <alignment horizontal="center" vertical="center" wrapText="1"/>
      <protection hidden="1"/>
    </xf>
    <xf numFmtId="0" fontId="9" fillId="4" borderId="4" xfId="0" applyFont="1" applyFill="1" applyBorder="1" applyAlignment="1" applyProtection="1">
      <alignment horizontal="center" vertical="center" wrapText="1"/>
      <protection hidden="1"/>
    </xf>
    <xf numFmtId="0" fontId="9" fillId="4" borderId="5" xfId="0" applyFont="1" applyFill="1" applyBorder="1" applyAlignment="1" applyProtection="1">
      <alignment horizontal="center" vertical="center" wrapText="1"/>
      <protection hidden="1"/>
    </xf>
    <xf numFmtId="0" fontId="9" fillId="4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6" fillId="3" borderId="1" xfId="0" applyFont="1" applyFill="1" applyBorder="1" applyAlignment="1" applyProtection="1">
      <alignment horizontal="center" vertical="center"/>
      <protection hidden="1"/>
    </xf>
    <xf numFmtId="0" fontId="6" fillId="3" borderId="2" xfId="0" applyFont="1" applyFill="1" applyBorder="1" applyAlignment="1" applyProtection="1">
      <alignment horizontal="center" vertical="center"/>
      <protection hidden="1"/>
    </xf>
    <xf numFmtId="0" fontId="6" fillId="3" borderId="19" xfId="0" applyFont="1" applyFill="1" applyBorder="1" applyAlignment="1" applyProtection="1">
      <alignment horizontal="center" vertical="center"/>
      <protection hidden="1"/>
    </xf>
    <xf numFmtId="0" fontId="6" fillId="3" borderId="20" xfId="0" applyFont="1" applyFill="1" applyBorder="1" applyAlignment="1" applyProtection="1">
      <alignment horizontal="center" vertical="center"/>
      <protection hidden="1"/>
    </xf>
    <xf numFmtId="0" fontId="6" fillId="3" borderId="9" xfId="0" applyFont="1" applyFill="1" applyBorder="1" applyAlignment="1" applyProtection="1">
      <alignment horizontal="center" vertical="center"/>
      <protection hidden="1"/>
    </xf>
    <xf numFmtId="0" fontId="6" fillId="3" borderId="10" xfId="0" applyFont="1" applyFill="1" applyBorder="1" applyAlignment="1" applyProtection="1">
      <alignment horizontal="center" vertical="center"/>
      <protection hidden="1"/>
    </xf>
    <xf numFmtId="0" fontId="9" fillId="4" borderId="2" xfId="0" applyFont="1" applyFill="1" applyBorder="1" applyAlignment="1" applyProtection="1">
      <alignment horizontal="center" vertical="center"/>
      <protection hidden="1"/>
    </xf>
    <xf numFmtId="0" fontId="9" fillId="4" borderId="3" xfId="0" applyFont="1" applyFill="1" applyBorder="1" applyAlignment="1" applyProtection="1">
      <alignment horizontal="center" vertical="center"/>
      <protection hidden="1"/>
    </xf>
    <xf numFmtId="0" fontId="9" fillId="4" borderId="4" xfId="0" applyFont="1" applyFill="1" applyBorder="1" applyAlignment="1" applyProtection="1">
      <alignment horizontal="center" vertical="center"/>
      <protection hidden="1"/>
    </xf>
    <xf numFmtId="0" fontId="9" fillId="4" borderId="5" xfId="0" applyFont="1" applyFill="1" applyBorder="1" applyAlignment="1" applyProtection="1">
      <alignment horizontal="center" vertical="center"/>
      <protection hidden="1"/>
    </xf>
    <xf numFmtId="0" fontId="9" fillId="4" borderId="6" xfId="0" applyFont="1" applyFill="1" applyBorder="1" applyAlignment="1" applyProtection="1">
      <alignment horizontal="center" vertical="center"/>
      <protection hidden="1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11" fillId="2" borderId="0" xfId="0" applyFont="1" applyFill="1" applyAlignment="1">
      <alignment horizontal="center"/>
    </xf>
    <xf numFmtId="0" fontId="13" fillId="2" borderId="0" xfId="0" applyFont="1" applyFill="1" applyAlignment="1" applyProtection="1">
      <alignment horizontal="center" vertical="center"/>
      <protection hidden="1"/>
    </xf>
    <xf numFmtId="0" fontId="2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3" fillId="2" borderId="0" xfId="0" applyFont="1" applyFill="1" applyAlignment="1" applyProtection="1">
      <alignment horizontal="left"/>
      <protection hidden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DDDD"/>
      <color rgb="FFEAEAEA"/>
      <color rgb="FFBEBEBE"/>
      <color rgb="FFECECEC"/>
      <color rgb="FFC00000"/>
      <color rgb="FF003300"/>
      <color rgb="FFA7F0FF"/>
      <color rgb="FF00B0F0"/>
      <color rgb="FFFFA41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hyperlink" Target="https://pxhere.com/en/photo/1332084" TargetMode="Externa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220095789824441E-4"/>
          <c:y val="1.8947732262406397E-2"/>
          <c:w val="0.7213297299553556"/>
          <c:h val="0.73869510598563759"/>
        </c:manualLayout>
      </c:layout>
      <c:barChart>
        <c:barDir val="col"/>
        <c:grouping val="stacked"/>
        <c:varyColors val="1"/>
        <c:ser>
          <c:idx val="0"/>
          <c:order val="0"/>
          <c:spPr>
            <a:blipFill dpi="0" rotWithShape="1">
              <a:blip xmlns:r="http://schemas.openxmlformats.org/officeDocument/2006/relationships" r:embed="rId3">
                <a:alphaModFix amt="66000"/>
                <a:extLst>
                  <a:ext uri="{837473B0-CC2E-450A-ABE3-18F120FF3D39}">
                    <a1611:picAttrSrcUrl xmlns:a1611="http://schemas.microsoft.com/office/drawing/2016/11/main" r:id="rId4"/>
                  </a:ext>
                </a:extLst>
              </a:blip>
              <a:srcRect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Pt>
            <c:idx val="0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6000"/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0-4F2B-4ACD-B11E-80E35387C325}"/>
              </c:ext>
            </c:extLst>
          </c:dPt>
          <c:dPt>
            <c:idx val="1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6000"/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1-4F2B-4ACD-B11E-80E35387C325}"/>
              </c:ext>
            </c:extLst>
          </c:dPt>
          <c:dPt>
            <c:idx val="2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6000"/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2-4F2B-4ACD-B11E-80E35387C325}"/>
              </c:ext>
            </c:extLst>
          </c:dPt>
          <c:dPt>
            <c:idx val="3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6000"/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3-4F2B-4ACD-B11E-80E35387C325}"/>
              </c:ext>
            </c:extLst>
          </c:dPt>
          <c:dPt>
            <c:idx val="4"/>
            <c:invertIfNegative val="0"/>
            <c:bubble3D val="0"/>
            <c:spPr>
              <a:blipFill dpi="0" rotWithShape="1">
                <a:blip xmlns:r="http://schemas.openxmlformats.org/officeDocument/2006/relationships" r:embed="rId3">
                  <a:alphaModFix amt="66000"/>
                  <a:extLst>
                    <a:ext uri="{837473B0-CC2E-450A-ABE3-18F120FF3D39}">
                      <a1611:picAttrSrcUrl xmlns:a1611="http://schemas.microsoft.com/office/drawing/2016/11/main" r:id="rId4"/>
                    </a:ext>
                  </a:extLst>
                </a:blip>
                <a:srcRect/>
                <a:stretch>
                  <a:fillRect/>
                </a:stretch>
              </a:blipFill>
              <a:ln>
                <a:noFill/>
              </a:ln>
              <a:effectLst/>
            </c:spPr>
            <c:pictureOptions>
              <c:pictureFormat val="stretch"/>
            </c:pictureOptions>
            <c:extLst>
              <c:ext xmlns:c16="http://schemas.microsoft.com/office/drawing/2014/chart" uri="{C3380CC4-5D6E-409C-BE32-E72D297353CC}">
                <c16:uniqueId val="{00000004-4F2B-4ACD-B11E-80E35387C3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D92CEFD3-688F-434B-A0F5-3A76AD3F96A3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4F2B-4ACD-B11E-80E35387C32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350DA13-55DE-4301-8813-034943927AC9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F2B-4ACD-B11E-80E35387C32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B29998F-635D-40A6-B1FB-FC12E022576A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F2B-4ACD-B11E-80E35387C32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6229906-E84A-4859-922C-FAFE7768E337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F2B-4ACD-B11E-80E35387C32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43511D9-96FB-4FF6-94C7-90C587F64B8E}" type="CELLRANGE">
                      <a:rPr lang="en-US"/>
                      <a:pPr/>
                      <a:t>[]</a:t>
                    </a:fld>
                    <a:endParaRPr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F2B-4ACD-B11E-80E35387C3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ln w="1905">
                      <a:solidFill>
                        <a:schemeClr val="bg1"/>
                      </a:solidFill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val>
            <c:numRef>
              <c:f>CARGAS!$B$7:$B$11</c:f>
              <c:numCache>
                <c:formatCode>General</c:formatCode>
                <c:ptCount val="5"/>
                <c:pt idx="0">
                  <c:v>5007.974400000001</c:v>
                </c:pt>
                <c:pt idx="1">
                  <c:v>2632.3968000000004</c:v>
                </c:pt>
                <c:pt idx="2">
                  <c:v>4879.564800000001</c:v>
                </c:pt>
                <c:pt idx="3">
                  <c:v>6099.456000000001</c:v>
                </c:pt>
                <c:pt idx="4">
                  <c:v>6420.4800000000014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CARGAS!$F$7:$F$11</c15:f>
                <c15:dlblRangeCache>
                  <c:ptCount val="5"/>
                  <c:pt idx="0">
                    <c:v>Tanque 1
 4256,77824 t</c:v>
                  </c:pt>
                  <c:pt idx="1">
                    <c:v>Tanque 2
 2237,53728 t</c:v>
                  </c:pt>
                  <c:pt idx="2">
                    <c:v>Tanque 3
 4147,63008 t</c:v>
                  </c:pt>
                  <c:pt idx="3">
                    <c:v>Tanque 4
 5184,5376 t</c:v>
                  </c:pt>
                  <c:pt idx="4">
                    <c:v>Tanque 5
 5457,408 t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4F2B-4ACD-B11E-80E35387C325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"/>
        <c:overlap val="100"/>
        <c:axId val="216507263"/>
        <c:axId val="29412672"/>
      </c:barChart>
      <c:catAx>
        <c:axId val="216507263"/>
        <c:scaling>
          <c:orientation val="minMax"/>
        </c:scaling>
        <c:delete val="1"/>
        <c:axPos val="b"/>
        <c:majorTickMark val="none"/>
        <c:minorTickMark val="none"/>
        <c:tickLblPos val="nextTo"/>
        <c:crossAx val="29412672"/>
        <c:crosses val="autoZero"/>
        <c:auto val="1"/>
        <c:lblAlgn val="ctr"/>
        <c:lblOffset val="100"/>
        <c:noMultiLvlLbl val="0"/>
      </c:catAx>
      <c:valAx>
        <c:axId val="29412672"/>
        <c:scaling>
          <c:orientation val="minMax"/>
          <c:max val="8000"/>
          <c:min val="0"/>
        </c:scaling>
        <c:delete val="1"/>
        <c:axPos val="l"/>
        <c:numFmt formatCode="General" sourceLinked="1"/>
        <c:majorTickMark val="out"/>
        <c:minorTickMark val="none"/>
        <c:tickLblPos val="nextTo"/>
        <c:crossAx val="2165072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200">
          <a:ln w="1905">
            <a:solidFill>
              <a:schemeClr val="bg1"/>
            </a:solidFill>
          </a:ln>
          <a:solidFill>
            <a:schemeClr val="bg1"/>
          </a:solidFill>
        </a:defRPr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2942074197059445E-2"/>
          <c:y val="4.2995031937544365E-2"/>
          <c:w val="0.97608772194385429"/>
          <c:h val="0.95700503653259561"/>
        </c:manualLayout>
      </c:layout>
      <c:scatterChart>
        <c:scatterStyle val="lineMarker"/>
        <c:varyColors val="0"/>
        <c:ser>
          <c:idx val="7"/>
          <c:order val="0"/>
          <c:tx>
            <c:v>wl</c:v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3412905054460061E-2"/>
                  <c:y val="-3.482878620953551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1C1-4FA7-BC2A-7A48D0AFF08C}"/>
                </c:ext>
              </c:extLst>
            </c:dLbl>
            <c:dLbl>
              <c:idx val="94"/>
              <c:layout>
                <c:manualLayout>
                  <c:x val="-2.3485646880787182E-2"/>
                  <c:y val="-3.831208123042235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1C1-4FA7-BC2A-7A48D0AFF08C}"/>
                </c:ext>
              </c:extLst>
            </c:dLbl>
            <c:dLbl>
              <c:idx val="189"/>
              <c:layout>
                <c:manualLayout>
                  <c:x val="-1.167150262181702E-2"/>
                  <c:y val="-4.284311242746881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91C1-4FA7-BC2A-7A48D0AFF08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ln w="6350">
                      <a:solidFill>
                        <a:schemeClr val="tx1">
                          <a:alpha val="68000"/>
                        </a:schemeClr>
                      </a:solidFill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'SEM ONDA LB=10'!$A$23:$A$212</c:f>
              <c:numCache>
                <c:formatCode>General</c:formatCode>
                <c:ptCount val="19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</c:numCache>
            </c:numRef>
          </c:xVal>
          <c:yVal>
            <c:numRef>
              <c:f>'SEM ONDA LB=10'!$G$23:$G$212</c:f>
              <c:numCache>
                <c:formatCode>0.00</c:formatCode>
                <c:ptCount val="190"/>
                <c:pt idx="0">
                  <c:v>8.9123395695859351</c:v>
                </c:pt>
                <c:pt idx="1">
                  <c:v>8.9200782335726601</c:v>
                </c:pt>
                <c:pt idx="2">
                  <c:v>8.927816897559385</c:v>
                </c:pt>
                <c:pt idx="3">
                  <c:v>8.93555556154611</c:v>
                </c:pt>
                <c:pt idx="4">
                  <c:v>8.9432942255328349</c:v>
                </c:pt>
                <c:pt idx="5">
                  <c:v>8.9510328895195599</c:v>
                </c:pt>
                <c:pt idx="6">
                  <c:v>8.9587715535062848</c:v>
                </c:pt>
                <c:pt idx="7">
                  <c:v>8.9665102174930098</c:v>
                </c:pt>
                <c:pt idx="8">
                  <c:v>8.9742488814797348</c:v>
                </c:pt>
                <c:pt idx="9">
                  <c:v>8.9819875454664597</c:v>
                </c:pt>
                <c:pt idx="10">
                  <c:v>8.9897262094531847</c:v>
                </c:pt>
                <c:pt idx="11">
                  <c:v>8.9974648734399096</c:v>
                </c:pt>
                <c:pt idx="12">
                  <c:v>9.0052035374266346</c:v>
                </c:pt>
                <c:pt idx="13">
                  <c:v>9.0129422014133596</c:v>
                </c:pt>
                <c:pt idx="14">
                  <c:v>9.0206808654000845</c:v>
                </c:pt>
                <c:pt idx="15">
                  <c:v>9.0284195293868095</c:v>
                </c:pt>
                <c:pt idx="16">
                  <c:v>9.0361581933735344</c:v>
                </c:pt>
                <c:pt idx="17">
                  <c:v>9.0438968573602594</c:v>
                </c:pt>
                <c:pt idx="18">
                  <c:v>9.0516355213469843</c:v>
                </c:pt>
                <c:pt idx="19">
                  <c:v>9.0593741853337093</c:v>
                </c:pt>
                <c:pt idx="20">
                  <c:v>9.0671128493204343</c:v>
                </c:pt>
                <c:pt idx="21">
                  <c:v>9.0748515133071592</c:v>
                </c:pt>
                <c:pt idx="22">
                  <c:v>9.0825901772938842</c:v>
                </c:pt>
                <c:pt idx="23">
                  <c:v>9.0903288412806091</c:v>
                </c:pt>
                <c:pt idx="24">
                  <c:v>9.0980675052673341</c:v>
                </c:pt>
                <c:pt idx="25">
                  <c:v>9.1058061692540591</c:v>
                </c:pt>
                <c:pt idx="26">
                  <c:v>9.113544833240784</c:v>
                </c:pt>
                <c:pt idx="27">
                  <c:v>9.121283497227509</c:v>
                </c:pt>
                <c:pt idx="28">
                  <c:v>9.1290221612142339</c:v>
                </c:pt>
                <c:pt idx="29">
                  <c:v>9.1367608252009589</c:v>
                </c:pt>
                <c:pt idx="30">
                  <c:v>9.1444994891876838</c:v>
                </c:pt>
                <c:pt idx="31">
                  <c:v>9.1522381531744088</c:v>
                </c:pt>
                <c:pt idx="32">
                  <c:v>9.1599768171611338</c:v>
                </c:pt>
                <c:pt idx="33">
                  <c:v>9.1677154811478587</c:v>
                </c:pt>
                <c:pt idx="34">
                  <c:v>9.1754541451345837</c:v>
                </c:pt>
                <c:pt idx="35">
                  <c:v>9.1831928091213086</c:v>
                </c:pt>
                <c:pt idx="36">
                  <c:v>9.1909314731080336</c:v>
                </c:pt>
                <c:pt idx="37">
                  <c:v>9.1986701370947586</c:v>
                </c:pt>
                <c:pt idx="38">
                  <c:v>9.2064088010814835</c:v>
                </c:pt>
                <c:pt idx="39">
                  <c:v>9.2141474650682085</c:v>
                </c:pt>
                <c:pt idx="40">
                  <c:v>9.2218861290549334</c:v>
                </c:pt>
                <c:pt idx="41">
                  <c:v>9.2296247930416584</c:v>
                </c:pt>
                <c:pt idx="42">
                  <c:v>9.2373634570283834</c:v>
                </c:pt>
                <c:pt idx="43">
                  <c:v>9.2451021210151083</c:v>
                </c:pt>
                <c:pt idx="44">
                  <c:v>9.2528407850018333</c:v>
                </c:pt>
                <c:pt idx="45">
                  <c:v>9.2605794489885582</c:v>
                </c:pt>
                <c:pt idx="46">
                  <c:v>9.2683181129752832</c:v>
                </c:pt>
                <c:pt idx="47">
                  <c:v>9.2760567769620081</c:v>
                </c:pt>
                <c:pt idx="48">
                  <c:v>9.2837954409487331</c:v>
                </c:pt>
                <c:pt idx="49">
                  <c:v>9.2915341049354581</c:v>
                </c:pt>
                <c:pt idx="50">
                  <c:v>9.299272768922183</c:v>
                </c:pt>
                <c:pt idx="51">
                  <c:v>9.307011432908908</c:v>
                </c:pt>
                <c:pt idx="52">
                  <c:v>9.3147500968956329</c:v>
                </c:pt>
                <c:pt idx="53">
                  <c:v>9.3224887608823579</c:v>
                </c:pt>
                <c:pt idx="54">
                  <c:v>9.3302274248690829</c:v>
                </c:pt>
                <c:pt idx="55">
                  <c:v>9.3379660888558078</c:v>
                </c:pt>
                <c:pt idx="56">
                  <c:v>9.3457047528425328</c:v>
                </c:pt>
                <c:pt idx="57">
                  <c:v>9.3534434168292577</c:v>
                </c:pt>
                <c:pt idx="58">
                  <c:v>9.3611820808159827</c:v>
                </c:pt>
                <c:pt idx="59">
                  <c:v>9.3689207448027076</c:v>
                </c:pt>
                <c:pt idx="60">
                  <c:v>9.3766594087894326</c:v>
                </c:pt>
                <c:pt idx="61">
                  <c:v>9.3843980727761576</c:v>
                </c:pt>
                <c:pt idx="62">
                  <c:v>9.3921367367628825</c:v>
                </c:pt>
                <c:pt idx="63">
                  <c:v>9.3998754007496075</c:v>
                </c:pt>
                <c:pt idx="64">
                  <c:v>9.4076140647363324</c:v>
                </c:pt>
                <c:pt idx="65">
                  <c:v>9.4153527287230574</c:v>
                </c:pt>
                <c:pt idx="66">
                  <c:v>9.4230913927097824</c:v>
                </c:pt>
                <c:pt idx="67">
                  <c:v>9.4308300566965073</c:v>
                </c:pt>
                <c:pt idx="68">
                  <c:v>9.4385687206832323</c:v>
                </c:pt>
                <c:pt idx="69">
                  <c:v>9.4463073846699572</c:v>
                </c:pt>
                <c:pt idx="70">
                  <c:v>9.4540460486566822</c:v>
                </c:pt>
                <c:pt idx="71">
                  <c:v>9.4617847126434071</c:v>
                </c:pt>
                <c:pt idx="72">
                  <c:v>9.4695233766301321</c:v>
                </c:pt>
                <c:pt idx="73">
                  <c:v>9.4772620406168571</c:v>
                </c:pt>
                <c:pt idx="74">
                  <c:v>9.485000704603582</c:v>
                </c:pt>
                <c:pt idx="75">
                  <c:v>9.492739368590307</c:v>
                </c:pt>
                <c:pt idx="76">
                  <c:v>9.5004780325770319</c:v>
                </c:pt>
                <c:pt idx="77">
                  <c:v>9.5082166965637569</c:v>
                </c:pt>
                <c:pt idx="78">
                  <c:v>9.5159553605504819</c:v>
                </c:pt>
                <c:pt idx="79">
                  <c:v>9.5236940245372068</c:v>
                </c:pt>
                <c:pt idx="80">
                  <c:v>9.5314326885239318</c:v>
                </c:pt>
                <c:pt idx="81">
                  <c:v>9.5391713525106567</c:v>
                </c:pt>
                <c:pt idx="82">
                  <c:v>9.5469100164973817</c:v>
                </c:pt>
                <c:pt idx="83">
                  <c:v>9.5546486804841066</c:v>
                </c:pt>
                <c:pt idx="84">
                  <c:v>9.5623873444708316</c:v>
                </c:pt>
                <c:pt idx="85">
                  <c:v>9.5701260084575566</c:v>
                </c:pt>
                <c:pt idx="86">
                  <c:v>9.5778646724442815</c:v>
                </c:pt>
                <c:pt idx="87">
                  <c:v>9.5856033364310065</c:v>
                </c:pt>
                <c:pt idx="88">
                  <c:v>9.5933420004177314</c:v>
                </c:pt>
                <c:pt idx="89">
                  <c:v>9.6010806644044564</c:v>
                </c:pt>
                <c:pt idx="90">
                  <c:v>9.6088193283911814</c:v>
                </c:pt>
                <c:pt idx="91">
                  <c:v>9.6165579923779063</c:v>
                </c:pt>
                <c:pt idx="92">
                  <c:v>9.6242966563646313</c:v>
                </c:pt>
                <c:pt idx="93">
                  <c:v>9.6320353203513562</c:v>
                </c:pt>
                <c:pt idx="94">
                  <c:v>9.6397739843380812</c:v>
                </c:pt>
                <c:pt idx="95">
                  <c:v>9.6475126483248062</c:v>
                </c:pt>
                <c:pt idx="96">
                  <c:v>9.6552513123115311</c:v>
                </c:pt>
                <c:pt idx="97">
                  <c:v>9.6629899762982561</c:v>
                </c:pt>
                <c:pt idx="98">
                  <c:v>9.670728640284981</c:v>
                </c:pt>
                <c:pt idx="99">
                  <c:v>9.678467304271706</c:v>
                </c:pt>
                <c:pt idx="100">
                  <c:v>9.6862059682584309</c:v>
                </c:pt>
                <c:pt idx="101">
                  <c:v>9.6939446322451559</c:v>
                </c:pt>
                <c:pt idx="102">
                  <c:v>9.7016832962318809</c:v>
                </c:pt>
                <c:pt idx="103">
                  <c:v>9.7094219602186058</c:v>
                </c:pt>
                <c:pt idx="104">
                  <c:v>9.7171606242053308</c:v>
                </c:pt>
                <c:pt idx="105">
                  <c:v>9.7248992881920557</c:v>
                </c:pt>
                <c:pt idx="106">
                  <c:v>9.7326379521787807</c:v>
                </c:pt>
                <c:pt idx="107">
                  <c:v>9.7403766161655057</c:v>
                </c:pt>
                <c:pt idx="108">
                  <c:v>9.7481152801522306</c:v>
                </c:pt>
                <c:pt idx="109">
                  <c:v>9.7558539441389556</c:v>
                </c:pt>
                <c:pt idx="110">
                  <c:v>9.7635926081256805</c:v>
                </c:pt>
                <c:pt idx="111">
                  <c:v>9.7713312721124055</c:v>
                </c:pt>
                <c:pt idx="112">
                  <c:v>9.7790699360991304</c:v>
                </c:pt>
                <c:pt idx="113">
                  <c:v>9.7868086000858554</c:v>
                </c:pt>
                <c:pt idx="114">
                  <c:v>9.7945472640725804</c:v>
                </c:pt>
                <c:pt idx="115">
                  <c:v>9.8022859280593053</c:v>
                </c:pt>
                <c:pt idx="116">
                  <c:v>9.8100245920460303</c:v>
                </c:pt>
                <c:pt idx="117">
                  <c:v>9.8177632560327552</c:v>
                </c:pt>
                <c:pt idx="118">
                  <c:v>9.8255019200194802</c:v>
                </c:pt>
                <c:pt idx="119">
                  <c:v>9.8332405840062052</c:v>
                </c:pt>
                <c:pt idx="120">
                  <c:v>9.8409792479929301</c:v>
                </c:pt>
                <c:pt idx="121">
                  <c:v>9.8487179119796551</c:v>
                </c:pt>
                <c:pt idx="122">
                  <c:v>9.85645657596638</c:v>
                </c:pt>
                <c:pt idx="123">
                  <c:v>9.864195239953105</c:v>
                </c:pt>
                <c:pt idx="124">
                  <c:v>9.8719339039398299</c:v>
                </c:pt>
                <c:pt idx="125">
                  <c:v>9.8796725679265549</c:v>
                </c:pt>
                <c:pt idx="126">
                  <c:v>9.8874112319132799</c:v>
                </c:pt>
                <c:pt idx="127">
                  <c:v>9.8951498959000048</c:v>
                </c:pt>
                <c:pt idx="128">
                  <c:v>9.9028885598867298</c:v>
                </c:pt>
                <c:pt idx="129">
                  <c:v>9.9106272238734547</c:v>
                </c:pt>
                <c:pt idx="130">
                  <c:v>9.9183658878601797</c:v>
                </c:pt>
                <c:pt idx="131">
                  <c:v>9.9261045518469047</c:v>
                </c:pt>
                <c:pt idx="132">
                  <c:v>9.9338432158336296</c:v>
                </c:pt>
                <c:pt idx="133">
                  <c:v>9.9415818798203546</c:v>
                </c:pt>
                <c:pt idx="134">
                  <c:v>9.9493205438070795</c:v>
                </c:pt>
                <c:pt idx="135">
                  <c:v>9.9570592077938045</c:v>
                </c:pt>
                <c:pt idx="136">
                  <c:v>9.9647978717805294</c:v>
                </c:pt>
                <c:pt idx="137">
                  <c:v>9.9725365357672544</c:v>
                </c:pt>
                <c:pt idx="138">
                  <c:v>9.9802751997539794</c:v>
                </c:pt>
                <c:pt idx="139">
                  <c:v>9.9880138637407043</c:v>
                </c:pt>
                <c:pt idx="140">
                  <c:v>9.9957525277274293</c:v>
                </c:pt>
                <c:pt idx="141">
                  <c:v>10.003491191714154</c:v>
                </c:pt>
                <c:pt idx="142">
                  <c:v>10.011229855700879</c:v>
                </c:pt>
                <c:pt idx="143">
                  <c:v>10.018968519687604</c:v>
                </c:pt>
                <c:pt idx="144">
                  <c:v>10.026707183674329</c:v>
                </c:pt>
                <c:pt idx="145">
                  <c:v>10.034445847661054</c:v>
                </c:pt>
                <c:pt idx="146">
                  <c:v>10.042184511647779</c:v>
                </c:pt>
                <c:pt idx="147">
                  <c:v>10.049923175634504</c:v>
                </c:pt>
                <c:pt idx="148">
                  <c:v>10.057661839621229</c:v>
                </c:pt>
                <c:pt idx="149">
                  <c:v>10.065400503607954</c:v>
                </c:pt>
                <c:pt idx="150">
                  <c:v>10.073139167594679</c:v>
                </c:pt>
                <c:pt idx="151">
                  <c:v>10.080877831581404</c:v>
                </c:pt>
                <c:pt idx="152">
                  <c:v>10.088616495568129</c:v>
                </c:pt>
                <c:pt idx="153">
                  <c:v>10.096355159554854</c:v>
                </c:pt>
                <c:pt idx="154">
                  <c:v>10.104093823541579</c:v>
                </c:pt>
                <c:pt idx="155">
                  <c:v>10.111832487528304</c:v>
                </c:pt>
                <c:pt idx="156">
                  <c:v>10.119571151515029</c:v>
                </c:pt>
                <c:pt idx="157">
                  <c:v>10.127309815501754</c:v>
                </c:pt>
                <c:pt idx="158">
                  <c:v>10.135048479488479</c:v>
                </c:pt>
                <c:pt idx="159">
                  <c:v>10.142787143475203</c:v>
                </c:pt>
                <c:pt idx="160">
                  <c:v>10.150525807461928</c:v>
                </c:pt>
                <c:pt idx="161">
                  <c:v>10.158264471448653</c:v>
                </c:pt>
                <c:pt idx="162">
                  <c:v>10.166003135435378</c:v>
                </c:pt>
                <c:pt idx="163">
                  <c:v>10.173741799422103</c:v>
                </c:pt>
                <c:pt idx="164">
                  <c:v>10.181480463408828</c:v>
                </c:pt>
                <c:pt idx="165">
                  <c:v>10.189219127395553</c:v>
                </c:pt>
                <c:pt idx="166">
                  <c:v>10.196957791382278</c:v>
                </c:pt>
                <c:pt idx="167">
                  <c:v>10.204696455369003</c:v>
                </c:pt>
                <c:pt idx="168">
                  <c:v>10.212435119355728</c:v>
                </c:pt>
                <c:pt idx="169">
                  <c:v>10.220173783342453</c:v>
                </c:pt>
                <c:pt idx="170">
                  <c:v>10.227912447329178</c:v>
                </c:pt>
                <c:pt idx="171">
                  <c:v>10.235651111315903</c:v>
                </c:pt>
                <c:pt idx="172">
                  <c:v>10.243389775302628</c:v>
                </c:pt>
                <c:pt idx="173">
                  <c:v>10.251128439289353</c:v>
                </c:pt>
                <c:pt idx="174">
                  <c:v>10.258867103276078</c:v>
                </c:pt>
                <c:pt idx="175">
                  <c:v>10.266605767262803</c:v>
                </c:pt>
                <c:pt idx="176">
                  <c:v>10.274344431249528</c:v>
                </c:pt>
                <c:pt idx="177">
                  <c:v>10.282083095236253</c:v>
                </c:pt>
                <c:pt idx="178">
                  <c:v>10.289821759222978</c:v>
                </c:pt>
                <c:pt idx="179">
                  <c:v>10.297560423209703</c:v>
                </c:pt>
                <c:pt idx="180">
                  <c:v>10.305299087196428</c:v>
                </c:pt>
                <c:pt idx="181">
                  <c:v>10.313037751183153</c:v>
                </c:pt>
                <c:pt idx="182">
                  <c:v>10.320776415169878</c:v>
                </c:pt>
                <c:pt idx="183">
                  <c:v>10.328515079156602</c:v>
                </c:pt>
                <c:pt idx="184">
                  <c:v>10.336253743143327</c:v>
                </c:pt>
                <c:pt idx="185">
                  <c:v>10.343992407130052</c:v>
                </c:pt>
                <c:pt idx="186">
                  <c:v>10.351731071116777</c:v>
                </c:pt>
                <c:pt idx="187">
                  <c:v>10.359469735103502</c:v>
                </c:pt>
                <c:pt idx="188">
                  <c:v>10.367208399090227</c:v>
                </c:pt>
                <c:pt idx="189">
                  <c:v>10.374947063076952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1C1-4FA7-BC2A-7A48D0AFF0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512431"/>
        <c:axId val="2143773407"/>
      </c:scatterChart>
      <c:valAx>
        <c:axId val="22151243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143773407"/>
        <c:crosses val="autoZero"/>
        <c:crossBetween val="midCat"/>
      </c:valAx>
      <c:valAx>
        <c:axId val="2143773407"/>
        <c:scaling>
          <c:orientation val="minMax"/>
          <c:max val="38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221512431"/>
        <c:crosses val="autoZero"/>
        <c:crossBetween val="midCat"/>
        <c:majorUnit val="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554771238567642E-3"/>
          <c:y val="5.6247685707281831E-3"/>
          <c:w val="0.9492927165892614"/>
          <c:h val="0.83039393785221116"/>
        </c:manualLayout>
      </c:layout>
      <c:areaChart>
        <c:grouping val="standard"/>
        <c:varyColors val="0"/>
        <c:ser>
          <c:idx val="0"/>
          <c:order val="0"/>
          <c:tx>
            <c:v>wl</c:v>
          </c:tx>
          <c:spPr>
            <a:gradFill>
              <a:gsLst>
                <a:gs pos="0">
                  <a:srgbClr val="A7F0FF">
                    <a:alpha val="30196"/>
                  </a:srgbClr>
                </a:gs>
                <a:gs pos="100000">
                  <a:srgbClr val="00B0F0">
                    <a:alpha val="36863"/>
                  </a:srgbClr>
                </a:gs>
              </a:gsLst>
              <a:lin ang="5400000" scaled="1"/>
            </a:gradFill>
            <a:ln w="9525">
              <a:solidFill>
                <a:srgbClr val="00B0F0"/>
              </a:solidFill>
            </a:ln>
            <a:effectLst/>
          </c:spPr>
          <c:val>
            <c:numRef>
              <c:f>'SEM ONDA LB=10'!$G$23:$G$212</c:f>
              <c:numCache>
                <c:formatCode>0.00</c:formatCode>
                <c:ptCount val="190"/>
                <c:pt idx="0">
                  <c:v>8.9123395695859351</c:v>
                </c:pt>
                <c:pt idx="1">
                  <c:v>8.9200782335726601</c:v>
                </c:pt>
                <c:pt idx="2">
                  <c:v>8.927816897559385</c:v>
                </c:pt>
                <c:pt idx="3">
                  <c:v>8.93555556154611</c:v>
                </c:pt>
                <c:pt idx="4">
                  <c:v>8.9432942255328349</c:v>
                </c:pt>
                <c:pt idx="5">
                  <c:v>8.9510328895195599</c:v>
                </c:pt>
                <c:pt idx="6">
                  <c:v>8.9587715535062848</c:v>
                </c:pt>
                <c:pt idx="7">
                  <c:v>8.9665102174930098</c:v>
                </c:pt>
                <c:pt idx="8">
                  <c:v>8.9742488814797348</c:v>
                </c:pt>
                <c:pt idx="9">
                  <c:v>8.9819875454664597</c:v>
                </c:pt>
                <c:pt idx="10">
                  <c:v>8.9897262094531847</c:v>
                </c:pt>
                <c:pt idx="11">
                  <c:v>8.9974648734399096</c:v>
                </c:pt>
                <c:pt idx="12">
                  <c:v>9.0052035374266346</c:v>
                </c:pt>
                <c:pt idx="13">
                  <c:v>9.0129422014133596</c:v>
                </c:pt>
                <c:pt idx="14">
                  <c:v>9.0206808654000845</c:v>
                </c:pt>
                <c:pt idx="15">
                  <c:v>9.0284195293868095</c:v>
                </c:pt>
                <c:pt idx="16">
                  <c:v>9.0361581933735344</c:v>
                </c:pt>
                <c:pt idx="17">
                  <c:v>9.0438968573602594</c:v>
                </c:pt>
                <c:pt idx="18">
                  <c:v>9.0516355213469843</c:v>
                </c:pt>
                <c:pt idx="19">
                  <c:v>9.0593741853337093</c:v>
                </c:pt>
                <c:pt idx="20">
                  <c:v>9.0671128493204343</c:v>
                </c:pt>
                <c:pt idx="21">
                  <c:v>9.0748515133071592</c:v>
                </c:pt>
                <c:pt idx="22">
                  <c:v>9.0825901772938842</c:v>
                </c:pt>
                <c:pt idx="23">
                  <c:v>9.0903288412806091</c:v>
                </c:pt>
                <c:pt idx="24">
                  <c:v>9.0980675052673341</c:v>
                </c:pt>
                <c:pt idx="25">
                  <c:v>9.1058061692540591</c:v>
                </c:pt>
                <c:pt idx="26">
                  <c:v>9.113544833240784</c:v>
                </c:pt>
                <c:pt idx="27">
                  <c:v>9.121283497227509</c:v>
                </c:pt>
                <c:pt idx="28">
                  <c:v>9.1290221612142339</c:v>
                </c:pt>
                <c:pt idx="29">
                  <c:v>9.1367608252009589</c:v>
                </c:pt>
                <c:pt idx="30">
                  <c:v>9.1444994891876838</c:v>
                </c:pt>
                <c:pt idx="31">
                  <c:v>9.1522381531744088</c:v>
                </c:pt>
                <c:pt idx="32">
                  <c:v>9.1599768171611338</c:v>
                </c:pt>
                <c:pt idx="33">
                  <c:v>9.1677154811478587</c:v>
                </c:pt>
                <c:pt idx="34">
                  <c:v>9.1754541451345837</c:v>
                </c:pt>
                <c:pt idx="35">
                  <c:v>9.1831928091213086</c:v>
                </c:pt>
                <c:pt idx="36">
                  <c:v>9.1909314731080336</c:v>
                </c:pt>
                <c:pt idx="37">
                  <c:v>9.1986701370947586</c:v>
                </c:pt>
                <c:pt idx="38">
                  <c:v>9.2064088010814835</c:v>
                </c:pt>
                <c:pt idx="39">
                  <c:v>9.2141474650682085</c:v>
                </c:pt>
                <c:pt idx="40">
                  <c:v>9.2218861290549334</c:v>
                </c:pt>
                <c:pt idx="41">
                  <c:v>9.2296247930416584</c:v>
                </c:pt>
                <c:pt idx="42">
                  <c:v>9.2373634570283834</c:v>
                </c:pt>
                <c:pt idx="43">
                  <c:v>9.2451021210151083</c:v>
                </c:pt>
                <c:pt idx="44">
                  <c:v>9.2528407850018333</c:v>
                </c:pt>
                <c:pt idx="45">
                  <c:v>9.2605794489885582</c:v>
                </c:pt>
                <c:pt idx="46">
                  <c:v>9.2683181129752832</c:v>
                </c:pt>
                <c:pt idx="47">
                  <c:v>9.2760567769620081</c:v>
                </c:pt>
                <c:pt idx="48">
                  <c:v>9.2837954409487331</c:v>
                </c:pt>
                <c:pt idx="49">
                  <c:v>9.2915341049354581</c:v>
                </c:pt>
                <c:pt idx="50">
                  <c:v>9.299272768922183</c:v>
                </c:pt>
                <c:pt idx="51">
                  <c:v>9.307011432908908</c:v>
                </c:pt>
                <c:pt idx="52">
                  <c:v>9.3147500968956329</c:v>
                </c:pt>
                <c:pt idx="53">
                  <c:v>9.3224887608823579</c:v>
                </c:pt>
                <c:pt idx="54">
                  <c:v>9.3302274248690829</c:v>
                </c:pt>
                <c:pt idx="55">
                  <c:v>9.3379660888558078</c:v>
                </c:pt>
                <c:pt idx="56">
                  <c:v>9.3457047528425328</c:v>
                </c:pt>
                <c:pt idx="57">
                  <c:v>9.3534434168292577</c:v>
                </c:pt>
                <c:pt idx="58">
                  <c:v>9.3611820808159827</c:v>
                </c:pt>
                <c:pt idx="59">
                  <c:v>9.3689207448027076</c:v>
                </c:pt>
                <c:pt idx="60">
                  <c:v>9.3766594087894326</c:v>
                </c:pt>
                <c:pt idx="61">
                  <c:v>9.3843980727761576</c:v>
                </c:pt>
                <c:pt idx="62">
                  <c:v>9.3921367367628825</c:v>
                </c:pt>
                <c:pt idx="63">
                  <c:v>9.3998754007496075</c:v>
                </c:pt>
                <c:pt idx="64">
                  <c:v>9.4076140647363324</c:v>
                </c:pt>
                <c:pt idx="65">
                  <c:v>9.4153527287230574</c:v>
                </c:pt>
                <c:pt idx="66">
                  <c:v>9.4230913927097824</c:v>
                </c:pt>
                <c:pt idx="67">
                  <c:v>9.4308300566965073</c:v>
                </c:pt>
                <c:pt idx="68">
                  <c:v>9.4385687206832323</c:v>
                </c:pt>
                <c:pt idx="69">
                  <c:v>9.4463073846699572</c:v>
                </c:pt>
                <c:pt idx="70">
                  <c:v>9.4540460486566822</c:v>
                </c:pt>
                <c:pt idx="71">
                  <c:v>9.4617847126434071</c:v>
                </c:pt>
                <c:pt idx="72">
                  <c:v>9.4695233766301321</c:v>
                </c:pt>
                <c:pt idx="73">
                  <c:v>9.4772620406168571</c:v>
                </c:pt>
                <c:pt idx="74">
                  <c:v>9.485000704603582</c:v>
                </c:pt>
                <c:pt idx="75">
                  <c:v>9.492739368590307</c:v>
                </c:pt>
                <c:pt idx="76">
                  <c:v>9.5004780325770319</c:v>
                </c:pt>
                <c:pt idx="77">
                  <c:v>9.5082166965637569</c:v>
                </c:pt>
                <c:pt idx="78">
                  <c:v>9.5159553605504819</c:v>
                </c:pt>
                <c:pt idx="79">
                  <c:v>9.5236940245372068</c:v>
                </c:pt>
                <c:pt idx="80">
                  <c:v>9.5314326885239318</c:v>
                </c:pt>
                <c:pt idx="81">
                  <c:v>9.5391713525106567</c:v>
                </c:pt>
                <c:pt idx="82">
                  <c:v>9.5469100164973817</c:v>
                </c:pt>
                <c:pt idx="83">
                  <c:v>9.5546486804841066</c:v>
                </c:pt>
                <c:pt idx="84">
                  <c:v>9.5623873444708316</c:v>
                </c:pt>
                <c:pt idx="85">
                  <c:v>9.5701260084575566</c:v>
                </c:pt>
                <c:pt idx="86">
                  <c:v>9.5778646724442815</c:v>
                </c:pt>
                <c:pt idx="87">
                  <c:v>9.5856033364310065</c:v>
                </c:pt>
                <c:pt idx="88">
                  <c:v>9.5933420004177314</c:v>
                </c:pt>
                <c:pt idx="89">
                  <c:v>9.6010806644044564</c:v>
                </c:pt>
                <c:pt idx="90">
                  <c:v>9.6088193283911814</c:v>
                </c:pt>
                <c:pt idx="91">
                  <c:v>9.6165579923779063</c:v>
                </c:pt>
                <c:pt idx="92">
                  <c:v>9.6242966563646313</c:v>
                </c:pt>
                <c:pt idx="93">
                  <c:v>9.6320353203513562</c:v>
                </c:pt>
                <c:pt idx="94">
                  <c:v>9.6397739843380812</c:v>
                </c:pt>
                <c:pt idx="95">
                  <c:v>9.6475126483248062</c:v>
                </c:pt>
                <c:pt idx="96">
                  <c:v>9.6552513123115311</c:v>
                </c:pt>
                <c:pt idx="97">
                  <c:v>9.6629899762982561</c:v>
                </c:pt>
                <c:pt idx="98">
                  <c:v>9.670728640284981</c:v>
                </c:pt>
                <c:pt idx="99">
                  <c:v>9.678467304271706</c:v>
                </c:pt>
                <c:pt idx="100">
                  <c:v>9.6862059682584309</c:v>
                </c:pt>
                <c:pt idx="101">
                  <c:v>9.6939446322451559</c:v>
                </c:pt>
                <c:pt idx="102">
                  <c:v>9.7016832962318809</c:v>
                </c:pt>
                <c:pt idx="103">
                  <c:v>9.7094219602186058</c:v>
                </c:pt>
                <c:pt idx="104">
                  <c:v>9.7171606242053308</c:v>
                </c:pt>
                <c:pt idx="105">
                  <c:v>9.7248992881920557</c:v>
                </c:pt>
                <c:pt idx="106">
                  <c:v>9.7326379521787807</c:v>
                </c:pt>
                <c:pt idx="107">
                  <c:v>9.7403766161655057</c:v>
                </c:pt>
                <c:pt idx="108">
                  <c:v>9.7481152801522306</c:v>
                </c:pt>
                <c:pt idx="109">
                  <c:v>9.7558539441389556</c:v>
                </c:pt>
                <c:pt idx="110">
                  <c:v>9.7635926081256805</c:v>
                </c:pt>
                <c:pt idx="111">
                  <c:v>9.7713312721124055</c:v>
                </c:pt>
                <c:pt idx="112">
                  <c:v>9.7790699360991304</c:v>
                </c:pt>
                <c:pt idx="113">
                  <c:v>9.7868086000858554</c:v>
                </c:pt>
                <c:pt idx="114">
                  <c:v>9.7945472640725804</c:v>
                </c:pt>
                <c:pt idx="115">
                  <c:v>9.8022859280593053</c:v>
                </c:pt>
                <c:pt idx="116">
                  <c:v>9.8100245920460303</c:v>
                </c:pt>
                <c:pt idx="117">
                  <c:v>9.8177632560327552</c:v>
                </c:pt>
                <c:pt idx="118">
                  <c:v>9.8255019200194802</c:v>
                </c:pt>
                <c:pt idx="119">
                  <c:v>9.8332405840062052</c:v>
                </c:pt>
                <c:pt idx="120">
                  <c:v>9.8409792479929301</c:v>
                </c:pt>
                <c:pt idx="121">
                  <c:v>9.8487179119796551</c:v>
                </c:pt>
                <c:pt idx="122">
                  <c:v>9.85645657596638</c:v>
                </c:pt>
                <c:pt idx="123">
                  <c:v>9.864195239953105</c:v>
                </c:pt>
                <c:pt idx="124">
                  <c:v>9.8719339039398299</c:v>
                </c:pt>
                <c:pt idx="125">
                  <c:v>9.8796725679265549</c:v>
                </c:pt>
                <c:pt idx="126">
                  <c:v>9.8874112319132799</c:v>
                </c:pt>
                <c:pt idx="127">
                  <c:v>9.8951498959000048</c:v>
                </c:pt>
                <c:pt idx="128">
                  <c:v>9.9028885598867298</c:v>
                </c:pt>
                <c:pt idx="129">
                  <c:v>9.9106272238734547</c:v>
                </c:pt>
                <c:pt idx="130">
                  <c:v>9.9183658878601797</c:v>
                </c:pt>
                <c:pt idx="131">
                  <c:v>9.9261045518469047</c:v>
                </c:pt>
                <c:pt idx="132">
                  <c:v>9.9338432158336296</c:v>
                </c:pt>
                <c:pt idx="133">
                  <c:v>9.9415818798203546</c:v>
                </c:pt>
                <c:pt idx="134">
                  <c:v>9.9493205438070795</c:v>
                </c:pt>
                <c:pt idx="135">
                  <c:v>9.9570592077938045</c:v>
                </c:pt>
                <c:pt idx="136">
                  <c:v>9.9647978717805294</c:v>
                </c:pt>
                <c:pt idx="137">
                  <c:v>9.9725365357672544</c:v>
                </c:pt>
                <c:pt idx="138">
                  <c:v>9.9802751997539794</c:v>
                </c:pt>
                <c:pt idx="139">
                  <c:v>9.9880138637407043</c:v>
                </c:pt>
                <c:pt idx="140">
                  <c:v>9.9957525277274293</c:v>
                </c:pt>
                <c:pt idx="141">
                  <c:v>10.003491191714154</c:v>
                </c:pt>
                <c:pt idx="142">
                  <c:v>10.011229855700879</c:v>
                </c:pt>
                <c:pt idx="143">
                  <c:v>10.018968519687604</c:v>
                </c:pt>
                <c:pt idx="144">
                  <c:v>10.026707183674329</c:v>
                </c:pt>
                <c:pt idx="145">
                  <c:v>10.034445847661054</c:v>
                </c:pt>
                <c:pt idx="146">
                  <c:v>10.042184511647779</c:v>
                </c:pt>
                <c:pt idx="147">
                  <c:v>10.049923175634504</c:v>
                </c:pt>
                <c:pt idx="148">
                  <c:v>10.057661839621229</c:v>
                </c:pt>
                <c:pt idx="149">
                  <c:v>10.065400503607954</c:v>
                </c:pt>
                <c:pt idx="150">
                  <c:v>10.073139167594679</c:v>
                </c:pt>
                <c:pt idx="151">
                  <c:v>10.080877831581404</c:v>
                </c:pt>
                <c:pt idx="152">
                  <c:v>10.088616495568129</c:v>
                </c:pt>
                <c:pt idx="153">
                  <c:v>10.096355159554854</c:v>
                </c:pt>
                <c:pt idx="154">
                  <c:v>10.104093823541579</c:v>
                </c:pt>
                <c:pt idx="155">
                  <c:v>10.111832487528304</c:v>
                </c:pt>
                <c:pt idx="156">
                  <c:v>10.119571151515029</c:v>
                </c:pt>
                <c:pt idx="157">
                  <c:v>10.127309815501754</c:v>
                </c:pt>
                <c:pt idx="158">
                  <c:v>10.135048479488479</c:v>
                </c:pt>
                <c:pt idx="159">
                  <c:v>10.142787143475203</c:v>
                </c:pt>
                <c:pt idx="160">
                  <c:v>10.150525807461928</c:v>
                </c:pt>
                <c:pt idx="161">
                  <c:v>10.158264471448653</c:v>
                </c:pt>
                <c:pt idx="162">
                  <c:v>10.166003135435378</c:v>
                </c:pt>
                <c:pt idx="163">
                  <c:v>10.173741799422103</c:v>
                </c:pt>
                <c:pt idx="164">
                  <c:v>10.181480463408828</c:v>
                </c:pt>
                <c:pt idx="165">
                  <c:v>10.189219127395553</c:v>
                </c:pt>
                <c:pt idx="166">
                  <c:v>10.196957791382278</c:v>
                </c:pt>
                <c:pt idx="167">
                  <c:v>10.204696455369003</c:v>
                </c:pt>
                <c:pt idx="168">
                  <c:v>10.212435119355728</c:v>
                </c:pt>
                <c:pt idx="169">
                  <c:v>10.220173783342453</c:v>
                </c:pt>
                <c:pt idx="170">
                  <c:v>10.227912447329178</c:v>
                </c:pt>
                <c:pt idx="171">
                  <c:v>10.235651111315903</c:v>
                </c:pt>
                <c:pt idx="172">
                  <c:v>10.243389775302628</c:v>
                </c:pt>
                <c:pt idx="173">
                  <c:v>10.251128439289353</c:v>
                </c:pt>
                <c:pt idx="174">
                  <c:v>10.258867103276078</c:v>
                </c:pt>
                <c:pt idx="175">
                  <c:v>10.266605767262803</c:v>
                </c:pt>
                <c:pt idx="176">
                  <c:v>10.274344431249528</c:v>
                </c:pt>
                <c:pt idx="177">
                  <c:v>10.282083095236253</c:v>
                </c:pt>
                <c:pt idx="178">
                  <c:v>10.289821759222978</c:v>
                </c:pt>
                <c:pt idx="179">
                  <c:v>10.297560423209703</c:v>
                </c:pt>
                <c:pt idx="180">
                  <c:v>10.305299087196428</c:v>
                </c:pt>
                <c:pt idx="181">
                  <c:v>10.313037751183153</c:v>
                </c:pt>
                <c:pt idx="182">
                  <c:v>10.320776415169878</c:v>
                </c:pt>
                <c:pt idx="183">
                  <c:v>10.328515079156602</c:v>
                </c:pt>
                <c:pt idx="184">
                  <c:v>10.336253743143327</c:v>
                </c:pt>
                <c:pt idx="185">
                  <c:v>10.343992407130052</c:v>
                </c:pt>
                <c:pt idx="186">
                  <c:v>10.351731071116777</c:v>
                </c:pt>
                <c:pt idx="187">
                  <c:v>10.359469735103502</c:v>
                </c:pt>
                <c:pt idx="188">
                  <c:v>10.367208399090227</c:v>
                </c:pt>
                <c:pt idx="189">
                  <c:v>10.374947063076952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72-4F72-84D3-1F4D9C067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134415"/>
        <c:axId val="29274144"/>
      </c:areaChart>
      <c:catAx>
        <c:axId val="149134415"/>
        <c:scaling>
          <c:orientation val="minMax"/>
        </c:scaling>
        <c:delete val="1"/>
        <c:axPos val="b"/>
        <c:majorTickMark val="out"/>
        <c:minorTickMark val="none"/>
        <c:tickLblPos val="nextTo"/>
        <c:crossAx val="29274144"/>
        <c:crosses val="autoZero"/>
        <c:auto val="1"/>
        <c:lblAlgn val="ctr"/>
        <c:lblOffset val="100"/>
        <c:noMultiLvlLbl val="0"/>
      </c:catAx>
      <c:valAx>
        <c:axId val="29274144"/>
        <c:scaling>
          <c:orientation val="minMax"/>
          <c:max val="40"/>
          <c:min val="0"/>
        </c:scaling>
        <c:delete val="1"/>
        <c:axPos val="l"/>
        <c:numFmt formatCode="0.00" sourceLinked="1"/>
        <c:majorTickMark val="out"/>
        <c:minorTickMark val="none"/>
        <c:tickLblPos val="nextTo"/>
        <c:crossAx val="149134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Lines="2" dropStyle="combo" dx="22" fmlaLink="$C$7" fmlaRange="CARGAS!$P$4:$P$5" sel="1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5" dropStyle="combo" dx="22" fmlaLink="$F$7" fmlaRange="CARGAS!$S$4:$S$8" sel="1" val="0"/>
</file>

<file path=xl/ctrlProps/ctrlProp4.xml><?xml version="1.0" encoding="utf-8"?>
<formControlPr xmlns="http://schemas.microsoft.com/office/spreadsheetml/2009/9/main" objectType="Spin" dx="22" fmlaLink="CARGAS!$Q$20" max="100" page="10" val="78"/>
</file>

<file path=xl/ctrlProps/ctrlProp5.xml><?xml version="1.0" encoding="utf-8"?>
<formControlPr xmlns="http://schemas.microsoft.com/office/spreadsheetml/2009/9/main" objectType="Spin" dx="22" fmlaLink="CARGAS!$R$20" max="100" page="10" val="41"/>
</file>

<file path=xl/ctrlProps/ctrlProp6.xml><?xml version="1.0" encoding="utf-8"?>
<formControlPr xmlns="http://schemas.microsoft.com/office/spreadsheetml/2009/9/main" objectType="Spin" dx="22" fmlaLink="CARGAS!$S$20" max="100" page="10" val="76"/>
</file>

<file path=xl/ctrlProps/ctrlProp7.xml><?xml version="1.0" encoding="utf-8"?>
<formControlPr xmlns="http://schemas.microsoft.com/office/spreadsheetml/2009/9/main" objectType="Spin" dx="22" fmlaLink="CARGAS!$T$20" max="100" page="10" val="95"/>
</file>

<file path=xl/ctrlProps/ctrlProp8.xml><?xml version="1.0" encoding="utf-8"?>
<formControlPr xmlns="http://schemas.microsoft.com/office/spreadsheetml/2009/9/main" objectType="Spin" dx="22" fmlaLink="CARGAS!$U$20" max="100" page="10" val="10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hyperlink" Target="https://www.linkedin.com/feed/update/urn:li:activity:6557736970364211200" TargetMode="External"/><Relationship Id="rId5" Type="http://schemas.openxmlformats.org/officeDocument/2006/relationships/image" Target="../media/image3.png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19</xdr:row>
      <xdr:rowOff>838200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2287250" cy="5829300"/>
        </a:xfrm>
        <a:prstGeom prst="rect">
          <a:avLst/>
        </a:prstGeom>
        <a:noFill/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28576</xdr:rowOff>
    </xdr:from>
    <xdr:to>
      <xdr:col>13</xdr:col>
      <xdr:colOff>0</xdr:colOff>
      <xdr:row>19</xdr:row>
      <xdr:rowOff>839390</xdr:rowOff>
    </xdr:to>
    <xdr:sp macro="" textlink="infocarga">
      <xdr:nvSpPr>
        <xdr:cNvPr id="22" name="Retâ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2046685"/>
          <a:ext cx="12287250" cy="3787377"/>
        </a:xfrm>
        <a:prstGeom prst="rect">
          <a:avLst/>
        </a:prstGeom>
        <a:gradFill flip="none" rotWithShape="1">
          <a:gsLst>
            <a:gs pos="0">
              <a:schemeClr val="bg1">
                <a:lumMod val="95000"/>
                <a:shade val="30000"/>
                <a:satMod val="115000"/>
              </a:schemeClr>
            </a:gs>
            <a:gs pos="50000">
              <a:schemeClr val="bg1">
                <a:lumMod val="95000"/>
                <a:shade val="67500"/>
                <a:satMod val="115000"/>
              </a:schemeClr>
            </a:gs>
            <a:gs pos="100000">
              <a:schemeClr val="bg1">
                <a:lumMod val="95000"/>
                <a:shade val="100000"/>
                <a:satMod val="115000"/>
              </a:schemeClr>
            </a:gs>
          </a:gsLst>
          <a:lin ang="5400000" scaled="1"/>
          <a:tileRect/>
        </a:gradFill>
        <a:ln w="571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51847857-191D-4D5B-A2AA-3025448F41A5}" type="TxLink">
            <a:rPr lang="en-US" sz="1400" b="1" i="0" u="none" strike="noStrike">
              <a:ln>
                <a:noFill/>
              </a:ln>
              <a:solidFill>
                <a:srgbClr val="C00000"/>
              </a:solidFill>
              <a:latin typeface="Calibri"/>
              <a:cs typeface="Calibri"/>
            </a:rPr>
            <a:pPr algn="l"/>
            <a:t> </a:t>
          </a:fld>
          <a:endParaRPr lang="en-US" sz="1400" b="1">
            <a:ln>
              <a:noFill/>
            </a:ln>
            <a:solidFill>
              <a:srgbClr val="C00000"/>
            </a:solidFill>
          </a:endParaRPr>
        </a:p>
      </xdr:txBody>
    </xdr:sp>
    <xdr:clientData/>
  </xdr:twoCellAnchor>
  <xdr:twoCellAnchor editAs="oneCell">
    <xdr:from>
      <xdr:col>1</xdr:col>
      <xdr:colOff>287629</xdr:colOff>
      <xdr:row>8</xdr:row>
      <xdr:rowOff>182224</xdr:rowOff>
    </xdr:from>
    <xdr:to>
      <xdr:col>12</xdr:col>
      <xdr:colOff>124234</xdr:colOff>
      <xdr:row>19</xdr:row>
      <xdr:rowOff>677440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977" y="2501354"/>
          <a:ext cx="11374279" cy="3195347"/>
        </a:xfrm>
        <a:prstGeom prst="rect">
          <a:avLst/>
        </a:prstGeom>
      </xdr:spPr>
    </xdr:pic>
    <xdr:clientData/>
  </xdr:twoCellAnchor>
  <xdr:twoCellAnchor>
    <xdr:from>
      <xdr:col>1</xdr:col>
      <xdr:colOff>1391009</xdr:colOff>
      <xdr:row>12</xdr:row>
      <xdr:rowOff>149087</xdr:rowOff>
    </xdr:from>
    <xdr:to>
      <xdr:col>17</xdr:col>
      <xdr:colOff>579664</xdr:colOff>
      <xdr:row>19</xdr:row>
      <xdr:rowOff>795130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285750</xdr:rowOff>
        </xdr:from>
        <xdr:to>
          <xdr:col>3</xdr:col>
          <xdr:colOff>628650</xdr:colOff>
          <xdr:row>6</xdr:row>
          <xdr:rowOff>266700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116670</xdr:colOff>
      <xdr:row>4</xdr:row>
      <xdr:rowOff>123266</xdr:rowOff>
    </xdr:from>
    <xdr:to>
      <xdr:col>13</xdr:col>
      <xdr:colOff>157294</xdr:colOff>
      <xdr:row>19</xdr:row>
      <xdr:rowOff>854416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156883</xdr:colOff>
      <xdr:row>4</xdr:row>
      <xdr:rowOff>179288</xdr:rowOff>
    </xdr:from>
    <xdr:to>
      <xdr:col>13</xdr:col>
      <xdr:colOff>100853</xdr:colOff>
      <xdr:row>20</xdr:row>
      <xdr:rowOff>750794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142875</xdr:rowOff>
        </xdr:from>
        <xdr:to>
          <xdr:col>12</xdr:col>
          <xdr:colOff>409575</xdr:colOff>
          <xdr:row>8</xdr:row>
          <xdr:rowOff>285750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0000" mc:Ignorable="a14" a14:legacySpreadsheetColorIndex="67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VALORES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285750</xdr:rowOff>
        </xdr:from>
        <xdr:to>
          <xdr:col>7</xdr:col>
          <xdr:colOff>28575</xdr:colOff>
          <xdr:row>6</xdr:row>
          <xdr:rowOff>266700</xdr:rowOff>
        </xdr:to>
        <xdr:sp macro="" textlink="">
          <xdr:nvSpPr>
            <xdr:cNvPr id="1037" name="Drop Dow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285750</xdr:rowOff>
        </xdr:from>
        <xdr:to>
          <xdr:col>2</xdr:col>
          <xdr:colOff>571500</xdr:colOff>
          <xdr:row>13</xdr:row>
          <xdr:rowOff>28575</xdr:rowOff>
        </xdr:to>
        <xdr:sp macro="" textlink="">
          <xdr:nvSpPr>
            <xdr:cNvPr id="1038" name="Spinner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1922775</xdr:colOff>
      <xdr:row>9</xdr:row>
      <xdr:rowOff>211471</xdr:rowOff>
    </xdr:from>
    <xdr:to>
      <xdr:col>3</xdr:col>
      <xdr:colOff>107423</xdr:colOff>
      <xdr:row>10</xdr:row>
      <xdr:rowOff>256294</xdr:rowOff>
    </xdr:to>
    <xdr:sp macro="" textlink="CARGAS!X3">
      <xdr:nvSpPr>
        <xdr:cNvPr id="10" name="Retângulo: Cantos Arredondado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138123" y="2828775"/>
          <a:ext cx="1009017" cy="342997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75982B9-88EB-4672-8E3C-5BA9798FCDE2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78%</a:t>
          </a:fld>
          <a:endParaRPr lang="pt-BR" sz="14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10</xdr:row>
          <xdr:rowOff>266700</xdr:rowOff>
        </xdr:from>
        <xdr:to>
          <xdr:col>4</xdr:col>
          <xdr:colOff>1038225</xdr:colOff>
          <xdr:row>13</xdr:row>
          <xdr:rowOff>28575</xdr:rowOff>
        </xdr:to>
        <xdr:sp macro="" textlink="">
          <xdr:nvSpPr>
            <xdr:cNvPr id="1040" name="Spinner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411912</xdr:colOff>
      <xdr:row>9</xdr:row>
      <xdr:rowOff>198333</xdr:rowOff>
    </xdr:from>
    <xdr:to>
      <xdr:col>4</xdr:col>
      <xdr:colOff>1427784</xdr:colOff>
      <xdr:row>10</xdr:row>
      <xdr:rowOff>243156</xdr:rowOff>
    </xdr:to>
    <xdr:sp macro="" textlink="CARGAS!Y3">
      <xdr:nvSpPr>
        <xdr:cNvPr id="38" name="Retângulo: Cantos Arredondados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4089390" y="2815637"/>
          <a:ext cx="1015872" cy="342997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66901F-55A5-4CF6-8720-CF1C2C40953A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41%</a:t>
          </a:fld>
          <a:endParaRPr lang="pt-BR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10</xdr:row>
          <xdr:rowOff>276225</xdr:rowOff>
        </xdr:from>
        <xdr:to>
          <xdr:col>6</xdr:col>
          <xdr:colOff>361950</xdr:colOff>
          <xdr:row>13</xdr:row>
          <xdr:rowOff>28575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411913</xdr:colOff>
      <xdr:row>9</xdr:row>
      <xdr:rowOff>204902</xdr:rowOff>
    </xdr:from>
    <xdr:to>
      <xdr:col>7</xdr:col>
      <xdr:colOff>245371</xdr:colOff>
      <xdr:row>10</xdr:row>
      <xdr:rowOff>249725</xdr:rowOff>
    </xdr:to>
    <xdr:sp macro="" textlink="CARGAS!Z3">
      <xdr:nvSpPr>
        <xdr:cNvPr id="40" name="Retângulo: Cantos Arredondados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110348" y="2822206"/>
          <a:ext cx="1017871" cy="342997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FF8B3AF-90D4-4A78-B6EB-649502F026E4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76%</a:t>
          </a:fld>
          <a:endParaRPr lang="pt-BR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1562100</xdr:colOff>
          <xdr:row>10</xdr:row>
          <xdr:rowOff>285750</xdr:rowOff>
        </xdr:from>
        <xdr:to>
          <xdr:col>7</xdr:col>
          <xdr:colOff>1819275</xdr:colOff>
          <xdr:row>13</xdr:row>
          <xdr:rowOff>28575</xdr:rowOff>
        </xdr:to>
        <xdr:sp macro="" textlink="">
          <xdr:nvSpPr>
            <xdr:cNvPr id="1042" name="Spinner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1193620</xdr:colOff>
      <xdr:row>9</xdr:row>
      <xdr:rowOff>211471</xdr:rowOff>
    </xdr:from>
    <xdr:to>
      <xdr:col>8</xdr:col>
      <xdr:colOff>297923</xdr:colOff>
      <xdr:row>10</xdr:row>
      <xdr:rowOff>256294</xdr:rowOff>
    </xdr:to>
    <xdr:sp macro="" textlink="CARGAS!AA3">
      <xdr:nvSpPr>
        <xdr:cNvPr id="42" name="Retângulo: Cantos Arredondados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8076468" y="2828775"/>
          <a:ext cx="1025868" cy="342997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2EBAEEA-A3F8-4383-B783-7CAE1422FF4A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95%</a:t>
          </a:fld>
          <a:endParaRPr lang="pt-BR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466725</xdr:colOff>
          <xdr:row>10</xdr:row>
          <xdr:rowOff>285750</xdr:rowOff>
        </xdr:from>
        <xdr:to>
          <xdr:col>10</xdr:col>
          <xdr:colOff>723900</xdr:colOff>
          <xdr:row>13</xdr:row>
          <xdr:rowOff>38100</xdr:rowOff>
        </xdr:to>
        <xdr:sp macro="" textlink="">
          <xdr:nvSpPr>
            <xdr:cNvPr id="1043" name="Spinner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96603</xdr:colOff>
      <xdr:row>9</xdr:row>
      <xdr:rowOff>218040</xdr:rowOff>
    </xdr:from>
    <xdr:to>
      <xdr:col>10</xdr:col>
      <xdr:colOff>1112475</xdr:colOff>
      <xdr:row>10</xdr:row>
      <xdr:rowOff>265434</xdr:rowOff>
    </xdr:to>
    <xdr:sp macro="" textlink="CARGAS!AB3">
      <xdr:nvSpPr>
        <xdr:cNvPr id="44" name="Retângulo: Cantos Arredondados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>
          <a:off x="9994320" y="2835344"/>
          <a:ext cx="1015872" cy="345568"/>
        </a:xfrm>
        <a:prstGeom prst="roundRect">
          <a:avLst>
            <a:gd name="adj" fmla="val 0"/>
          </a:avLst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2C77A5E-4E1E-4B39-A79A-83176A113043}" type="TxLink">
            <a:rPr lang="en-US" sz="1400" b="1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100%</a:t>
          </a:fld>
          <a:endParaRPr lang="pt-BR" sz="18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2</xdr:col>
      <xdr:colOff>676274</xdr:colOff>
      <xdr:row>19</xdr:row>
      <xdr:rowOff>850095</xdr:rowOff>
    </xdr:from>
    <xdr:to>
      <xdr:col>10</xdr:col>
      <xdr:colOff>95250</xdr:colOff>
      <xdr:row>22</xdr:row>
      <xdr:rowOff>171450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prstClr val="black"/>
            <a:schemeClr val="accent5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76549" y="5841195"/>
          <a:ext cx="7124701" cy="2150280"/>
        </a:xfrm>
        <a:prstGeom prst="rect">
          <a:avLst/>
        </a:prstGeom>
      </xdr:spPr>
    </xdr:pic>
    <xdr:clientData/>
  </xdr:twoCellAnchor>
  <xdr:twoCellAnchor>
    <xdr:from>
      <xdr:col>4</xdr:col>
      <xdr:colOff>771525</xdr:colOff>
      <xdr:row>21</xdr:row>
      <xdr:rowOff>267315</xdr:rowOff>
    </xdr:from>
    <xdr:to>
      <xdr:col>7</xdr:col>
      <xdr:colOff>1543050</xdr:colOff>
      <xdr:row>21</xdr:row>
      <xdr:rowOff>838815</xdr:rowOff>
    </xdr:to>
    <xdr:sp macro="" textlink="$I$5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457700" y="7144365"/>
          <a:ext cx="3971925" cy="571500"/>
        </a:xfrm>
        <a:prstGeom prst="roundRect">
          <a:avLst>
            <a:gd name="adj" fmla="val 10653"/>
          </a:avLst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31A2D1-78C3-4E36-A386-2257EBA8714D}" type="TxLink">
            <a:rPr lang="en-US" sz="3200" b="0" i="0" u="none" strike="noStrike">
              <a:ln>
                <a:solidFill>
                  <a:schemeClr val="tx1"/>
                </a:solidFill>
              </a:ln>
              <a:solidFill>
                <a:srgbClr val="FF0000"/>
              </a:solidFill>
              <a:latin typeface="Arial"/>
              <a:cs typeface="Arial"/>
            </a:rPr>
            <a:pPr algn="ctr"/>
            <a:t>35683,9</a:t>
          </a:fld>
          <a:endParaRPr lang="pt-BR" sz="3200">
            <a:ln>
              <a:solidFill>
                <a:schemeClr val="tx1"/>
              </a:solidFill>
            </a:ln>
            <a:solidFill>
              <a:srgbClr val="FF0000"/>
            </a:solidFill>
          </a:endParaRPr>
        </a:p>
      </xdr:txBody>
    </xdr:sp>
    <xdr:clientData/>
  </xdr:twoCellAnchor>
  <xdr:oneCellAnchor>
    <xdr:from>
      <xdr:col>7</xdr:col>
      <xdr:colOff>258398</xdr:colOff>
      <xdr:row>21</xdr:row>
      <xdr:rowOff>200025</xdr:rowOff>
    </xdr:from>
    <xdr:ext cx="427402" cy="651879"/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4973" y="7077075"/>
          <a:ext cx="427402" cy="651879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3600" b="0" cap="none" spc="0">
              <a:ln w="0">
                <a:solidFill>
                  <a:schemeClr val="tx1"/>
                </a:solidFill>
              </a:ln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rial" panose="020B0604020202020204" pitchFamily="34" charset="0"/>
              <a:cs typeface="Arial" panose="020B0604020202020204" pitchFamily="34" charset="0"/>
            </a:rPr>
            <a:t>t</a:t>
          </a:r>
        </a:p>
      </xdr:txBody>
    </xdr:sp>
    <xdr:clientData/>
  </xdr:oneCellAnchor>
  <xdr:twoCellAnchor>
    <xdr:from>
      <xdr:col>10</xdr:col>
      <xdr:colOff>161925</xdr:colOff>
      <xdr:row>5</xdr:row>
      <xdr:rowOff>95250</xdr:rowOff>
    </xdr:from>
    <xdr:to>
      <xdr:col>12</xdr:col>
      <xdr:colOff>333375</xdr:colOff>
      <xdr:row>6</xdr:row>
      <xdr:rowOff>200025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0067925" y="1533525"/>
          <a:ext cx="2028825" cy="409575"/>
        </a:xfrm>
        <a:prstGeom prst="rect">
          <a:avLst/>
        </a:prstGeom>
        <a:solidFill>
          <a:srgbClr val="DDDDDD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w="31750" h="5715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Ir para informativo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e215b02b5d226853/UFSC/8&#176;%20Semestre/Estrutural%201/ATUALIZADO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dos"/>
      <sheetName val="Estimativa de Pesos"/>
      <sheetName val="Sem Onda"/>
      <sheetName val="Alquebramento"/>
      <sheetName val="Tosamento"/>
      <sheetName val="Comparação Momentos"/>
      <sheetName val="SM Requerido"/>
      <sheetName val="Secção Mestra"/>
      <sheetName val="Cálculo SM Reforçadores1"/>
      <sheetName val="Chapas Navais Fornecedor"/>
      <sheetName val="Cálculos na Secção Mestra"/>
      <sheetName val="Comparação de Aço"/>
      <sheetName val="Círculo de Mohr e Von Mises"/>
    </sheetNames>
    <sheetDataSet>
      <sheetData sheetId="0"/>
      <sheetData sheetId="1" refreshError="1"/>
      <sheetData sheetId="2"/>
      <sheetData sheetId="3"/>
      <sheetData sheetId="4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1:M59"/>
  <sheetViews>
    <sheetView showGridLines="0" tabSelected="1" zoomScaleNormal="100" workbookViewId="0">
      <selection activeCell="U12" sqref="U12"/>
    </sheetView>
  </sheetViews>
  <sheetFormatPr defaultColWidth="9.140625" defaultRowHeight="13.5"/>
  <cols>
    <col min="1" max="1" width="3.28515625" style="1" customWidth="1"/>
    <col min="2" max="2" width="29.7109375" style="9" customWidth="1"/>
    <col min="3" max="3" width="12.7109375" style="9" customWidth="1"/>
    <col min="4" max="4" width="9.5703125" style="9" bestFit="1" customWidth="1"/>
    <col min="5" max="5" width="30.28515625" style="9" bestFit="1" customWidth="1"/>
    <col min="6" max="6" width="10.140625" style="9" customWidth="1"/>
    <col min="7" max="7" width="7.5703125" style="1" customWidth="1"/>
    <col min="8" max="8" width="28.7109375" style="1" bestFit="1" customWidth="1"/>
    <col min="9" max="9" width="8.85546875" style="1" customWidth="1"/>
    <col min="10" max="10" width="7.5703125" style="1" customWidth="1"/>
    <col min="11" max="11" width="18.28515625" style="1" customWidth="1"/>
    <col min="12" max="12" width="9.5703125" style="1" bestFit="1" customWidth="1"/>
    <col min="13" max="13" width="7.85546875" style="1" customWidth="1"/>
    <col min="14" max="16384" width="9.140625" style="1"/>
  </cols>
  <sheetData>
    <row r="1" spans="2:13" ht="21.75" customHeight="1">
      <c r="B1" s="46" t="s">
        <v>0</v>
      </c>
      <c r="C1" s="60"/>
      <c r="D1" s="61"/>
      <c r="E1" s="65" t="s">
        <v>1</v>
      </c>
      <c r="F1" s="60"/>
      <c r="G1" s="61"/>
      <c r="H1" s="46" t="s">
        <v>2</v>
      </c>
      <c r="I1" s="47"/>
      <c r="J1" s="48"/>
      <c r="K1" s="46" t="s">
        <v>3</v>
      </c>
      <c r="L1" s="47"/>
      <c r="M1" s="48"/>
    </row>
    <row r="2" spans="2:13" ht="21.75" customHeight="1" thickBot="1">
      <c r="B2" s="62"/>
      <c r="C2" s="63"/>
      <c r="D2" s="64"/>
      <c r="E2" s="62"/>
      <c r="F2" s="63"/>
      <c r="G2" s="64"/>
      <c r="H2" s="49"/>
      <c r="I2" s="50"/>
      <c r="J2" s="51"/>
      <c r="K2" s="49"/>
      <c r="L2" s="50"/>
      <c r="M2" s="51"/>
    </row>
    <row r="3" spans="2:13" ht="23.25" customHeight="1" thickBot="1">
      <c r="B3" s="14" t="s">
        <v>4</v>
      </c>
      <c r="C3" s="2">
        <v>190</v>
      </c>
      <c r="D3" s="17" t="s">
        <v>5</v>
      </c>
      <c r="E3" s="15" t="s">
        <v>6</v>
      </c>
      <c r="F3" s="3">
        <f>IF(DADOS!C7=1,1.025,0.998)</f>
        <v>1.0249999999999999</v>
      </c>
      <c r="G3" s="18" t="s">
        <v>7</v>
      </c>
      <c r="H3" s="14" t="s">
        <v>8</v>
      </c>
      <c r="I3" s="4">
        <f>'SEM ONDA LB=10'!D18</f>
        <v>9.6397739843380812</v>
      </c>
      <c r="J3" s="17" t="s">
        <v>5</v>
      </c>
      <c r="K3" s="14" t="s">
        <v>9</v>
      </c>
      <c r="L3" s="4">
        <f>CARGAS!L6</f>
        <v>7200</v>
      </c>
      <c r="M3" s="17" t="s">
        <v>10</v>
      </c>
    </row>
    <row r="4" spans="2:13" ht="23.25" customHeight="1" thickBot="1">
      <c r="B4" s="15" t="s">
        <v>11</v>
      </c>
      <c r="C4" s="3">
        <f>C3/10</f>
        <v>19</v>
      </c>
      <c r="D4" s="18" t="s">
        <v>5</v>
      </c>
      <c r="E4" s="15" t="s">
        <v>12</v>
      </c>
      <c r="F4" s="3">
        <v>25</v>
      </c>
      <c r="G4" s="18" t="s">
        <v>5</v>
      </c>
      <c r="H4" s="15" t="s">
        <v>13</v>
      </c>
      <c r="I4" s="5">
        <f>I5/DADOS!F3</f>
        <v>34813.552390243989</v>
      </c>
      <c r="J4" s="18" t="s">
        <v>14</v>
      </c>
      <c r="K4" s="15" t="s">
        <v>15</v>
      </c>
      <c r="L4" s="4">
        <f>CARGAS!L7</f>
        <v>4320</v>
      </c>
      <c r="M4" s="18" t="s">
        <v>10</v>
      </c>
    </row>
    <row r="5" spans="2:13" ht="23.25" customHeight="1" thickBot="1">
      <c r="B5" s="16" t="s">
        <v>16</v>
      </c>
      <c r="C5" s="6">
        <v>16</v>
      </c>
      <c r="D5" s="19" t="s">
        <v>5</v>
      </c>
      <c r="E5" s="16" t="s">
        <v>17</v>
      </c>
      <c r="F5" s="6">
        <v>1</v>
      </c>
      <c r="G5" s="19" t="s">
        <v>18</v>
      </c>
      <c r="H5" s="16" t="s">
        <v>19</v>
      </c>
      <c r="I5" s="7">
        <f>'SEM ONDA LB=10'!H19</f>
        <v>35683.891200000086</v>
      </c>
      <c r="J5" s="19" t="s">
        <v>20</v>
      </c>
      <c r="K5" s="16" t="s">
        <v>21</v>
      </c>
      <c r="L5" s="4">
        <f>CARGAS!L8</f>
        <v>2880</v>
      </c>
      <c r="M5" s="19" t="s">
        <v>10</v>
      </c>
    </row>
    <row r="6" spans="2:13" ht="24" customHeight="1">
      <c r="B6" s="54" t="s">
        <v>22</v>
      </c>
      <c r="C6" s="55"/>
      <c r="D6" s="55"/>
      <c r="E6" s="56" t="s">
        <v>23</v>
      </c>
      <c r="F6" s="57"/>
      <c r="G6" s="57"/>
      <c r="H6" s="58"/>
      <c r="I6" s="58"/>
      <c r="J6" s="59"/>
    </row>
    <row r="7" spans="2:13" ht="21.75" customHeight="1" thickBot="1">
      <c r="B7" s="8"/>
      <c r="C7" s="13">
        <v>1</v>
      </c>
      <c r="D7" s="8"/>
      <c r="F7" s="13">
        <v>1</v>
      </c>
      <c r="H7" s="20">
        <f>IF($F$7=1,CARGAS!T4,IF($F$7=2,CARGAS!T5,IF($F$7=3,CARGAS!T6,IF($F$7=4,CARGAS!T7,IF($F$7=5,CARGAS!T8)))))</f>
        <v>0.85</v>
      </c>
      <c r="I7" s="21" t="s">
        <v>7</v>
      </c>
      <c r="J7" s="22"/>
    </row>
    <row r="8" spans="2:13" ht="23.25" customHeight="1"/>
    <row r="9" spans="2:13" ht="23.25" customHeight="1">
      <c r="F9" s="1"/>
    </row>
    <row r="10" spans="2:13" ht="23.25" customHeight="1"/>
    <row r="11" spans="2:13" ht="23.25" customHeight="1"/>
    <row r="12" spans="2:13" ht="23.25" customHeight="1"/>
    <row r="13" spans="2:13" ht="23.25" customHeight="1">
      <c r="F13" s="1"/>
    </row>
    <row r="14" spans="2:13" ht="23.25" customHeight="1">
      <c r="F14" s="1"/>
    </row>
    <row r="15" spans="2:13">
      <c r="F15" s="1"/>
    </row>
    <row r="16" spans="2:13">
      <c r="F16" s="1"/>
    </row>
    <row r="17" spans="2:8">
      <c r="F17" s="1"/>
    </row>
    <row r="18" spans="2:8">
      <c r="G18" s="9"/>
      <c r="H18" s="10"/>
    </row>
    <row r="19" spans="2:8">
      <c r="H19" s="10"/>
    </row>
    <row r="20" spans="2:8" ht="74.25" customHeight="1"/>
    <row r="21" spans="2:8" ht="74.25" customHeight="1">
      <c r="B21" s="10"/>
      <c r="C21" s="10"/>
      <c r="D21" s="10"/>
      <c r="E21" s="10"/>
      <c r="F21" s="10"/>
      <c r="G21" s="10"/>
    </row>
    <row r="22" spans="2:8" ht="74.25" customHeight="1">
      <c r="B22" s="10"/>
      <c r="C22" s="10"/>
      <c r="D22" s="10"/>
      <c r="E22" s="10"/>
      <c r="F22" s="10"/>
      <c r="G22" s="10"/>
    </row>
    <row r="23" spans="2:8" ht="74.25" customHeight="1">
      <c r="B23" s="10"/>
      <c r="C23" s="10"/>
      <c r="D23" s="10"/>
      <c r="E23" s="10"/>
      <c r="F23" s="10"/>
      <c r="G23" s="10"/>
    </row>
    <row r="24" spans="2:8" ht="74.25" customHeight="1">
      <c r="B24" s="10"/>
      <c r="C24" s="10"/>
      <c r="D24" s="10"/>
      <c r="E24" s="10"/>
      <c r="F24" s="10"/>
      <c r="G24" s="10"/>
    </row>
    <row r="25" spans="2:8">
      <c r="B25" s="53"/>
      <c r="C25" s="53"/>
      <c r="D25" s="53"/>
    </row>
    <row r="26" spans="2:8">
      <c r="B26" s="8"/>
      <c r="C26" s="11"/>
      <c r="D26" s="8"/>
    </row>
    <row r="32" spans="2:8">
      <c r="E32" s="12"/>
    </row>
    <row r="33" spans="2:5" ht="14.25" customHeight="1">
      <c r="E33" s="12" t="s">
        <v>24</v>
      </c>
    </row>
    <row r="34" spans="2:5">
      <c r="B34" s="52"/>
      <c r="C34" s="52"/>
      <c r="E34" s="12"/>
    </row>
    <row r="35" spans="2:5">
      <c r="E35" s="12"/>
    </row>
    <row r="36" spans="2:5">
      <c r="E36" s="12"/>
    </row>
    <row r="43" spans="2:5">
      <c r="B43" s="52"/>
      <c r="C43" s="52"/>
    </row>
    <row r="57" ht="14.45" customHeight="1"/>
    <row r="58" ht="14.45" customHeight="1"/>
    <row r="59" ht="14.45" customHeight="1"/>
  </sheetData>
  <sheetProtection algorithmName="SHA-512" hashValue="qzrbt9N5/e8JIp9m3JiJFbjugS1GzjSBPLO0I4Z6VZlWAP3ey5vcM/UuU6nLK5LWEQQPQKOfkmac+p5Jet98kQ==" saltValue="q1vGMz6Onw3fJeHuqn+zGg==" spinCount="100000" sheet="1" objects="1" scenarios="1" selectLockedCells="1" selectUnlockedCells="1"/>
  <mergeCells count="9">
    <mergeCell ref="K1:M2"/>
    <mergeCell ref="B34:C34"/>
    <mergeCell ref="B43:C43"/>
    <mergeCell ref="B25:D25"/>
    <mergeCell ref="B6:D6"/>
    <mergeCell ref="E6:J6"/>
    <mergeCell ref="B1:D2"/>
    <mergeCell ref="E1:G2"/>
    <mergeCell ref="H1: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1</xdr:col>
                    <xdr:colOff>9525</xdr:colOff>
                    <xdr:row>5</xdr:row>
                    <xdr:rowOff>285750</xdr:rowOff>
                  </from>
                  <to>
                    <xdr:col>3</xdr:col>
                    <xdr:colOff>628650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6" name="Button 12">
              <controlPr defaultSize="0" print="0" autoFill="0" autoPict="0" macro="[0]!ITERAÇOES">
                <anchor moveWithCells="1" sizeWithCells="1">
                  <from>
                    <xdr:col>10</xdr:col>
                    <xdr:colOff>114300</xdr:colOff>
                    <xdr:row>7</xdr:row>
                    <xdr:rowOff>142875</xdr:rowOff>
                  </from>
                  <to>
                    <xdr:col>12</xdr:col>
                    <xdr:colOff>409575</xdr:colOff>
                    <xdr:row>8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" name="Drop Down 13">
              <controlPr defaultSize="0" autoLine="0" autoPict="0">
                <anchor moveWithCells="1">
                  <from>
                    <xdr:col>3</xdr:col>
                    <xdr:colOff>628650</xdr:colOff>
                    <xdr:row>5</xdr:row>
                    <xdr:rowOff>285750</xdr:rowOff>
                  </from>
                  <to>
                    <xdr:col>7</xdr:col>
                    <xdr:colOff>28575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8" name="Spinner 14">
              <controlPr defaultSize="0" autoPict="0">
                <anchor moveWithCells="1" sizeWithCells="1">
                  <from>
                    <xdr:col>2</xdr:col>
                    <xdr:colOff>304800</xdr:colOff>
                    <xdr:row>10</xdr:row>
                    <xdr:rowOff>285750</xdr:rowOff>
                  </from>
                  <to>
                    <xdr:col>2</xdr:col>
                    <xdr:colOff>571500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Spinner 16">
              <controlPr defaultSize="0" autoPict="0">
                <anchor moveWithCells="1" sizeWithCells="1">
                  <from>
                    <xdr:col>4</xdr:col>
                    <xdr:colOff>781050</xdr:colOff>
                    <xdr:row>10</xdr:row>
                    <xdr:rowOff>266700</xdr:rowOff>
                  </from>
                  <to>
                    <xdr:col>4</xdr:col>
                    <xdr:colOff>1038225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0" name="Spinner 17">
              <controlPr defaultSize="0" autoPict="0">
                <anchor moveWithCells="1" sizeWithCells="1">
                  <from>
                    <xdr:col>6</xdr:col>
                    <xdr:colOff>104775</xdr:colOff>
                    <xdr:row>10</xdr:row>
                    <xdr:rowOff>276225</xdr:rowOff>
                  </from>
                  <to>
                    <xdr:col>6</xdr:col>
                    <xdr:colOff>361950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Spinner 18">
              <controlPr defaultSize="0" autoPict="0">
                <anchor moveWithCells="1" sizeWithCells="1">
                  <from>
                    <xdr:col>7</xdr:col>
                    <xdr:colOff>1562100</xdr:colOff>
                    <xdr:row>10</xdr:row>
                    <xdr:rowOff>285750</xdr:rowOff>
                  </from>
                  <to>
                    <xdr:col>7</xdr:col>
                    <xdr:colOff>1819275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Spinner 19">
              <controlPr defaultSize="0" autoPict="0">
                <anchor moveWithCells="1" sizeWithCells="1">
                  <from>
                    <xdr:col>10</xdr:col>
                    <xdr:colOff>466725</xdr:colOff>
                    <xdr:row>10</xdr:row>
                    <xdr:rowOff>285750</xdr:rowOff>
                  </from>
                  <to>
                    <xdr:col>10</xdr:col>
                    <xdr:colOff>723900</xdr:colOff>
                    <xdr:row>13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1:AC53"/>
  <sheetViews>
    <sheetView zoomScaleNormal="100" workbookViewId="0">
      <selection activeCell="A2" sqref="A2"/>
    </sheetView>
  </sheetViews>
  <sheetFormatPr defaultColWidth="9.140625" defaultRowHeight="15"/>
  <cols>
    <col min="1" max="1" width="9.140625" style="23"/>
    <col min="2" max="2" width="7.7109375" style="23" bestFit="1" customWidth="1"/>
    <col min="3" max="3" width="12.140625" style="23" bestFit="1" customWidth="1"/>
    <col min="4" max="4" width="12.7109375" style="23" bestFit="1" customWidth="1"/>
    <col min="5" max="5" width="11.5703125" style="23" bestFit="1" customWidth="1"/>
    <col min="6" max="6" width="7.7109375" style="23" bestFit="1" customWidth="1"/>
    <col min="7" max="7" width="18.140625" style="23" bestFit="1" customWidth="1"/>
    <col min="8" max="8" width="12.7109375" style="23" bestFit="1" customWidth="1"/>
    <col min="9" max="10" width="9.140625" style="23"/>
    <col min="11" max="11" width="18.85546875" style="23" customWidth="1"/>
    <col min="12" max="13" width="9.140625" style="23"/>
    <col min="14" max="14" width="22.5703125" style="23" customWidth="1"/>
    <col min="15" max="16384" width="9.140625" style="23"/>
  </cols>
  <sheetData>
    <row r="1" spans="2:29">
      <c r="Y1" s="24"/>
    </row>
    <row r="3" spans="2:29">
      <c r="X3" s="23" t="str">
        <f>CARGAS!Q20&amp;"%"</f>
        <v>78%</v>
      </c>
      <c r="Y3" s="23" t="str">
        <f>CARGAS!R20&amp;"%"</f>
        <v>41%</v>
      </c>
      <c r="Z3" s="23" t="str">
        <f>CARGAS!S20&amp;"%"</f>
        <v>76%</v>
      </c>
      <c r="AA3" s="23" t="str">
        <f>CARGAS!T20&amp;"%"</f>
        <v>95%</v>
      </c>
      <c r="AB3" s="23" t="str">
        <f>CARGAS!U20&amp;"%"</f>
        <v>100%</v>
      </c>
    </row>
    <row r="4" spans="2:29" ht="18.75">
      <c r="C4" s="68" t="s">
        <v>25</v>
      </c>
      <c r="D4" s="68"/>
      <c r="E4" s="68"/>
      <c r="F4" s="68"/>
      <c r="G4" s="68"/>
      <c r="H4" s="68"/>
      <c r="P4" s="25" t="s">
        <v>26</v>
      </c>
      <c r="S4" s="23" t="s">
        <v>27</v>
      </c>
      <c r="T4" s="23">
        <v>0.85</v>
      </c>
      <c r="U4" s="23" t="s">
        <v>7</v>
      </c>
      <c r="Y4" s="26"/>
    </row>
    <row r="5" spans="2:29" ht="18.75">
      <c r="C5" s="69"/>
      <c r="D5" s="69"/>
      <c r="E5" s="69"/>
      <c r="F5" s="69"/>
      <c r="G5" s="69"/>
      <c r="H5" s="69"/>
      <c r="K5" s="27" t="s">
        <v>28</v>
      </c>
      <c r="L5" s="28">
        <f>48000*0.3</f>
        <v>14400</v>
      </c>
      <c r="M5" s="27" t="s">
        <v>29</v>
      </c>
      <c r="P5" s="25" t="s">
        <v>30</v>
      </c>
      <c r="S5" s="23" t="s">
        <v>31</v>
      </c>
      <c r="T5" s="23">
        <v>0.998</v>
      </c>
      <c r="U5" s="23" t="s">
        <v>7</v>
      </c>
      <c r="Y5" s="26"/>
    </row>
    <row r="6" spans="2:29">
      <c r="C6" s="24" t="s">
        <v>32</v>
      </c>
      <c r="D6" s="24" t="s">
        <v>33</v>
      </c>
      <c r="E6" s="24"/>
      <c r="F6" s="24"/>
      <c r="G6" s="66" t="s">
        <v>34</v>
      </c>
      <c r="H6" s="66"/>
      <c r="I6" s="66"/>
      <c r="K6" s="27" t="s">
        <v>35</v>
      </c>
      <c r="L6" s="28">
        <f>0.5*L5</f>
        <v>7200</v>
      </c>
      <c r="M6" s="27" t="s">
        <v>29</v>
      </c>
      <c r="S6" s="23" t="s">
        <v>36</v>
      </c>
      <c r="T6" s="23">
        <v>4</v>
      </c>
      <c r="U6" s="23" t="s">
        <v>7</v>
      </c>
      <c r="Y6" s="26"/>
    </row>
    <row r="7" spans="2:29">
      <c r="B7" s="23">
        <f>D7/$H$11</f>
        <v>5007.974400000001</v>
      </c>
      <c r="C7" s="24">
        <v>1</v>
      </c>
      <c r="D7" s="29">
        <f>$H$12*CARGAS!Q20/100*$H$11</f>
        <v>4256.7782400000006</v>
      </c>
      <c r="E7" s="23" t="s">
        <v>20</v>
      </c>
      <c r="F7" s="24" t="str">
        <f>"Tanque "&amp;C7&amp;"
 "&amp;D7&amp;" t"</f>
        <v>Tanque 1
 4256,77824 t</v>
      </c>
      <c r="G7" s="30" t="s">
        <v>37</v>
      </c>
      <c r="H7" s="23">
        <v>5</v>
      </c>
      <c r="K7" s="27" t="s">
        <v>38</v>
      </c>
      <c r="L7" s="28">
        <f>0.3*L5</f>
        <v>4320</v>
      </c>
      <c r="M7" s="27" t="s">
        <v>29</v>
      </c>
      <c r="S7" s="23" t="s">
        <v>39</v>
      </c>
      <c r="T7" s="23">
        <v>0.8</v>
      </c>
      <c r="U7" s="23" t="s">
        <v>7</v>
      </c>
      <c r="Y7" s="26"/>
    </row>
    <row r="8" spans="2:29">
      <c r="B8" s="23">
        <f t="shared" ref="B8:B11" si="0">D8/$H$11</f>
        <v>2632.3968000000004</v>
      </c>
      <c r="C8" s="24">
        <v>2</v>
      </c>
      <c r="D8" s="29">
        <f>$H$12*CARGAS!R20/100*$H$11</f>
        <v>2237.5372800000005</v>
      </c>
      <c r="E8" s="23" t="s">
        <v>20</v>
      </c>
      <c r="F8" s="24" t="str">
        <f t="shared" ref="F8:F11" si="1">"Tanque "&amp;C8&amp;"
 "&amp;D8&amp;" t"</f>
        <v>Tanque 2
 2237,53728 t</v>
      </c>
      <c r="G8" s="23" t="s">
        <v>4</v>
      </c>
      <c r="H8" s="23">
        <f>(loa-DADOS!F4)/H7</f>
        <v>33</v>
      </c>
      <c r="I8" s="23" t="s">
        <v>5</v>
      </c>
      <c r="K8" s="27" t="s">
        <v>40</v>
      </c>
      <c r="L8" s="28">
        <f>0.2*L5</f>
        <v>2880</v>
      </c>
      <c r="M8" s="27" t="s">
        <v>29</v>
      </c>
      <c r="S8" s="23" t="s">
        <v>41</v>
      </c>
      <c r="T8" s="23">
        <v>2.9</v>
      </c>
      <c r="U8" s="23" t="s">
        <v>7</v>
      </c>
      <c r="Y8" s="26"/>
    </row>
    <row r="9" spans="2:29">
      <c r="B9" s="23">
        <f t="shared" si="0"/>
        <v>4879.564800000001</v>
      </c>
      <c r="C9" s="24">
        <v>3</v>
      </c>
      <c r="D9" s="29">
        <f>$H$12*CARGAS!S20/100*$H$11</f>
        <v>4147.6300800000008</v>
      </c>
      <c r="E9" s="23" t="s">
        <v>20</v>
      </c>
      <c r="F9" s="24" t="str">
        <f t="shared" si="1"/>
        <v>Tanque 3
 4147,63008 t</v>
      </c>
      <c r="G9" s="23" t="s">
        <v>42</v>
      </c>
      <c r="H9" s="23">
        <f>boa*0.8</f>
        <v>15.200000000000001</v>
      </c>
      <c r="I9" s="23" t="s">
        <v>5</v>
      </c>
      <c r="K9" s="27" t="s">
        <v>43</v>
      </c>
      <c r="L9" s="28">
        <f>DADOS!H7*CARGAS!H13</f>
        <v>27287.040000000008</v>
      </c>
      <c r="M9" s="27" t="s">
        <v>29</v>
      </c>
      <c r="Y9" s="26"/>
    </row>
    <row r="10" spans="2:29">
      <c r="B10" s="23">
        <f t="shared" si="0"/>
        <v>6099.456000000001</v>
      </c>
      <c r="C10" s="24">
        <v>4</v>
      </c>
      <c r="D10" s="29">
        <f>$H$12*CARGAS!T20/100*$H$11</f>
        <v>5184.5376000000006</v>
      </c>
      <c r="E10" s="23" t="s">
        <v>20</v>
      </c>
      <c r="F10" s="24" t="str">
        <f t="shared" si="1"/>
        <v>Tanque 4
 5184,5376 t</v>
      </c>
      <c r="G10" s="23" t="s">
        <v>44</v>
      </c>
      <c r="H10" s="23">
        <f>pontal*0.8</f>
        <v>12.8</v>
      </c>
      <c r="I10" s="23" t="s">
        <v>5</v>
      </c>
      <c r="Y10" s="29"/>
    </row>
    <row r="11" spans="2:29">
      <c r="B11" s="23">
        <f t="shared" si="0"/>
        <v>6420.4800000000014</v>
      </c>
      <c r="C11" s="24">
        <v>5</v>
      </c>
      <c r="D11" s="29">
        <f>$H$12*CARGAS!U20/100*$H$11</f>
        <v>5457.4080000000013</v>
      </c>
      <c r="E11" s="23" t="s">
        <v>20</v>
      </c>
      <c r="F11" s="24" t="str">
        <f t="shared" si="1"/>
        <v>Tanque 5
 5457,408 t</v>
      </c>
      <c r="G11" s="23" t="s">
        <v>45</v>
      </c>
      <c r="H11" s="31">
        <f>DADOS!H7</f>
        <v>0.85</v>
      </c>
      <c r="I11" s="23" t="s">
        <v>46</v>
      </c>
      <c r="L11" s="26">
        <f>SUM(L6:L9)</f>
        <v>41687.040000000008</v>
      </c>
      <c r="N11" s="32">
        <f>L11-'SEM ONDA LB=10'!H19</f>
        <v>6003.1487999999226</v>
      </c>
      <c r="X11" s="23" t="s">
        <v>47</v>
      </c>
      <c r="Y11" s="23">
        <v>0</v>
      </c>
      <c r="Z11" s="23">
        <v>0</v>
      </c>
      <c r="AA11" s="23">
        <f>DADOS!F4</f>
        <v>25</v>
      </c>
      <c r="AB11" s="23">
        <f>DADOS!F4</f>
        <v>25</v>
      </c>
    </row>
    <row r="12" spans="2:29">
      <c r="F12" s="24"/>
      <c r="G12" s="23" t="s">
        <v>48</v>
      </c>
      <c r="H12" s="23">
        <f>H10*H9*H8</f>
        <v>6420.4800000000014</v>
      </c>
      <c r="I12" s="23" t="s">
        <v>14</v>
      </c>
      <c r="X12" s="23" t="s">
        <v>49</v>
      </c>
      <c r="Y12" s="23">
        <f>pontal</f>
        <v>16</v>
      </c>
      <c r="Z12" s="23">
        <f>Y12*2.3</f>
        <v>36.799999999999997</v>
      </c>
      <c r="AA12" s="23">
        <f>Z12</f>
        <v>36.799999999999997</v>
      </c>
      <c r="AB12" s="23">
        <f>Y12</f>
        <v>16</v>
      </c>
    </row>
    <row r="13" spans="2:29">
      <c r="C13" s="70" t="s">
        <v>50</v>
      </c>
      <c r="D13" s="70"/>
      <c r="E13" s="30"/>
      <c r="F13" s="24"/>
      <c r="G13" s="23" t="s">
        <v>51</v>
      </c>
      <c r="H13" s="23">
        <f>H12*H7</f>
        <v>32102.400000000009</v>
      </c>
      <c r="I13" s="23" t="s">
        <v>14</v>
      </c>
      <c r="X13" s="23" t="s">
        <v>47</v>
      </c>
      <c r="Y13" s="23">
        <v>0</v>
      </c>
      <c r="Z13" s="23">
        <v>0</v>
      </c>
      <c r="AA13" s="23">
        <f>loa</f>
        <v>190</v>
      </c>
      <c r="AB13" s="23">
        <f>loa</f>
        <v>190</v>
      </c>
      <c r="AC13" s="23">
        <v>0</v>
      </c>
    </row>
    <row r="14" spans="2:29">
      <c r="C14" s="30">
        <v>1</v>
      </c>
      <c r="D14" s="33">
        <f>D7/$H$8</f>
        <v>128.99328000000003</v>
      </c>
      <c r="E14" s="24" t="s">
        <v>52</v>
      </c>
      <c r="X14" s="23" t="s">
        <v>49</v>
      </c>
      <c r="Y14" s="23">
        <v>0</v>
      </c>
      <c r="Z14" s="23">
        <f>pontal</f>
        <v>16</v>
      </c>
      <c r="AA14" s="23">
        <f>pontal</f>
        <v>16</v>
      </c>
      <c r="AB14" s="23">
        <v>0</v>
      </c>
      <c r="AC14" s="23">
        <v>0</v>
      </c>
    </row>
    <row r="15" spans="2:29">
      <c r="C15" s="30">
        <v>2</v>
      </c>
      <c r="D15" s="33">
        <f t="shared" ref="D15:D18" si="2">D8/$H$8</f>
        <v>67.80416000000001</v>
      </c>
      <c r="E15" s="24" t="s">
        <v>52</v>
      </c>
      <c r="F15" s="30"/>
      <c r="Y15" s="26"/>
    </row>
    <row r="16" spans="2:29">
      <c r="C16" s="30">
        <v>3</v>
      </c>
      <c r="D16" s="33">
        <f t="shared" si="2"/>
        <v>125.68576000000003</v>
      </c>
      <c r="E16" s="24" t="s">
        <v>52</v>
      </c>
      <c r="F16" s="30"/>
      <c r="Y16" s="26"/>
    </row>
    <row r="17" spans="3:25">
      <c r="C17" s="30">
        <v>4</v>
      </c>
      <c r="D17" s="33">
        <f t="shared" si="2"/>
        <v>157.10720000000001</v>
      </c>
      <c r="E17" s="24" t="s">
        <v>52</v>
      </c>
      <c r="F17" s="30"/>
      <c r="Y17" s="26"/>
    </row>
    <row r="18" spans="3:25" ht="21">
      <c r="C18" s="30">
        <v>5</v>
      </c>
      <c r="D18" s="33">
        <f t="shared" si="2"/>
        <v>165.37600000000003</v>
      </c>
      <c r="E18" s="24" t="s">
        <v>52</v>
      </c>
      <c r="F18" s="30"/>
      <c r="P18" s="67" t="s">
        <v>32</v>
      </c>
      <c r="Q18" s="67"/>
      <c r="R18" s="67"/>
      <c r="S18" s="67"/>
      <c r="T18" s="67"/>
      <c r="U18" s="67"/>
      <c r="Y18" s="26"/>
    </row>
    <row r="19" spans="3:25" ht="18.75">
      <c r="F19" s="30"/>
      <c r="P19" s="34"/>
      <c r="Q19" s="34">
        <v>1</v>
      </c>
      <c r="R19" s="34">
        <v>2</v>
      </c>
      <c r="S19" s="34">
        <v>3</v>
      </c>
      <c r="T19" s="34">
        <v>4</v>
      </c>
      <c r="U19" s="34">
        <v>5</v>
      </c>
      <c r="Y19" s="29"/>
    </row>
    <row r="20" spans="3:25" ht="18.75">
      <c r="C20" s="71" t="s">
        <v>28</v>
      </c>
      <c r="D20" s="71"/>
      <c r="F20" s="30"/>
      <c r="P20" s="35" t="s">
        <v>53</v>
      </c>
      <c r="Q20" s="36">
        <v>78</v>
      </c>
      <c r="R20" s="36">
        <v>41</v>
      </c>
      <c r="S20" s="36">
        <v>76</v>
      </c>
      <c r="T20" s="36">
        <v>95</v>
      </c>
      <c r="U20" s="36">
        <v>100</v>
      </c>
      <c r="Y20" s="26"/>
    </row>
    <row r="21" spans="3:25">
      <c r="C21" s="23" t="s">
        <v>9</v>
      </c>
      <c r="D21" s="26">
        <f>CARGAS!L6/loa</f>
        <v>37.89473684210526</v>
      </c>
      <c r="E21" s="24" t="s">
        <v>52</v>
      </c>
      <c r="F21" s="30"/>
      <c r="Y21" s="26"/>
    </row>
    <row r="22" spans="3:25">
      <c r="C22" s="23" t="s">
        <v>54</v>
      </c>
      <c r="D22" s="26">
        <f>CARGAS!L8/loa</f>
        <v>15.157894736842104</v>
      </c>
      <c r="E22" s="24" t="s">
        <v>52</v>
      </c>
      <c r="F22" s="30"/>
      <c r="Y22" s="26"/>
    </row>
    <row r="23" spans="3:25">
      <c r="C23" s="23" t="s">
        <v>15</v>
      </c>
      <c r="D23" s="26">
        <f>CARGAS!L7/DADOS!$F$4</f>
        <v>172.8</v>
      </c>
      <c r="E23" s="24" t="s">
        <v>52</v>
      </c>
      <c r="Y23" s="26"/>
    </row>
    <row r="24" spans="3:25">
      <c r="Y24" s="26"/>
    </row>
    <row r="25" spans="3:25">
      <c r="Y25" s="26"/>
    </row>
    <row r="26" spans="3:25">
      <c r="Y26" s="26"/>
    </row>
    <row r="27" spans="3:25">
      <c r="Y27" s="26"/>
    </row>
    <row r="28" spans="3:25">
      <c r="Y28" s="29"/>
    </row>
    <row r="29" spans="3:25">
      <c r="Y29" s="26"/>
    </row>
    <row r="30" spans="3:25">
      <c r="Y30" s="26"/>
    </row>
    <row r="31" spans="3:25">
      <c r="Y31" s="26"/>
    </row>
    <row r="32" spans="3:25">
      <c r="Y32" s="26"/>
    </row>
    <row r="33" spans="14:28">
      <c r="Y33" s="26"/>
    </row>
    <row r="34" spans="14:28">
      <c r="Y34" s="26"/>
    </row>
    <row r="35" spans="14:28">
      <c r="N35" s="66" t="s">
        <v>55</v>
      </c>
      <c r="O35" s="66"/>
      <c r="P35" s="66"/>
      <c r="S35" s="23" t="s">
        <v>49</v>
      </c>
      <c r="T35" s="23" t="s">
        <v>56</v>
      </c>
      <c r="U35" s="23" t="s">
        <v>47</v>
      </c>
      <c r="Y35" s="26"/>
    </row>
    <row r="36" spans="14:28">
      <c r="N36" s="23" t="s">
        <v>57</v>
      </c>
      <c r="O36" s="23" t="s">
        <v>47</v>
      </c>
      <c r="P36" s="23" t="s">
        <v>49</v>
      </c>
      <c r="Q36" s="23" t="s">
        <v>58</v>
      </c>
      <c r="R36" s="23" t="s">
        <v>47</v>
      </c>
      <c r="S36" s="23">
        <f>pontal-$H$10</f>
        <v>3.1999999999999993</v>
      </c>
      <c r="T36" s="23" t="s">
        <v>59</v>
      </c>
      <c r="U36" s="23">
        <f>R40</f>
        <v>91</v>
      </c>
      <c r="V36" s="23" t="s">
        <v>49</v>
      </c>
      <c r="W36" s="23" t="s">
        <v>60</v>
      </c>
      <c r="X36" s="23" t="s">
        <v>47</v>
      </c>
      <c r="Y36" s="23" t="s">
        <v>49</v>
      </c>
      <c r="Z36" s="23" t="s">
        <v>61</v>
      </c>
      <c r="AA36" s="23" t="s">
        <v>47</v>
      </c>
      <c r="AB36" s="23" t="s">
        <v>49</v>
      </c>
    </row>
    <row r="37" spans="14:28">
      <c r="N37" s="23" t="s">
        <v>59</v>
      </c>
      <c r="O37" s="23">
        <f>DADOS!$F$4</f>
        <v>25</v>
      </c>
      <c r="P37" s="23">
        <f>pontal-$H$10</f>
        <v>3.1999999999999993</v>
      </c>
      <c r="Q37" s="23" t="s">
        <v>59</v>
      </c>
      <c r="R37" s="23">
        <f>O40</f>
        <v>58</v>
      </c>
      <c r="S37" s="23">
        <f>pontal</f>
        <v>16</v>
      </c>
      <c r="T37" s="23" t="s">
        <v>62</v>
      </c>
      <c r="U37" s="23">
        <f>U36</f>
        <v>91</v>
      </c>
      <c r="V37" s="23">
        <f>pontal-$H$10</f>
        <v>3.1999999999999993</v>
      </c>
      <c r="W37" s="23" t="s">
        <v>59</v>
      </c>
      <c r="X37" s="23">
        <f>U39</f>
        <v>124</v>
      </c>
      <c r="Y37" s="23">
        <f>pontal-$H$10</f>
        <v>3.1999999999999993</v>
      </c>
      <c r="Z37" s="23" t="s">
        <v>59</v>
      </c>
      <c r="AA37" s="23">
        <f>X40</f>
        <v>157</v>
      </c>
      <c r="AB37" s="23">
        <f>pontal-$H$10</f>
        <v>3.1999999999999993</v>
      </c>
    </row>
    <row r="38" spans="14:28">
      <c r="N38" s="23" t="s">
        <v>62</v>
      </c>
      <c r="O38" s="23">
        <f>O37</f>
        <v>25</v>
      </c>
      <c r="P38" s="23">
        <f>pontal</f>
        <v>16</v>
      </c>
      <c r="Q38" s="23" t="s">
        <v>62</v>
      </c>
      <c r="R38" s="23">
        <f>R37</f>
        <v>58</v>
      </c>
      <c r="S38" s="23">
        <f>pontal</f>
        <v>16</v>
      </c>
      <c r="T38" s="23" t="s">
        <v>63</v>
      </c>
      <c r="U38" s="23">
        <f>U37+$H$8</f>
        <v>124</v>
      </c>
      <c r="V38" s="23">
        <f>pontal</f>
        <v>16</v>
      </c>
      <c r="W38" s="23" t="s">
        <v>62</v>
      </c>
      <c r="X38" s="23">
        <f>X37</f>
        <v>124</v>
      </c>
      <c r="Y38" s="23">
        <f>pontal</f>
        <v>16</v>
      </c>
      <c r="Z38" s="23" t="s">
        <v>62</v>
      </c>
      <c r="AA38" s="23">
        <f>AA37</f>
        <v>157</v>
      </c>
      <c r="AB38" s="23">
        <f>pontal</f>
        <v>16</v>
      </c>
    </row>
    <row r="39" spans="14:28">
      <c r="N39" s="23" t="s">
        <v>63</v>
      </c>
      <c r="O39" s="23">
        <f>$O$38+$H$8</f>
        <v>58</v>
      </c>
      <c r="P39" s="23">
        <f>pontal</f>
        <v>16</v>
      </c>
      <c r="Q39" s="23" t="s">
        <v>63</v>
      </c>
      <c r="R39" s="23">
        <f>R38+$H$8</f>
        <v>91</v>
      </c>
      <c r="S39" s="23">
        <f>S36</f>
        <v>3.1999999999999993</v>
      </c>
      <c r="T39" s="23" t="s">
        <v>64</v>
      </c>
      <c r="U39" s="23">
        <f>U38</f>
        <v>124</v>
      </c>
      <c r="V39" s="23">
        <f>pontal</f>
        <v>16</v>
      </c>
      <c r="W39" s="23" t="s">
        <v>63</v>
      </c>
      <c r="X39" s="23">
        <f>X38+$H$8</f>
        <v>157</v>
      </c>
      <c r="Y39" s="23">
        <f>pontal</f>
        <v>16</v>
      </c>
      <c r="Z39" s="23" t="s">
        <v>63</v>
      </c>
      <c r="AA39" s="23">
        <f>AA38+$H$8</f>
        <v>190</v>
      </c>
      <c r="AB39" s="23">
        <f>pontal</f>
        <v>16</v>
      </c>
    </row>
    <row r="40" spans="14:28">
      <c r="N40" s="23" t="s">
        <v>64</v>
      </c>
      <c r="O40" s="23">
        <f>O39</f>
        <v>58</v>
      </c>
      <c r="P40" s="23">
        <f>P37</f>
        <v>3.1999999999999993</v>
      </c>
      <c r="Q40" s="23" t="s">
        <v>64</v>
      </c>
      <c r="R40" s="23">
        <f>R39</f>
        <v>91</v>
      </c>
      <c r="S40" s="23">
        <f>S36</f>
        <v>3.1999999999999993</v>
      </c>
      <c r="T40" s="23" t="s">
        <v>65</v>
      </c>
      <c r="U40" s="23">
        <f>U36</f>
        <v>91</v>
      </c>
      <c r="V40" s="23">
        <f>V37</f>
        <v>3.1999999999999993</v>
      </c>
      <c r="W40" s="23" t="s">
        <v>64</v>
      </c>
      <c r="X40" s="23">
        <f>X39</f>
        <v>157</v>
      </c>
      <c r="Y40" s="23">
        <f>Y37</f>
        <v>3.1999999999999993</v>
      </c>
      <c r="Z40" s="23" t="s">
        <v>64</v>
      </c>
      <c r="AA40" s="23">
        <f>AA39</f>
        <v>190</v>
      </c>
      <c r="AB40" s="23">
        <f>AB37</f>
        <v>3.1999999999999993</v>
      </c>
    </row>
    <row r="41" spans="14:28">
      <c r="N41" s="23" t="s">
        <v>65</v>
      </c>
      <c r="O41" s="23">
        <f>O37</f>
        <v>25</v>
      </c>
      <c r="P41" s="23">
        <f>P37</f>
        <v>3.1999999999999993</v>
      </c>
      <c r="Q41" s="23" t="s">
        <v>65</v>
      </c>
      <c r="R41" s="23">
        <f>R37</f>
        <v>58</v>
      </c>
      <c r="V41" s="23">
        <f>V37</f>
        <v>3.1999999999999993</v>
      </c>
      <c r="W41" s="23" t="s">
        <v>65</v>
      </c>
      <c r="X41" s="23">
        <f>X37</f>
        <v>124</v>
      </c>
      <c r="Y41" s="23">
        <f>Y37</f>
        <v>3.1999999999999993</v>
      </c>
      <c r="Z41" s="23" t="s">
        <v>65</v>
      </c>
      <c r="AA41" s="23">
        <f>AA37</f>
        <v>157</v>
      </c>
      <c r="AB41" s="23">
        <f>AB37</f>
        <v>3.1999999999999993</v>
      </c>
    </row>
    <row r="42" spans="14:28">
      <c r="Y42" s="26"/>
    </row>
    <row r="43" spans="14:28">
      <c r="Y43" s="26"/>
    </row>
    <row r="44" spans="14:28">
      <c r="Y44" s="26"/>
    </row>
    <row r="45" spans="14:28">
      <c r="Y45" s="26"/>
    </row>
    <row r="46" spans="14:28">
      <c r="Y46" s="29"/>
    </row>
    <row r="47" spans="14:28">
      <c r="Y47" s="26"/>
    </row>
    <row r="48" spans="14:28">
      <c r="Y48" s="26"/>
    </row>
    <row r="49" spans="25:25">
      <c r="Y49" s="26"/>
    </row>
    <row r="50" spans="25:25">
      <c r="Y50" s="26"/>
    </row>
    <row r="51" spans="25:25">
      <c r="Y51" s="26"/>
    </row>
    <row r="52" spans="25:25">
      <c r="Y52" s="26"/>
    </row>
    <row r="53" spans="25:25">
      <c r="Y53" s="26"/>
    </row>
  </sheetData>
  <sheetProtection algorithmName="SHA-512" hashValue="KapRH8ZEB+JNr9NslNjOb0i5RC8IsQmfIOhE+PJzMWDCr+45pajl3T5kEDhrOBgpSqMB6JJq50bcCg2zcWc5Zw==" saltValue="viQc6dXt1r3X8c+oRlEp8Q==" spinCount="100000" sheet="1" objects="1" scenarios="1" selectLockedCells="1" selectUnlockedCells="1"/>
  <mergeCells count="7">
    <mergeCell ref="G6:I6"/>
    <mergeCell ref="N35:P35"/>
    <mergeCell ref="P18:U18"/>
    <mergeCell ref="C4:H4"/>
    <mergeCell ref="C5:H5"/>
    <mergeCell ref="C13:D13"/>
    <mergeCell ref="C20:D20"/>
  </mergeCells>
  <phoneticPr fontId="4" type="noConversion"/>
  <pageMargins left="0.511811024" right="0.511811024" top="0.78740157499999996" bottom="0.78740157499999996" header="0.31496062000000002" footer="0.31496062000000002"/>
  <ignoredErrors>
    <ignoredError sqref="O3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A7:AD212"/>
  <sheetViews>
    <sheetView topLeftCell="A2" zoomScaleNormal="100" workbookViewId="0">
      <selection activeCell="D20" sqref="D20"/>
    </sheetView>
  </sheetViews>
  <sheetFormatPr defaultColWidth="9.140625" defaultRowHeight="15"/>
  <cols>
    <col min="1" max="1" width="5.42578125" style="39" bestFit="1" customWidth="1"/>
    <col min="2" max="2" width="18.85546875" style="39" bestFit="1" customWidth="1"/>
    <col min="3" max="3" width="31.7109375" style="39" customWidth="1"/>
    <col min="4" max="4" width="18.7109375" style="39" bestFit="1" customWidth="1"/>
    <col min="5" max="5" width="27" style="39" bestFit="1" customWidth="1"/>
    <col min="6" max="6" width="27.5703125" style="39" bestFit="1" customWidth="1"/>
    <col min="7" max="7" width="12" style="39" bestFit="1" customWidth="1"/>
    <col min="8" max="8" width="20.42578125" style="39" customWidth="1"/>
    <col min="9" max="10" width="12" style="39" bestFit="1" customWidth="1"/>
    <col min="11" max="11" width="12.28515625" style="39" bestFit="1" customWidth="1"/>
    <col min="12" max="12" width="12.5703125" style="39" bestFit="1" customWidth="1"/>
    <col min="13" max="16384" width="9.140625" style="39"/>
  </cols>
  <sheetData>
    <row r="7" spans="29:30">
      <c r="AC7" s="40"/>
      <c r="AD7" s="40"/>
    </row>
    <row r="8" spans="29:30">
      <c r="AC8" s="40"/>
      <c r="AD8" s="40"/>
    </row>
    <row r="17" spans="1:13">
      <c r="B17" s="72" t="s">
        <v>66</v>
      </c>
      <c r="C17" s="72"/>
      <c r="D17" s="37">
        <f>180*F17/PI()</f>
        <v>-0.44338393468444826</v>
      </c>
      <c r="E17" s="41" t="s">
        <v>67</v>
      </c>
      <c r="F17" s="37">
        <v>-7.7385095106911076E-3</v>
      </c>
    </row>
    <row r="18" spans="1:13">
      <c r="B18" s="72" t="s">
        <v>68</v>
      </c>
      <c r="C18" s="72"/>
      <c r="D18" s="38">
        <v>9.6397739843380812</v>
      </c>
      <c r="F18" s="40">
        <f>G23-G212</f>
        <v>-1.4626074934910172</v>
      </c>
    </row>
    <row r="19" spans="1:13" ht="15" customHeight="1">
      <c r="B19" s="72" t="s">
        <v>69</v>
      </c>
      <c r="C19" s="72"/>
      <c r="D19" s="38">
        <f>J212</f>
        <v>1.8744581524288151E-5</v>
      </c>
      <c r="G19" s="40">
        <f>MAX(G23:G212)</f>
        <v>10.374947063076952</v>
      </c>
      <c r="H19" s="40">
        <f>SUM(F23:F212)</f>
        <v>35683.891200000086</v>
      </c>
      <c r="M19" s="42" t="s">
        <v>70</v>
      </c>
    </row>
    <row r="20" spans="1:13" ht="14.45" customHeight="1">
      <c r="B20" s="72" t="s">
        <v>71</v>
      </c>
      <c r="C20" s="72"/>
      <c r="D20" s="38">
        <f>K212</f>
        <v>-6.6199618231621571E-8</v>
      </c>
      <c r="G20" s="39" t="str">
        <f>IF(G19&gt;=pontal,"Note que em alguns carregamentos, não é possível carregar totalmente os tanques devido a densidade da carga ser muito alta!","")</f>
        <v/>
      </c>
      <c r="M20" s="39">
        <f>SUM(L23:L212)/SUM(F23:F212)</f>
        <v>97.914008445356757</v>
      </c>
    </row>
    <row r="22" spans="1:13">
      <c r="A22" s="43" t="s">
        <v>72</v>
      </c>
      <c r="B22" s="42" t="s">
        <v>73</v>
      </c>
      <c r="C22" s="42" t="s">
        <v>74</v>
      </c>
      <c r="D22" s="42" t="s">
        <v>75</v>
      </c>
      <c r="E22" s="42" t="s">
        <v>76</v>
      </c>
      <c r="F22" s="42" t="s">
        <v>77</v>
      </c>
      <c r="G22" s="42" t="s">
        <v>78</v>
      </c>
      <c r="H22" s="42" t="s">
        <v>79</v>
      </c>
      <c r="I22" s="42" t="s">
        <v>80</v>
      </c>
      <c r="J22" s="42" t="s">
        <v>81</v>
      </c>
      <c r="K22" s="42" t="s">
        <v>82</v>
      </c>
      <c r="L22" s="42" t="s">
        <v>83</v>
      </c>
    </row>
    <row r="23" spans="1:13">
      <c r="A23" s="44">
        <v>1</v>
      </c>
      <c r="B23" s="45">
        <f t="shared" ref="B23:B54" si="0">casco</f>
        <v>37.89473684210526</v>
      </c>
      <c r="C23" s="45">
        <f t="shared" ref="C23:C54" si="1">out</f>
        <v>15.157894736842104</v>
      </c>
      <c r="D23" s="45">
        <f t="shared" ref="D23:D47" si="2">sup</f>
        <v>172.8</v>
      </c>
      <c r="E23" s="45">
        <v>0</v>
      </c>
      <c r="F23" s="45">
        <f>B23+C23+D23+E23</f>
        <v>225.85263157894738</v>
      </c>
      <c r="G23" s="40">
        <f t="shared" ref="G23:G54" si="3">D$18+((loa/2)-A23)*TAN(F$17)</f>
        <v>8.9123395695859351</v>
      </c>
      <c r="H23" s="40">
        <f>G23*DADOS!F$5*DADOS!F$3*DADOS!C$4</f>
        <v>173.56781311768609</v>
      </c>
      <c r="I23" s="40">
        <f>F23-H23</f>
        <v>52.284818461261295</v>
      </c>
      <c r="J23" s="40">
        <f>I23</f>
        <v>52.284818461261295</v>
      </c>
      <c r="K23" s="40">
        <f>J23</f>
        <v>52.284818461261295</v>
      </c>
      <c r="L23" s="39">
        <f t="shared" ref="L23:L54" si="4">F23*A23</f>
        <v>225.85263157894738</v>
      </c>
    </row>
    <row r="24" spans="1:13">
      <c r="A24" s="44">
        <v>2</v>
      </c>
      <c r="B24" s="45">
        <f t="shared" si="0"/>
        <v>37.89473684210526</v>
      </c>
      <c r="C24" s="45">
        <f t="shared" si="1"/>
        <v>15.157894736842104</v>
      </c>
      <c r="D24" s="45">
        <f t="shared" si="2"/>
        <v>172.8</v>
      </c>
      <c r="E24" s="45">
        <v>0</v>
      </c>
      <c r="F24" s="45">
        <f t="shared" ref="F24:F87" si="5">B24+C24+D24+E24</f>
        <v>225.85263157894738</v>
      </c>
      <c r="G24" s="40">
        <f t="shared" si="3"/>
        <v>8.9200782335726601</v>
      </c>
      <c r="H24" s="40">
        <f>G24*DADOS!F$5*DADOS!F$3*DADOS!C$4</f>
        <v>173.71852359882752</v>
      </c>
      <c r="I24" s="40">
        <f t="shared" ref="I24:I87" si="6">F24-H24</f>
        <v>52.134107980119865</v>
      </c>
      <c r="J24" s="40">
        <f>J23+I24</f>
        <v>104.41892644138116</v>
      </c>
      <c r="K24" s="40">
        <f>K23+J24</f>
        <v>156.70374490264246</v>
      </c>
      <c r="L24" s="39">
        <f t="shared" si="4"/>
        <v>451.70526315789476</v>
      </c>
    </row>
    <row r="25" spans="1:13">
      <c r="A25" s="44">
        <v>3</v>
      </c>
      <c r="B25" s="45">
        <f t="shared" si="0"/>
        <v>37.89473684210526</v>
      </c>
      <c r="C25" s="45">
        <f t="shared" si="1"/>
        <v>15.157894736842104</v>
      </c>
      <c r="D25" s="45">
        <f t="shared" si="2"/>
        <v>172.8</v>
      </c>
      <c r="E25" s="45">
        <v>0</v>
      </c>
      <c r="F25" s="45">
        <f t="shared" si="5"/>
        <v>225.85263157894738</v>
      </c>
      <c r="G25" s="40">
        <f t="shared" si="3"/>
        <v>8.927816897559385</v>
      </c>
      <c r="H25" s="40">
        <f>G25*DADOS!F$5*DADOS!F$3*DADOS!C$4</f>
        <v>173.869234079969</v>
      </c>
      <c r="I25" s="40">
        <f t="shared" si="6"/>
        <v>51.983397498978377</v>
      </c>
      <c r="J25" s="40">
        <f>J24+I25</f>
        <v>156.40232394035954</v>
      </c>
      <c r="K25" s="40">
        <f>K24+J25</f>
        <v>313.10606884300199</v>
      </c>
      <c r="L25" s="39">
        <f t="shared" si="4"/>
        <v>677.55789473684217</v>
      </c>
    </row>
    <row r="26" spans="1:13">
      <c r="A26" s="44">
        <v>4</v>
      </c>
      <c r="B26" s="45">
        <f t="shared" si="0"/>
        <v>37.89473684210526</v>
      </c>
      <c r="C26" s="45">
        <f t="shared" si="1"/>
        <v>15.157894736842104</v>
      </c>
      <c r="D26" s="45">
        <f t="shared" si="2"/>
        <v>172.8</v>
      </c>
      <c r="E26" s="45">
        <v>0</v>
      </c>
      <c r="F26" s="45">
        <f t="shared" si="5"/>
        <v>225.85263157894738</v>
      </c>
      <c r="G26" s="40">
        <f t="shared" si="3"/>
        <v>8.93555556154611</v>
      </c>
      <c r="H26" s="40">
        <f>G26*DADOS!F$5*DADOS!F$3*DADOS!C$4</f>
        <v>174.01994456111049</v>
      </c>
      <c r="I26" s="40">
        <f t="shared" si="6"/>
        <v>51.832687017836889</v>
      </c>
      <c r="J26" s="40">
        <f>J25+I26</f>
        <v>208.23501095819643</v>
      </c>
      <c r="K26" s="40">
        <f t="shared" ref="K26:K89" si="7">K25+J26</f>
        <v>521.34107980119848</v>
      </c>
      <c r="L26" s="39">
        <f t="shared" si="4"/>
        <v>903.41052631578953</v>
      </c>
    </row>
    <row r="27" spans="1:13">
      <c r="A27" s="44">
        <v>5</v>
      </c>
      <c r="B27" s="45">
        <f t="shared" si="0"/>
        <v>37.89473684210526</v>
      </c>
      <c r="C27" s="45">
        <f t="shared" si="1"/>
        <v>15.157894736842104</v>
      </c>
      <c r="D27" s="45">
        <f t="shared" si="2"/>
        <v>172.8</v>
      </c>
      <c r="E27" s="45">
        <v>0</v>
      </c>
      <c r="F27" s="45">
        <f t="shared" si="5"/>
        <v>225.85263157894738</v>
      </c>
      <c r="G27" s="40">
        <f t="shared" si="3"/>
        <v>8.9432942255328349</v>
      </c>
      <c r="H27" s="40">
        <f>G27*DADOS!F$5*DADOS!F$3*DADOS!C$4</f>
        <v>174.17065504225195</v>
      </c>
      <c r="I27" s="40">
        <f t="shared" si="6"/>
        <v>51.68197653669543</v>
      </c>
      <c r="J27" s="40">
        <f t="shared" ref="J27:J89" si="8">J26+I27</f>
        <v>259.91698749489183</v>
      </c>
      <c r="K27" s="40">
        <f t="shared" si="7"/>
        <v>781.2580672960903</v>
      </c>
      <c r="L27" s="39">
        <f t="shared" si="4"/>
        <v>1129.2631578947369</v>
      </c>
    </row>
    <row r="28" spans="1:13">
      <c r="A28" s="44">
        <v>6</v>
      </c>
      <c r="B28" s="45">
        <f t="shared" si="0"/>
        <v>37.89473684210526</v>
      </c>
      <c r="C28" s="45">
        <f t="shared" si="1"/>
        <v>15.157894736842104</v>
      </c>
      <c r="D28" s="45">
        <f t="shared" si="2"/>
        <v>172.8</v>
      </c>
      <c r="E28" s="45">
        <v>0</v>
      </c>
      <c r="F28" s="45">
        <f t="shared" si="5"/>
        <v>225.85263157894738</v>
      </c>
      <c r="G28" s="40">
        <f t="shared" si="3"/>
        <v>8.9510328895195599</v>
      </c>
      <c r="H28" s="40">
        <f>G28*DADOS!F$5*DADOS!F$3*DADOS!C$4</f>
        <v>174.32136552339341</v>
      </c>
      <c r="I28" s="40">
        <f t="shared" si="6"/>
        <v>51.531266055553971</v>
      </c>
      <c r="J28" s="40">
        <f t="shared" si="8"/>
        <v>311.44825355044577</v>
      </c>
      <c r="K28" s="40">
        <f t="shared" si="7"/>
        <v>1092.7063208465361</v>
      </c>
      <c r="L28" s="39">
        <f t="shared" si="4"/>
        <v>1355.1157894736843</v>
      </c>
    </row>
    <row r="29" spans="1:13">
      <c r="A29" s="44">
        <v>7</v>
      </c>
      <c r="B29" s="45">
        <f t="shared" si="0"/>
        <v>37.89473684210526</v>
      </c>
      <c r="C29" s="45">
        <f t="shared" si="1"/>
        <v>15.157894736842104</v>
      </c>
      <c r="D29" s="45">
        <f t="shared" si="2"/>
        <v>172.8</v>
      </c>
      <c r="E29" s="45">
        <v>0</v>
      </c>
      <c r="F29" s="45">
        <f t="shared" si="5"/>
        <v>225.85263157894738</v>
      </c>
      <c r="G29" s="40">
        <f t="shared" si="3"/>
        <v>8.9587715535062848</v>
      </c>
      <c r="H29" s="40">
        <f>G29*DADOS!F$5*DADOS!F$3*DADOS!C$4</f>
        <v>174.47207600453487</v>
      </c>
      <c r="I29" s="40">
        <f t="shared" si="6"/>
        <v>51.380555574412512</v>
      </c>
      <c r="J29" s="40">
        <f t="shared" si="8"/>
        <v>362.82880912485825</v>
      </c>
      <c r="K29" s="40">
        <f t="shared" si="7"/>
        <v>1455.5351299713943</v>
      </c>
      <c r="L29" s="39">
        <f t="shared" si="4"/>
        <v>1580.9684210526316</v>
      </c>
    </row>
    <row r="30" spans="1:13">
      <c r="A30" s="44">
        <v>8</v>
      </c>
      <c r="B30" s="45">
        <f t="shared" si="0"/>
        <v>37.89473684210526</v>
      </c>
      <c r="C30" s="45">
        <f t="shared" si="1"/>
        <v>15.157894736842104</v>
      </c>
      <c r="D30" s="45">
        <f t="shared" si="2"/>
        <v>172.8</v>
      </c>
      <c r="E30" s="45">
        <v>0</v>
      </c>
      <c r="F30" s="45">
        <f t="shared" si="5"/>
        <v>225.85263157894738</v>
      </c>
      <c r="G30" s="40">
        <f t="shared" si="3"/>
        <v>8.9665102174930098</v>
      </c>
      <c r="H30" s="40">
        <f>G30*DADOS!F$5*DADOS!F$3*DADOS!C$4</f>
        <v>174.62278648567636</v>
      </c>
      <c r="I30" s="40">
        <f t="shared" si="6"/>
        <v>51.229845093271024</v>
      </c>
      <c r="J30" s="40">
        <f>J29+I30</f>
        <v>414.05865421812928</v>
      </c>
      <c r="K30" s="40">
        <f t="shared" si="7"/>
        <v>1869.5937841895236</v>
      </c>
      <c r="L30" s="39">
        <f t="shared" si="4"/>
        <v>1806.8210526315791</v>
      </c>
    </row>
    <row r="31" spans="1:13">
      <c r="A31" s="44">
        <v>9</v>
      </c>
      <c r="B31" s="45">
        <f t="shared" si="0"/>
        <v>37.89473684210526</v>
      </c>
      <c r="C31" s="45">
        <f t="shared" si="1"/>
        <v>15.157894736842104</v>
      </c>
      <c r="D31" s="45">
        <f t="shared" si="2"/>
        <v>172.8</v>
      </c>
      <c r="E31" s="45">
        <v>0</v>
      </c>
      <c r="F31" s="45">
        <f t="shared" si="5"/>
        <v>225.85263157894738</v>
      </c>
      <c r="G31" s="40">
        <f t="shared" si="3"/>
        <v>8.9742488814797348</v>
      </c>
      <c r="H31" s="40">
        <f>G31*DADOS!F$5*DADOS!F$3*DADOS!C$4</f>
        <v>174.77349696681785</v>
      </c>
      <c r="I31" s="40">
        <f t="shared" si="6"/>
        <v>51.079134612129536</v>
      </c>
      <c r="J31" s="40">
        <f t="shared" si="8"/>
        <v>465.13778883025884</v>
      </c>
      <c r="K31" s="40">
        <f t="shared" si="7"/>
        <v>2334.7315730197824</v>
      </c>
      <c r="L31" s="39">
        <f t="shared" si="4"/>
        <v>2032.6736842105265</v>
      </c>
    </row>
    <row r="32" spans="1:13">
      <c r="A32" s="44">
        <v>10</v>
      </c>
      <c r="B32" s="45">
        <f t="shared" si="0"/>
        <v>37.89473684210526</v>
      </c>
      <c r="C32" s="45">
        <f t="shared" si="1"/>
        <v>15.157894736842104</v>
      </c>
      <c r="D32" s="45">
        <f t="shared" si="2"/>
        <v>172.8</v>
      </c>
      <c r="E32" s="45">
        <v>0</v>
      </c>
      <c r="F32" s="45">
        <f t="shared" si="5"/>
        <v>225.85263157894738</v>
      </c>
      <c r="G32" s="40">
        <f t="shared" si="3"/>
        <v>8.9819875454664597</v>
      </c>
      <c r="H32" s="40">
        <f>G32*DADOS!F$5*DADOS!F$3*DADOS!C$4</f>
        <v>174.92420744795928</v>
      </c>
      <c r="I32" s="40">
        <f t="shared" si="6"/>
        <v>50.928424130988105</v>
      </c>
      <c r="J32" s="40">
        <f t="shared" si="8"/>
        <v>516.06621296124695</v>
      </c>
      <c r="K32" s="40">
        <f t="shared" si="7"/>
        <v>2850.7977859810294</v>
      </c>
      <c r="L32" s="39">
        <f t="shared" si="4"/>
        <v>2258.5263157894738</v>
      </c>
    </row>
    <row r="33" spans="1:12">
      <c r="A33" s="44">
        <v>11</v>
      </c>
      <c r="B33" s="45">
        <f t="shared" si="0"/>
        <v>37.89473684210526</v>
      </c>
      <c r="C33" s="45">
        <f t="shared" si="1"/>
        <v>15.157894736842104</v>
      </c>
      <c r="D33" s="45">
        <f t="shared" si="2"/>
        <v>172.8</v>
      </c>
      <c r="E33" s="45">
        <v>0</v>
      </c>
      <c r="F33" s="45">
        <f t="shared" si="5"/>
        <v>225.85263157894738</v>
      </c>
      <c r="G33" s="40">
        <f t="shared" si="3"/>
        <v>8.9897262094531847</v>
      </c>
      <c r="H33" s="40">
        <f>G33*DADOS!F$5*DADOS!F$3*DADOS!C$4</f>
        <v>175.07491792910076</v>
      </c>
      <c r="I33" s="40">
        <f t="shared" si="6"/>
        <v>50.777713649846618</v>
      </c>
      <c r="J33" s="40">
        <f t="shared" si="8"/>
        <v>566.84392661109359</v>
      </c>
      <c r="K33" s="40">
        <f t="shared" si="7"/>
        <v>3417.641712592123</v>
      </c>
      <c r="L33" s="39">
        <f t="shared" si="4"/>
        <v>2484.378947368421</v>
      </c>
    </row>
    <row r="34" spans="1:12">
      <c r="A34" s="44">
        <v>12</v>
      </c>
      <c r="B34" s="45">
        <f t="shared" si="0"/>
        <v>37.89473684210526</v>
      </c>
      <c r="C34" s="45">
        <f t="shared" si="1"/>
        <v>15.157894736842104</v>
      </c>
      <c r="D34" s="45">
        <f t="shared" si="2"/>
        <v>172.8</v>
      </c>
      <c r="E34" s="45">
        <v>0</v>
      </c>
      <c r="F34" s="45">
        <f t="shared" si="5"/>
        <v>225.85263157894738</v>
      </c>
      <c r="G34" s="40">
        <f t="shared" si="3"/>
        <v>8.9974648734399096</v>
      </c>
      <c r="H34" s="40">
        <f>G34*DADOS!F$5*DADOS!F$3*DADOS!C$4</f>
        <v>175.22562841024222</v>
      </c>
      <c r="I34" s="40">
        <f t="shared" si="6"/>
        <v>50.627003168705158</v>
      </c>
      <c r="J34" s="40">
        <f t="shared" si="8"/>
        <v>617.47092977979878</v>
      </c>
      <c r="K34" s="40">
        <f t="shared" si="7"/>
        <v>4035.1126423719215</v>
      </c>
      <c r="L34" s="39">
        <f t="shared" si="4"/>
        <v>2710.2315789473687</v>
      </c>
    </row>
    <row r="35" spans="1:12">
      <c r="A35" s="44">
        <v>13</v>
      </c>
      <c r="B35" s="45">
        <f t="shared" si="0"/>
        <v>37.89473684210526</v>
      </c>
      <c r="C35" s="45">
        <f t="shared" si="1"/>
        <v>15.157894736842104</v>
      </c>
      <c r="D35" s="45">
        <f t="shared" si="2"/>
        <v>172.8</v>
      </c>
      <c r="E35" s="45">
        <v>0</v>
      </c>
      <c r="F35" s="45">
        <f t="shared" si="5"/>
        <v>225.85263157894738</v>
      </c>
      <c r="G35" s="40">
        <f t="shared" si="3"/>
        <v>9.0052035374266346</v>
      </c>
      <c r="H35" s="40">
        <f>G35*DADOS!F$5*DADOS!F$3*DADOS!C$4</f>
        <v>175.37633889138368</v>
      </c>
      <c r="I35" s="40">
        <f t="shared" si="6"/>
        <v>50.476292687563699</v>
      </c>
      <c r="J35" s="40">
        <f t="shared" si="8"/>
        <v>667.94722246736251</v>
      </c>
      <c r="K35" s="40">
        <f t="shared" si="7"/>
        <v>4703.0598648392843</v>
      </c>
      <c r="L35" s="39">
        <f t="shared" si="4"/>
        <v>2936.0842105263159</v>
      </c>
    </row>
    <row r="36" spans="1:12">
      <c r="A36" s="44">
        <v>14</v>
      </c>
      <c r="B36" s="45">
        <f t="shared" si="0"/>
        <v>37.89473684210526</v>
      </c>
      <c r="C36" s="45">
        <f t="shared" si="1"/>
        <v>15.157894736842104</v>
      </c>
      <c r="D36" s="45">
        <f t="shared" si="2"/>
        <v>172.8</v>
      </c>
      <c r="E36" s="45">
        <v>0</v>
      </c>
      <c r="F36" s="45">
        <f t="shared" si="5"/>
        <v>225.85263157894738</v>
      </c>
      <c r="G36" s="40">
        <f t="shared" si="3"/>
        <v>9.0129422014133596</v>
      </c>
      <c r="H36" s="40">
        <f>G36*DADOS!F$5*DADOS!F$3*DADOS!C$4</f>
        <v>175.52704937252514</v>
      </c>
      <c r="I36" s="40">
        <f t="shared" si="6"/>
        <v>50.32558220642224</v>
      </c>
      <c r="J36" s="40">
        <f t="shared" si="8"/>
        <v>718.27280467378478</v>
      </c>
      <c r="K36" s="40">
        <f t="shared" si="7"/>
        <v>5421.332669513069</v>
      </c>
      <c r="L36" s="39">
        <f t="shared" si="4"/>
        <v>3161.9368421052632</v>
      </c>
    </row>
    <row r="37" spans="1:12">
      <c r="A37" s="44">
        <v>15</v>
      </c>
      <c r="B37" s="45">
        <f t="shared" si="0"/>
        <v>37.89473684210526</v>
      </c>
      <c r="C37" s="45">
        <f t="shared" si="1"/>
        <v>15.157894736842104</v>
      </c>
      <c r="D37" s="45">
        <f t="shared" si="2"/>
        <v>172.8</v>
      </c>
      <c r="E37" s="45">
        <v>0</v>
      </c>
      <c r="F37" s="45">
        <f t="shared" si="5"/>
        <v>225.85263157894738</v>
      </c>
      <c r="G37" s="40">
        <f t="shared" si="3"/>
        <v>9.0206808654000845</v>
      </c>
      <c r="H37" s="40">
        <f>G37*DADOS!F$5*DADOS!F$3*DADOS!C$4</f>
        <v>175.67775985366663</v>
      </c>
      <c r="I37" s="40">
        <f t="shared" si="6"/>
        <v>50.174871725280752</v>
      </c>
      <c r="J37" s="40">
        <f t="shared" si="8"/>
        <v>768.44767639906559</v>
      </c>
      <c r="K37" s="40">
        <f t="shared" si="7"/>
        <v>6189.7803459121351</v>
      </c>
      <c r="L37" s="39">
        <f t="shared" si="4"/>
        <v>3387.7894736842109</v>
      </c>
    </row>
    <row r="38" spans="1:12">
      <c r="A38" s="44">
        <v>16</v>
      </c>
      <c r="B38" s="45">
        <f t="shared" si="0"/>
        <v>37.89473684210526</v>
      </c>
      <c r="C38" s="45">
        <f t="shared" si="1"/>
        <v>15.157894736842104</v>
      </c>
      <c r="D38" s="45">
        <f t="shared" si="2"/>
        <v>172.8</v>
      </c>
      <c r="E38" s="45">
        <v>0</v>
      </c>
      <c r="F38" s="45">
        <f t="shared" si="5"/>
        <v>225.85263157894738</v>
      </c>
      <c r="G38" s="40">
        <f t="shared" si="3"/>
        <v>9.0284195293868095</v>
      </c>
      <c r="H38" s="40">
        <f>G38*DADOS!F$5*DADOS!F$3*DADOS!C$4</f>
        <v>175.82847033480812</v>
      </c>
      <c r="I38" s="40">
        <f t="shared" si="6"/>
        <v>50.024161244139265</v>
      </c>
      <c r="J38" s="40">
        <f t="shared" si="8"/>
        <v>818.47183764320482</v>
      </c>
      <c r="K38" s="40">
        <f t="shared" si="7"/>
        <v>7008.2521835553398</v>
      </c>
      <c r="L38" s="39">
        <f t="shared" si="4"/>
        <v>3613.6421052631581</v>
      </c>
    </row>
    <row r="39" spans="1:12">
      <c r="A39" s="44">
        <v>17</v>
      </c>
      <c r="B39" s="45">
        <f t="shared" si="0"/>
        <v>37.89473684210526</v>
      </c>
      <c r="C39" s="45">
        <f t="shared" si="1"/>
        <v>15.157894736842104</v>
      </c>
      <c r="D39" s="45">
        <f t="shared" si="2"/>
        <v>172.8</v>
      </c>
      <c r="E39" s="45">
        <v>0</v>
      </c>
      <c r="F39" s="45">
        <f t="shared" si="5"/>
        <v>225.85263157894738</v>
      </c>
      <c r="G39" s="40">
        <f t="shared" si="3"/>
        <v>9.0361581933735344</v>
      </c>
      <c r="H39" s="40">
        <f>G39*DADOS!F$5*DADOS!F$3*DADOS!C$4</f>
        <v>175.97918081594955</v>
      </c>
      <c r="I39" s="40">
        <f t="shared" si="6"/>
        <v>49.873450762997834</v>
      </c>
      <c r="J39" s="40">
        <f t="shared" si="8"/>
        <v>868.3452884062026</v>
      </c>
      <c r="K39" s="40">
        <f t="shared" si="7"/>
        <v>7876.5974719615424</v>
      </c>
      <c r="L39" s="39">
        <f t="shared" si="4"/>
        <v>3839.4947368421053</v>
      </c>
    </row>
    <row r="40" spans="1:12">
      <c r="A40" s="44">
        <v>18</v>
      </c>
      <c r="B40" s="45">
        <f t="shared" si="0"/>
        <v>37.89473684210526</v>
      </c>
      <c r="C40" s="45">
        <f t="shared" si="1"/>
        <v>15.157894736842104</v>
      </c>
      <c r="D40" s="45">
        <f t="shared" si="2"/>
        <v>172.8</v>
      </c>
      <c r="E40" s="45">
        <v>0</v>
      </c>
      <c r="F40" s="45">
        <f t="shared" si="5"/>
        <v>225.85263157894738</v>
      </c>
      <c r="G40" s="40">
        <f t="shared" si="3"/>
        <v>9.0438968573602594</v>
      </c>
      <c r="H40" s="40">
        <f>G40*DADOS!F$5*DADOS!F$3*DADOS!C$4</f>
        <v>176.12989129709104</v>
      </c>
      <c r="I40" s="40">
        <f t="shared" si="6"/>
        <v>49.722740281856346</v>
      </c>
      <c r="J40" s="40">
        <f t="shared" si="8"/>
        <v>918.06802868805892</v>
      </c>
      <c r="K40" s="40">
        <f t="shared" si="7"/>
        <v>8794.6655006496021</v>
      </c>
      <c r="L40" s="39">
        <f t="shared" si="4"/>
        <v>4065.347368421053</v>
      </c>
    </row>
    <row r="41" spans="1:12">
      <c r="A41" s="44">
        <v>19</v>
      </c>
      <c r="B41" s="45">
        <f t="shared" si="0"/>
        <v>37.89473684210526</v>
      </c>
      <c r="C41" s="45">
        <f t="shared" si="1"/>
        <v>15.157894736842104</v>
      </c>
      <c r="D41" s="45">
        <f t="shared" si="2"/>
        <v>172.8</v>
      </c>
      <c r="E41" s="45">
        <v>0</v>
      </c>
      <c r="F41" s="45">
        <f t="shared" si="5"/>
        <v>225.85263157894738</v>
      </c>
      <c r="G41" s="40">
        <f t="shared" si="3"/>
        <v>9.0516355213469843</v>
      </c>
      <c r="H41" s="40">
        <f>G41*DADOS!F$5*DADOS!F$3*DADOS!C$4</f>
        <v>176.28060177823249</v>
      </c>
      <c r="I41" s="40">
        <f t="shared" si="6"/>
        <v>49.572029800714887</v>
      </c>
      <c r="J41" s="40">
        <f t="shared" si="8"/>
        <v>967.64005848877378</v>
      </c>
      <c r="K41" s="40">
        <f t="shared" si="7"/>
        <v>9762.3055591383763</v>
      </c>
      <c r="L41" s="39">
        <f t="shared" si="4"/>
        <v>4291.2</v>
      </c>
    </row>
    <row r="42" spans="1:12">
      <c r="A42" s="44">
        <v>20</v>
      </c>
      <c r="B42" s="45">
        <f t="shared" si="0"/>
        <v>37.89473684210526</v>
      </c>
      <c r="C42" s="45">
        <f t="shared" si="1"/>
        <v>15.157894736842104</v>
      </c>
      <c r="D42" s="45">
        <f t="shared" si="2"/>
        <v>172.8</v>
      </c>
      <c r="E42" s="45">
        <v>0</v>
      </c>
      <c r="F42" s="45">
        <f t="shared" si="5"/>
        <v>225.85263157894738</v>
      </c>
      <c r="G42" s="40">
        <f t="shared" si="3"/>
        <v>9.0593741853337093</v>
      </c>
      <c r="H42" s="40">
        <f>G42*DADOS!F$5*DADOS!F$3*DADOS!C$4</f>
        <v>176.43131225937398</v>
      </c>
      <c r="I42" s="40">
        <f t="shared" si="6"/>
        <v>49.421319319573399</v>
      </c>
      <c r="J42" s="40">
        <f t="shared" si="8"/>
        <v>1017.0613778083472</v>
      </c>
      <c r="K42" s="40">
        <f t="shared" si="7"/>
        <v>10779.366936946724</v>
      </c>
      <c r="L42" s="39">
        <f t="shared" si="4"/>
        <v>4517.0526315789475</v>
      </c>
    </row>
    <row r="43" spans="1:12">
      <c r="A43" s="44">
        <v>21</v>
      </c>
      <c r="B43" s="45">
        <f t="shared" si="0"/>
        <v>37.89473684210526</v>
      </c>
      <c r="C43" s="45">
        <f t="shared" si="1"/>
        <v>15.157894736842104</v>
      </c>
      <c r="D43" s="45">
        <f t="shared" si="2"/>
        <v>172.8</v>
      </c>
      <c r="E43" s="45">
        <v>0</v>
      </c>
      <c r="F43" s="45">
        <f t="shared" si="5"/>
        <v>225.85263157894738</v>
      </c>
      <c r="G43" s="40">
        <f t="shared" si="3"/>
        <v>9.0671128493204343</v>
      </c>
      <c r="H43" s="40">
        <f>G43*DADOS!F$5*DADOS!F$3*DADOS!C$4</f>
        <v>176.58202274051541</v>
      </c>
      <c r="I43" s="40">
        <f t="shared" si="6"/>
        <v>49.270608838431968</v>
      </c>
      <c r="J43" s="40">
        <f t="shared" si="8"/>
        <v>1066.3319866467791</v>
      </c>
      <c r="K43" s="40">
        <f t="shared" si="7"/>
        <v>11845.698923593503</v>
      </c>
      <c r="L43" s="39">
        <f t="shared" si="4"/>
        <v>4742.9052631578952</v>
      </c>
    </row>
    <row r="44" spans="1:12">
      <c r="A44" s="44">
        <v>22</v>
      </c>
      <c r="B44" s="45">
        <f t="shared" si="0"/>
        <v>37.89473684210526</v>
      </c>
      <c r="C44" s="45">
        <f t="shared" si="1"/>
        <v>15.157894736842104</v>
      </c>
      <c r="D44" s="45">
        <f t="shared" si="2"/>
        <v>172.8</v>
      </c>
      <c r="E44" s="45">
        <v>0</v>
      </c>
      <c r="F44" s="45">
        <f t="shared" si="5"/>
        <v>225.85263157894738</v>
      </c>
      <c r="G44" s="40">
        <f t="shared" si="3"/>
        <v>9.0748515133071592</v>
      </c>
      <c r="H44" s="40">
        <f>G44*DADOS!F$5*DADOS!F$3*DADOS!C$4</f>
        <v>176.7327332216569</v>
      </c>
      <c r="I44" s="40">
        <f t="shared" si="6"/>
        <v>49.119898357290481</v>
      </c>
      <c r="J44" s="40">
        <f t="shared" si="8"/>
        <v>1115.4518850040695</v>
      </c>
      <c r="K44" s="40">
        <f t="shared" si="7"/>
        <v>12961.150808597573</v>
      </c>
      <c r="L44" s="39">
        <f t="shared" si="4"/>
        <v>4968.757894736842</v>
      </c>
    </row>
    <row r="45" spans="1:12">
      <c r="A45" s="44">
        <v>23</v>
      </c>
      <c r="B45" s="45">
        <f t="shared" si="0"/>
        <v>37.89473684210526</v>
      </c>
      <c r="C45" s="45">
        <f t="shared" si="1"/>
        <v>15.157894736842104</v>
      </c>
      <c r="D45" s="45">
        <f t="shared" si="2"/>
        <v>172.8</v>
      </c>
      <c r="E45" s="45">
        <v>0</v>
      </c>
      <c r="F45" s="45">
        <f t="shared" si="5"/>
        <v>225.85263157894738</v>
      </c>
      <c r="G45" s="40">
        <f t="shared" si="3"/>
        <v>9.0825901772938842</v>
      </c>
      <c r="H45" s="40">
        <f>G45*DADOS!F$5*DADOS!F$3*DADOS!C$4</f>
        <v>176.88344370279839</v>
      </c>
      <c r="I45" s="40">
        <f t="shared" si="6"/>
        <v>48.969187876148993</v>
      </c>
      <c r="J45" s="40">
        <f t="shared" si="8"/>
        <v>1164.4210728802184</v>
      </c>
      <c r="K45" s="40">
        <f t="shared" si="7"/>
        <v>14125.571881477792</v>
      </c>
      <c r="L45" s="39">
        <f t="shared" si="4"/>
        <v>5194.6105263157897</v>
      </c>
    </row>
    <row r="46" spans="1:12">
      <c r="A46" s="44">
        <v>24</v>
      </c>
      <c r="B46" s="45">
        <f t="shared" si="0"/>
        <v>37.89473684210526</v>
      </c>
      <c r="C46" s="45">
        <f t="shared" si="1"/>
        <v>15.157894736842104</v>
      </c>
      <c r="D46" s="45">
        <f t="shared" si="2"/>
        <v>172.8</v>
      </c>
      <c r="E46" s="45">
        <v>0</v>
      </c>
      <c r="F46" s="45">
        <f t="shared" si="5"/>
        <v>225.85263157894738</v>
      </c>
      <c r="G46" s="40">
        <f t="shared" si="3"/>
        <v>9.0903288412806091</v>
      </c>
      <c r="H46" s="40">
        <f>G46*DADOS!F$5*DADOS!F$3*DADOS!C$4</f>
        <v>177.03415418393985</v>
      </c>
      <c r="I46" s="40">
        <f t="shared" si="6"/>
        <v>48.818477395007534</v>
      </c>
      <c r="J46" s="40">
        <f t="shared" si="8"/>
        <v>1213.2395502752258</v>
      </c>
      <c r="K46" s="40">
        <f t="shared" si="7"/>
        <v>15338.811431753018</v>
      </c>
      <c r="L46" s="39">
        <f t="shared" si="4"/>
        <v>5420.4631578947374</v>
      </c>
    </row>
    <row r="47" spans="1:12">
      <c r="A47" s="44">
        <v>25</v>
      </c>
      <c r="B47" s="45">
        <f t="shared" si="0"/>
        <v>37.89473684210526</v>
      </c>
      <c r="C47" s="45">
        <f t="shared" si="1"/>
        <v>15.157894736842104</v>
      </c>
      <c r="D47" s="45">
        <f t="shared" si="2"/>
        <v>172.8</v>
      </c>
      <c r="E47" s="45">
        <v>0</v>
      </c>
      <c r="F47" s="45">
        <f t="shared" si="5"/>
        <v>225.85263157894738</v>
      </c>
      <c r="G47" s="40">
        <f t="shared" si="3"/>
        <v>9.0980675052673341</v>
      </c>
      <c r="H47" s="40">
        <f>G47*DADOS!F$5*DADOS!F$3*DADOS!C$4</f>
        <v>177.18486466508131</v>
      </c>
      <c r="I47" s="40">
        <f t="shared" si="6"/>
        <v>48.667766913866075</v>
      </c>
      <c r="J47" s="40">
        <f t="shared" si="8"/>
        <v>1261.9073171890918</v>
      </c>
      <c r="K47" s="40">
        <f t="shared" si="7"/>
        <v>16600.718748942109</v>
      </c>
      <c r="L47" s="39">
        <f t="shared" si="4"/>
        <v>5646.3157894736842</v>
      </c>
    </row>
    <row r="48" spans="1:12">
      <c r="A48" s="44">
        <v>26</v>
      </c>
      <c r="B48" s="45">
        <f t="shared" si="0"/>
        <v>37.89473684210526</v>
      </c>
      <c r="C48" s="45">
        <f t="shared" si="1"/>
        <v>15.157894736842104</v>
      </c>
      <c r="D48" s="45">
        <v>0</v>
      </c>
      <c r="E48" s="45">
        <f t="shared" ref="E48:E80" si="9">tanque1</f>
        <v>128.99328000000003</v>
      </c>
      <c r="F48" s="45">
        <f t="shared" si="5"/>
        <v>182.0459115789474</v>
      </c>
      <c r="G48" s="40">
        <f t="shared" si="3"/>
        <v>9.1058061692540591</v>
      </c>
      <c r="H48" s="40">
        <f>G48*DADOS!F$5*DADOS!F$3*DADOS!C$4</f>
        <v>177.33557514622277</v>
      </c>
      <c r="I48" s="40">
        <f t="shared" si="6"/>
        <v>4.7103364327246311</v>
      </c>
      <c r="J48" s="40">
        <f t="shared" si="8"/>
        <v>1266.6176536218165</v>
      </c>
      <c r="K48" s="40">
        <f t="shared" si="7"/>
        <v>17867.336402563924</v>
      </c>
      <c r="L48" s="39">
        <f t="shared" si="4"/>
        <v>4733.1937010526326</v>
      </c>
    </row>
    <row r="49" spans="1:12">
      <c r="A49" s="44">
        <v>27</v>
      </c>
      <c r="B49" s="45">
        <f t="shared" si="0"/>
        <v>37.89473684210526</v>
      </c>
      <c r="C49" s="45">
        <f t="shared" si="1"/>
        <v>15.157894736842104</v>
      </c>
      <c r="D49" s="45">
        <v>0</v>
      </c>
      <c r="E49" s="45">
        <f t="shared" si="9"/>
        <v>128.99328000000003</v>
      </c>
      <c r="F49" s="45">
        <f t="shared" si="5"/>
        <v>182.0459115789474</v>
      </c>
      <c r="G49" s="40">
        <f t="shared" si="3"/>
        <v>9.113544833240784</v>
      </c>
      <c r="H49" s="40">
        <f>G49*DADOS!F$5*DADOS!F$3*DADOS!C$4</f>
        <v>177.48628562736425</v>
      </c>
      <c r="I49" s="40">
        <f t="shared" si="6"/>
        <v>4.5596259515831434</v>
      </c>
      <c r="J49" s="40">
        <f t="shared" si="8"/>
        <v>1271.1772795733996</v>
      </c>
      <c r="K49" s="40">
        <f t="shared" si="7"/>
        <v>19138.513682137323</v>
      </c>
      <c r="L49" s="39">
        <f t="shared" si="4"/>
        <v>4915.2396126315798</v>
      </c>
    </row>
    <row r="50" spans="1:12">
      <c r="A50" s="44">
        <v>28</v>
      </c>
      <c r="B50" s="45">
        <f t="shared" si="0"/>
        <v>37.89473684210526</v>
      </c>
      <c r="C50" s="45">
        <f t="shared" si="1"/>
        <v>15.157894736842104</v>
      </c>
      <c r="D50" s="45">
        <v>0</v>
      </c>
      <c r="E50" s="45">
        <f t="shared" si="9"/>
        <v>128.99328000000003</v>
      </c>
      <c r="F50" s="45">
        <f t="shared" si="5"/>
        <v>182.0459115789474</v>
      </c>
      <c r="G50" s="40">
        <f t="shared" si="3"/>
        <v>9.121283497227509</v>
      </c>
      <c r="H50" s="40">
        <f>G50*DADOS!F$5*DADOS!F$3*DADOS!C$4</f>
        <v>177.63699610850574</v>
      </c>
      <c r="I50" s="40">
        <f t="shared" si="6"/>
        <v>4.4089154704416558</v>
      </c>
      <c r="J50" s="40">
        <f t="shared" si="8"/>
        <v>1275.5861950438411</v>
      </c>
      <c r="K50" s="40">
        <f t="shared" si="7"/>
        <v>20414.099877181165</v>
      </c>
      <c r="L50" s="39">
        <f t="shared" si="4"/>
        <v>5097.285524210527</v>
      </c>
    </row>
    <row r="51" spans="1:12">
      <c r="A51" s="44">
        <v>29</v>
      </c>
      <c r="B51" s="45">
        <f t="shared" si="0"/>
        <v>37.89473684210526</v>
      </c>
      <c r="C51" s="45">
        <f t="shared" si="1"/>
        <v>15.157894736842104</v>
      </c>
      <c r="D51" s="45">
        <v>0</v>
      </c>
      <c r="E51" s="45">
        <f t="shared" si="9"/>
        <v>128.99328000000003</v>
      </c>
      <c r="F51" s="45">
        <f t="shared" si="5"/>
        <v>182.0459115789474</v>
      </c>
      <c r="G51" s="40">
        <f t="shared" si="3"/>
        <v>9.1290221612142339</v>
      </c>
      <c r="H51" s="40">
        <f>G51*DADOS!F$5*DADOS!F$3*DADOS!C$4</f>
        <v>177.78770658964717</v>
      </c>
      <c r="I51" s="40">
        <f t="shared" si="6"/>
        <v>4.258204989300225</v>
      </c>
      <c r="J51" s="40">
        <f t="shared" si="8"/>
        <v>1279.8444000331415</v>
      </c>
      <c r="K51" s="40">
        <f t="shared" si="7"/>
        <v>21693.944277214305</v>
      </c>
      <c r="L51" s="39">
        <f t="shared" si="4"/>
        <v>5279.3314357894742</v>
      </c>
    </row>
    <row r="52" spans="1:12">
      <c r="A52" s="44">
        <v>30</v>
      </c>
      <c r="B52" s="45">
        <f t="shared" si="0"/>
        <v>37.89473684210526</v>
      </c>
      <c r="C52" s="45">
        <f t="shared" si="1"/>
        <v>15.157894736842104</v>
      </c>
      <c r="D52" s="45">
        <v>0</v>
      </c>
      <c r="E52" s="45">
        <f t="shared" si="9"/>
        <v>128.99328000000003</v>
      </c>
      <c r="F52" s="45">
        <f t="shared" si="5"/>
        <v>182.0459115789474</v>
      </c>
      <c r="G52" s="40">
        <f t="shared" si="3"/>
        <v>9.1367608252009589</v>
      </c>
      <c r="H52" s="40">
        <f>G52*DADOS!F$5*DADOS!F$3*DADOS!C$4</f>
        <v>177.93841707078866</v>
      </c>
      <c r="I52" s="40">
        <f t="shared" si="6"/>
        <v>4.1074945081587373</v>
      </c>
      <c r="J52" s="40">
        <f t="shared" si="8"/>
        <v>1283.9518945413001</v>
      </c>
      <c r="K52" s="40">
        <f t="shared" si="7"/>
        <v>22977.896171755605</v>
      </c>
      <c r="L52" s="39">
        <f t="shared" si="4"/>
        <v>5461.3773473684223</v>
      </c>
    </row>
    <row r="53" spans="1:12">
      <c r="A53" s="44">
        <v>31</v>
      </c>
      <c r="B53" s="45">
        <f t="shared" si="0"/>
        <v>37.89473684210526</v>
      </c>
      <c r="C53" s="45">
        <f t="shared" si="1"/>
        <v>15.157894736842104</v>
      </c>
      <c r="D53" s="45">
        <v>0</v>
      </c>
      <c r="E53" s="45">
        <f t="shared" si="9"/>
        <v>128.99328000000003</v>
      </c>
      <c r="F53" s="45">
        <f t="shared" si="5"/>
        <v>182.0459115789474</v>
      </c>
      <c r="G53" s="40">
        <f t="shared" si="3"/>
        <v>9.1444994891876838</v>
      </c>
      <c r="H53" s="40">
        <f>G53*DADOS!F$5*DADOS!F$3*DADOS!C$4</f>
        <v>178.08912755193012</v>
      </c>
      <c r="I53" s="40">
        <f t="shared" si="6"/>
        <v>3.956784027017278</v>
      </c>
      <c r="J53" s="40">
        <f t="shared" si="8"/>
        <v>1287.9086785683173</v>
      </c>
      <c r="K53" s="40">
        <f t="shared" si="7"/>
        <v>24265.804850323922</v>
      </c>
      <c r="L53" s="39">
        <f t="shared" si="4"/>
        <v>5643.4232589473695</v>
      </c>
    </row>
    <row r="54" spans="1:12">
      <c r="A54" s="44">
        <v>32</v>
      </c>
      <c r="B54" s="45">
        <f t="shared" si="0"/>
        <v>37.89473684210526</v>
      </c>
      <c r="C54" s="45">
        <f t="shared" si="1"/>
        <v>15.157894736842104</v>
      </c>
      <c r="D54" s="45">
        <v>0</v>
      </c>
      <c r="E54" s="45">
        <f t="shared" si="9"/>
        <v>128.99328000000003</v>
      </c>
      <c r="F54" s="45">
        <f t="shared" si="5"/>
        <v>182.0459115789474</v>
      </c>
      <c r="G54" s="40">
        <f t="shared" si="3"/>
        <v>9.1522381531744088</v>
      </c>
      <c r="H54" s="40">
        <f>G54*DADOS!F$5*DADOS!F$3*DADOS!C$4</f>
        <v>178.23983803307161</v>
      </c>
      <c r="I54" s="40">
        <f t="shared" si="6"/>
        <v>3.8060735458757904</v>
      </c>
      <c r="J54" s="40">
        <f t="shared" si="8"/>
        <v>1291.7147521141931</v>
      </c>
      <c r="K54" s="40">
        <f t="shared" si="7"/>
        <v>25557.519602438115</v>
      </c>
      <c r="L54" s="39">
        <f t="shared" si="4"/>
        <v>5825.4691705263167</v>
      </c>
    </row>
    <row r="55" spans="1:12">
      <c r="A55" s="44">
        <v>33</v>
      </c>
      <c r="B55" s="45">
        <f t="shared" ref="B55:B86" si="10">casco</f>
        <v>37.89473684210526</v>
      </c>
      <c r="C55" s="45">
        <f t="shared" ref="C55:C86" si="11">out</f>
        <v>15.157894736842104</v>
      </c>
      <c r="D55" s="45">
        <v>0</v>
      </c>
      <c r="E55" s="45">
        <f t="shared" si="9"/>
        <v>128.99328000000003</v>
      </c>
      <c r="F55" s="45">
        <f t="shared" si="5"/>
        <v>182.0459115789474</v>
      </c>
      <c r="G55" s="40">
        <f t="shared" ref="G55:G86" si="12">D$18+((loa/2)-A55)*TAN(F$17)</f>
        <v>9.1599768171611338</v>
      </c>
      <c r="H55" s="40">
        <f>G55*DADOS!F$5*DADOS!F$3*DADOS!C$4</f>
        <v>178.39054851421304</v>
      </c>
      <c r="I55" s="40">
        <f t="shared" si="6"/>
        <v>3.6553630647343596</v>
      </c>
      <c r="J55" s="40">
        <f t="shared" si="8"/>
        <v>1295.3701151789273</v>
      </c>
      <c r="K55" s="40">
        <f t="shared" si="7"/>
        <v>26852.889717617043</v>
      </c>
      <c r="L55" s="39">
        <f t="shared" ref="L55:L86" si="13">F55*A55</f>
        <v>6007.5150821052639</v>
      </c>
    </row>
    <row r="56" spans="1:12">
      <c r="A56" s="44">
        <v>34</v>
      </c>
      <c r="B56" s="45">
        <f t="shared" si="10"/>
        <v>37.89473684210526</v>
      </c>
      <c r="C56" s="45">
        <f t="shared" si="11"/>
        <v>15.157894736842104</v>
      </c>
      <c r="D56" s="45">
        <v>0</v>
      </c>
      <c r="E56" s="45">
        <f t="shared" si="9"/>
        <v>128.99328000000003</v>
      </c>
      <c r="F56" s="45">
        <f t="shared" si="5"/>
        <v>182.0459115789474</v>
      </c>
      <c r="G56" s="40">
        <f t="shared" si="12"/>
        <v>9.1677154811478587</v>
      </c>
      <c r="H56" s="40">
        <f>G56*DADOS!F$5*DADOS!F$3*DADOS!C$4</f>
        <v>178.54125899535453</v>
      </c>
      <c r="I56" s="40">
        <f t="shared" si="6"/>
        <v>3.5046525835928719</v>
      </c>
      <c r="J56" s="40">
        <f t="shared" si="8"/>
        <v>1298.8747677625202</v>
      </c>
      <c r="K56" s="40">
        <f t="shared" si="7"/>
        <v>28151.764485379565</v>
      </c>
      <c r="L56" s="39">
        <f t="shared" si="13"/>
        <v>6189.5609936842111</v>
      </c>
    </row>
    <row r="57" spans="1:12">
      <c r="A57" s="44">
        <v>35</v>
      </c>
      <c r="B57" s="45">
        <f t="shared" si="10"/>
        <v>37.89473684210526</v>
      </c>
      <c r="C57" s="45">
        <f t="shared" si="11"/>
        <v>15.157894736842104</v>
      </c>
      <c r="D57" s="45">
        <v>0</v>
      </c>
      <c r="E57" s="45">
        <f t="shared" si="9"/>
        <v>128.99328000000003</v>
      </c>
      <c r="F57" s="45">
        <f t="shared" si="5"/>
        <v>182.0459115789474</v>
      </c>
      <c r="G57" s="40">
        <f t="shared" si="12"/>
        <v>9.1754541451345837</v>
      </c>
      <c r="H57" s="40">
        <f>G57*DADOS!F$5*DADOS!F$3*DADOS!C$4</f>
        <v>178.69196947649601</v>
      </c>
      <c r="I57" s="40">
        <f t="shared" si="6"/>
        <v>3.3539421024513842</v>
      </c>
      <c r="J57" s="40">
        <f t="shared" si="8"/>
        <v>1302.2287098649715</v>
      </c>
      <c r="K57" s="40">
        <f t="shared" si="7"/>
        <v>29453.993195244537</v>
      </c>
      <c r="L57" s="39">
        <f t="shared" si="13"/>
        <v>6371.6069052631592</v>
      </c>
    </row>
    <row r="58" spans="1:12">
      <c r="A58" s="44">
        <v>36</v>
      </c>
      <c r="B58" s="45">
        <f t="shared" si="10"/>
        <v>37.89473684210526</v>
      </c>
      <c r="C58" s="45">
        <f t="shared" si="11"/>
        <v>15.157894736842104</v>
      </c>
      <c r="D58" s="45">
        <v>0</v>
      </c>
      <c r="E58" s="45">
        <f t="shared" si="9"/>
        <v>128.99328000000003</v>
      </c>
      <c r="F58" s="45">
        <f t="shared" si="5"/>
        <v>182.0459115789474</v>
      </c>
      <c r="G58" s="40">
        <f t="shared" si="12"/>
        <v>9.1831928091213086</v>
      </c>
      <c r="H58" s="40">
        <f>G58*DADOS!F$5*DADOS!F$3*DADOS!C$4</f>
        <v>178.84267995763747</v>
      </c>
      <c r="I58" s="40">
        <f t="shared" si="6"/>
        <v>3.203231621309925</v>
      </c>
      <c r="J58" s="40">
        <f t="shared" si="8"/>
        <v>1305.4319414862814</v>
      </c>
      <c r="K58" s="40">
        <f t="shared" si="7"/>
        <v>30759.425136730817</v>
      </c>
      <c r="L58" s="39">
        <f t="shared" si="13"/>
        <v>6553.6528168421064</v>
      </c>
    </row>
    <row r="59" spans="1:12">
      <c r="A59" s="44">
        <v>37</v>
      </c>
      <c r="B59" s="45">
        <f t="shared" si="10"/>
        <v>37.89473684210526</v>
      </c>
      <c r="C59" s="45">
        <f t="shared" si="11"/>
        <v>15.157894736842104</v>
      </c>
      <c r="D59" s="45">
        <v>0</v>
      </c>
      <c r="E59" s="45">
        <f t="shared" si="9"/>
        <v>128.99328000000003</v>
      </c>
      <c r="F59" s="45">
        <f t="shared" si="5"/>
        <v>182.0459115789474</v>
      </c>
      <c r="G59" s="40">
        <f t="shared" si="12"/>
        <v>9.1909314731080336</v>
      </c>
      <c r="H59" s="40">
        <f>G59*DADOS!F$5*DADOS!F$3*DADOS!C$4</f>
        <v>178.99339043877893</v>
      </c>
      <c r="I59" s="40">
        <f t="shared" si="6"/>
        <v>3.0525211401684658</v>
      </c>
      <c r="J59" s="40">
        <f t="shared" si="8"/>
        <v>1308.4844626264498</v>
      </c>
      <c r="K59" s="40">
        <f t="shared" si="7"/>
        <v>32067.909599357266</v>
      </c>
      <c r="L59" s="39">
        <f t="shared" si="13"/>
        <v>6735.6987284210536</v>
      </c>
    </row>
    <row r="60" spans="1:12">
      <c r="A60" s="44">
        <v>38</v>
      </c>
      <c r="B60" s="45">
        <f t="shared" si="10"/>
        <v>37.89473684210526</v>
      </c>
      <c r="C60" s="45">
        <f t="shared" si="11"/>
        <v>15.157894736842104</v>
      </c>
      <c r="D60" s="45">
        <v>0</v>
      </c>
      <c r="E60" s="45">
        <f t="shared" si="9"/>
        <v>128.99328000000003</v>
      </c>
      <c r="F60" s="45">
        <f t="shared" si="5"/>
        <v>182.0459115789474</v>
      </c>
      <c r="G60" s="40">
        <f t="shared" si="12"/>
        <v>9.1986701370947586</v>
      </c>
      <c r="H60" s="40">
        <f>G60*DADOS!F$5*DADOS!F$3*DADOS!C$4</f>
        <v>179.14410091992039</v>
      </c>
      <c r="I60" s="40">
        <f t="shared" si="6"/>
        <v>2.9018106590270065</v>
      </c>
      <c r="J60" s="40">
        <f t="shared" si="8"/>
        <v>1311.3862732854768</v>
      </c>
      <c r="K60" s="40">
        <f t="shared" si="7"/>
        <v>33379.295872642746</v>
      </c>
      <c r="L60" s="39">
        <f t="shared" si="13"/>
        <v>6917.7446400000008</v>
      </c>
    </row>
    <row r="61" spans="1:12">
      <c r="A61" s="44">
        <v>39</v>
      </c>
      <c r="B61" s="45">
        <f t="shared" si="10"/>
        <v>37.89473684210526</v>
      </c>
      <c r="C61" s="45">
        <f t="shared" si="11"/>
        <v>15.157894736842104</v>
      </c>
      <c r="D61" s="45">
        <v>0</v>
      </c>
      <c r="E61" s="45">
        <f t="shared" si="9"/>
        <v>128.99328000000003</v>
      </c>
      <c r="F61" s="45">
        <f t="shared" si="5"/>
        <v>182.0459115789474</v>
      </c>
      <c r="G61" s="40">
        <f t="shared" si="12"/>
        <v>9.2064088010814835</v>
      </c>
      <c r="H61" s="40">
        <f>G61*DADOS!F$5*DADOS!F$3*DADOS!C$4</f>
        <v>179.29481140106188</v>
      </c>
      <c r="I61" s="40">
        <f t="shared" si="6"/>
        <v>2.7511001778855189</v>
      </c>
      <c r="J61" s="40">
        <f t="shared" si="8"/>
        <v>1314.1373734633623</v>
      </c>
      <c r="K61" s="40">
        <f t="shared" si="7"/>
        <v>34693.433246106106</v>
      </c>
      <c r="L61" s="39">
        <f t="shared" si="13"/>
        <v>7099.7905515789489</v>
      </c>
    </row>
    <row r="62" spans="1:12">
      <c r="A62" s="44">
        <v>40</v>
      </c>
      <c r="B62" s="45">
        <f t="shared" si="10"/>
        <v>37.89473684210526</v>
      </c>
      <c r="C62" s="45">
        <f t="shared" si="11"/>
        <v>15.157894736842104</v>
      </c>
      <c r="D62" s="45">
        <v>0</v>
      </c>
      <c r="E62" s="45">
        <f t="shared" si="9"/>
        <v>128.99328000000003</v>
      </c>
      <c r="F62" s="45">
        <f t="shared" si="5"/>
        <v>182.0459115789474</v>
      </c>
      <c r="G62" s="40">
        <f t="shared" si="12"/>
        <v>9.2141474650682085</v>
      </c>
      <c r="H62" s="40">
        <f>G62*DADOS!F$5*DADOS!F$3*DADOS!C$4</f>
        <v>179.44552188220337</v>
      </c>
      <c r="I62" s="40">
        <f t="shared" si="6"/>
        <v>2.6003896967440312</v>
      </c>
      <c r="J62" s="40">
        <f t="shared" si="8"/>
        <v>1316.7377631601064</v>
      </c>
      <c r="K62" s="40">
        <f t="shared" si="7"/>
        <v>36010.171009266211</v>
      </c>
      <c r="L62" s="39">
        <f t="shared" si="13"/>
        <v>7281.8364631578961</v>
      </c>
    </row>
    <row r="63" spans="1:12">
      <c r="A63" s="44">
        <v>41</v>
      </c>
      <c r="B63" s="45">
        <f t="shared" si="10"/>
        <v>37.89473684210526</v>
      </c>
      <c r="C63" s="45">
        <f t="shared" si="11"/>
        <v>15.157894736842104</v>
      </c>
      <c r="D63" s="45">
        <v>0</v>
      </c>
      <c r="E63" s="45">
        <f t="shared" si="9"/>
        <v>128.99328000000003</v>
      </c>
      <c r="F63" s="45">
        <f t="shared" si="5"/>
        <v>182.0459115789474</v>
      </c>
      <c r="G63" s="40">
        <f t="shared" si="12"/>
        <v>9.2218861290549334</v>
      </c>
      <c r="H63" s="40">
        <f>G63*DADOS!F$5*DADOS!F$3*DADOS!C$4</f>
        <v>179.5962323633448</v>
      </c>
      <c r="I63" s="40">
        <f t="shared" si="6"/>
        <v>2.4496792156026004</v>
      </c>
      <c r="J63" s="40">
        <f t="shared" si="8"/>
        <v>1319.187442375709</v>
      </c>
      <c r="K63" s="40">
        <f t="shared" si="7"/>
        <v>37329.358451641921</v>
      </c>
      <c r="L63" s="39">
        <f t="shared" si="13"/>
        <v>7463.8823747368433</v>
      </c>
    </row>
    <row r="64" spans="1:12">
      <c r="A64" s="44">
        <v>42</v>
      </c>
      <c r="B64" s="45">
        <f t="shared" si="10"/>
        <v>37.89473684210526</v>
      </c>
      <c r="C64" s="45">
        <f t="shared" si="11"/>
        <v>15.157894736842104</v>
      </c>
      <c r="D64" s="45">
        <v>0</v>
      </c>
      <c r="E64" s="45">
        <f t="shared" si="9"/>
        <v>128.99328000000003</v>
      </c>
      <c r="F64" s="45">
        <f t="shared" si="5"/>
        <v>182.0459115789474</v>
      </c>
      <c r="G64" s="40">
        <f t="shared" si="12"/>
        <v>9.2296247930416584</v>
      </c>
      <c r="H64" s="40">
        <f>G64*DADOS!F$5*DADOS!F$3*DADOS!C$4</f>
        <v>179.74694284448628</v>
      </c>
      <c r="I64" s="40">
        <f t="shared" si="6"/>
        <v>2.2989687344611127</v>
      </c>
      <c r="J64" s="40">
        <f t="shared" si="8"/>
        <v>1321.4864111101701</v>
      </c>
      <c r="K64" s="40">
        <f t="shared" si="7"/>
        <v>38650.844862752092</v>
      </c>
      <c r="L64" s="39">
        <f t="shared" si="13"/>
        <v>7645.9282863157905</v>
      </c>
    </row>
    <row r="65" spans="1:12">
      <c r="A65" s="44">
        <v>43</v>
      </c>
      <c r="B65" s="45">
        <f t="shared" si="10"/>
        <v>37.89473684210526</v>
      </c>
      <c r="C65" s="45">
        <f t="shared" si="11"/>
        <v>15.157894736842104</v>
      </c>
      <c r="D65" s="45">
        <v>0</v>
      </c>
      <c r="E65" s="45">
        <f t="shared" si="9"/>
        <v>128.99328000000003</v>
      </c>
      <c r="F65" s="45">
        <f t="shared" si="5"/>
        <v>182.0459115789474</v>
      </c>
      <c r="G65" s="40">
        <f t="shared" si="12"/>
        <v>9.2373634570283834</v>
      </c>
      <c r="H65" s="40">
        <f>G65*DADOS!F$5*DADOS!F$3*DADOS!C$4</f>
        <v>179.89765332562774</v>
      </c>
      <c r="I65" s="40">
        <f t="shared" si="6"/>
        <v>2.1482582533196535</v>
      </c>
      <c r="J65" s="40">
        <f t="shared" si="8"/>
        <v>1323.6346693634898</v>
      </c>
      <c r="K65" s="40">
        <f t="shared" si="7"/>
        <v>39974.479532115583</v>
      </c>
      <c r="L65" s="39">
        <f t="shared" si="13"/>
        <v>7827.9741978947377</v>
      </c>
    </row>
    <row r="66" spans="1:12">
      <c r="A66" s="44">
        <v>44</v>
      </c>
      <c r="B66" s="45">
        <f t="shared" si="10"/>
        <v>37.89473684210526</v>
      </c>
      <c r="C66" s="45">
        <f t="shared" si="11"/>
        <v>15.157894736842104</v>
      </c>
      <c r="D66" s="45">
        <v>0</v>
      </c>
      <c r="E66" s="45">
        <f t="shared" si="9"/>
        <v>128.99328000000003</v>
      </c>
      <c r="F66" s="45">
        <f t="shared" si="5"/>
        <v>182.0459115789474</v>
      </c>
      <c r="G66" s="40">
        <f t="shared" si="12"/>
        <v>9.2451021210151083</v>
      </c>
      <c r="H66" s="40">
        <f>G66*DADOS!F$5*DADOS!F$3*DADOS!C$4</f>
        <v>180.04836380676923</v>
      </c>
      <c r="I66" s="40">
        <f t="shared" si="6"/>
        <v>1.9975477721781658</v>
      </c>
      <c r="J66" s="40">
        <f t="shared" si="8"/>
        <v>1325.632217135668</v>
      </c>
      <c r="K66" s="40">
        <f t="shared" si="7"/>
        <v>41300.111749251249</v>
      </c>
      <c r="L66" s="39">
        <f t="shared" si="13"/>
        <v>8010.0201094736858</v>
      </c>
    </row>
    <row r="67" spans="1:12">
      <c r="A67" s="44">
        <v>45</v>
      </c>
      <c r="B67" s="45">
        <f t="shared" si="10"/>
        <v>37.89473684210526</v>
      </c>
      <c r="C67" s="45">
        <f t="shared" si="11"/>
        <v>15.157894736842104</v>
      </c>
      <c r="D67" s="45">
        <v>0</v>
      </c>
      <c r="E67" s="45">
        <f t="shared" si="9"/>
        <v>128.99328000000003</v>
      </c>
      <c r="F67" s="45">
        <f t="shared" si="5"/>
        <v>182.0459115789474</v>
      </c>
      <c r="G67" s="40">
        <f t="shared" si="12"/>
        <v>9.2528407850018333</v>
      </c>
      <c r="H67" s="40">
        <f>G67*DADOS!F$5*DADOS!F$3*DADOS!C$4</f>
        <v>180.19907428791066</v>
      </c>
      <c r="I67" s="40">
        <f t="shared" si="6"/>
        <v>1.846837291036735</v>
      </c>
      <c r="J67" s="40">
        <f t="shared" si="8"/>
        <v>1327.4790544267048</v>
      </c>
      <c r="K67" s="40">
        <f t="shared" si="7"/>
        <v>42627.590803677951</v>
      </c>
      <c r="L67" s="39">
        <f t="shared" si="13"/>
        <v>8192.066021052633</v>
      </c>
    </row>
    <row r="68" spans="1:12">
      <c r="A68" s="44">
        <v>46</v>
      </c>
      <c r="B68" s="45">
        <f t="shared" si="10"/>
        <v>37.89473684210526</v>
      </c>
      <c r="C68" s="45">
        <f t="shared" si="11"/>
        <v>15.157894736842104</v>
      </c>
      <c r="D68" s="45">
        <v>0</v>
      </c>
      <c r="E68" s="45">
        <f t="shared" si="9"/>
        <v>128.99328000000003</v>
      </c>
      <c r="F68" s="45">
        <f t="shared" si="5"/>
        <v>182.0459115789474</v>
      </c>
      <c r="G68" s="40">
        <f t="shared" si="12"/>
        <v>9.2605794489885582</v>
      </c>
      <c r="H68" s="40">
        <f>G68*DADOS!F$5*DADOS!F$3*DADOS!C$4</f>
        <v>180.34978476905215</v>
      </c>
      <c r="I68" s="40">
        <f t="shared" si="6"/>
        <v>1.6961268098952473</v>
      </c>
      <c r="J68" s="40">
        <f t="shared" si="8"/>
        <v>1329.1751812366001</v>
      </c>
      <c r="K68" s="40">
        <f t="shared" si="7"/>
        <v>43956.765984914549</v>
      </c>
      <c r="L68" s="39">
        <f t="shared" si="13"/>
        <v>8374.1119326315802</v>
      </c>
    </row>
    <row r="69" spans="1:12">
      <c r="A69" s="44">
        <v>47</v>
      </c>
      <c r="B69" s="45">
        <f t="shared" si="10"/>
        <v>37.89473684210526</v>
      </c>
      <c r="C69" s="45">
        <f t="shared" si="11"/>
        <v>15.157894736842104</v>
      </c>
      <c r="D69" s="45">
        <v>0</v>
      </c>
      <c r="E69" s="45">
        <f t="shared" si="9"/>
        <v>128.99328000000003</v>
      </c>
      <c r="F69" s="45">
        <f t="shared" si="5"/>
        <v>182.0459115789474</v>
      </c>
      <c r="G69" s="40">
        <f t="shared" si="12"/>
        <v>9.2683181129752832</v>
      </c>
      <c r="H69" s="40">
        <f>G69*DADOS!F$5*DADOS!F$3*DADOS!C$4</f>
        <v>180.50049525019364</v>
      </c>
      <c r="I69" s="40">
        <f t="shared" si="6"/>
        <v>1.5454163287537597</v>
      </c>
      <c r="J69" s="40">
        <f t="shared" si="8"/>
        <v>1330.720597565354</v>
      </c>
      <c r="K69" s="40">
        <f t="shared" si="7"/>
        <v>45287.486582479905</v>
      </c>
      <c r="L69" s="39">
        <f t="shared" si="13"/>
        <v>8556.1578442105274</v>
      </c>
    </row>
    <row r="70" spans="1:12">
      <c r="A70" s="44">
        <v>48</v>
      </c>
      <c r="B70" s="45">
        <f t="shared" si="10"/>
        <v>37.89473684210526</v>
      </c>
      <c r="C70" s="45">
        <f t="shared" si="11"/>
        <v>15.157894736842104</v>
      </c>
      <c r="D70" s="45">
        <v>0</v>
      </c>
      <c r="E70" s="45">
        <f t="shared" si="9"/>
        <v>128.99328000000003</v>
      </c>
      <c r="F70" s="45">
        <f t="shared" si="5"/>
        <v>182.0459115789474</v>
      </c>
      <c r="G70" s="40">
        <f t="shared" si="12"/>
        <v>9.2760567769620081</v>
      </c>
      <c r="H70" s="40">
        <f>G70*DADOS!F$5*DADOS!F$3*DADOS!C$4</f>
        <v>180.6512057313351</v>
      </c>
      <c r="I70" s="40">
        <f t="shared" si="6"/>
        <v>1.3947058476123004</v>
      </c>
      <c r="J70" s="40">
        <f t="shared" si="8"/>
        <v>1332.1153034129663</v>
      </c>
      <c r="K70" s="40">
        <f t="shared" si="7"/>
        <v>46619.601885892873</v>
      </c>
      <c r="L70" s="39">
        <f t="shared" si="13"/>
        <v>8738.2037557894746</v>
      </c>
    </row>
    <row r="71" spans="1:12">
      <c r="A71" s="44">
        <v>49</v>
      </c>
      <c r="B71" s="45">
        <f t="shared" si="10"/>
        <v>37.89473684210526</v>
      </c>
      <c r="C71" s="45">
        <f t="shared" si="11"/>
        <v>15.157894736842104</v>
      </c>
      <c r="D71" s="45">
        <v>0</v>
      </c>
      <c r="E71" s="45">
        <f t="shared" si="9"/>
        <v>128.99328000000003</v>
      </c>
      <c r="F71" s="45">
        <f t="shared" si="5"/>
        <v>182.0459115789474</v>
      </c>
      <c r="G71" s="40">
        <f t="shared" si="12"/>
        <v>9.2837954409487331</v>
      </c>
      <c r="H71" s="40">
        <f>G71*DADOS!F$5*DADOS!F$3*DADOS!C$4</f>
        <v>180.80191621247656</v>
      </c>
      <c r="I71" s="40">
        <f t="shared" si="6"/>
        <v>1.2439953664708412</v>
      </c>
      <c r="J71" s="40">
        <f t="shared" si="8"/>
        <v>1333.3592987794373</v>
      </c>
      <c r="K71" s="40">
        <f t="shared" si="7"/>
        <v>47952.961184672313</v>
      </c>
      <c r="L71" s="39">
        <f t="shared" si="13"/>
        <v>8920.2496673684218</v>
      </c>
    </row>
    <row r="72" spans="1:12">
      <c r="A72" s="44">
        <v>50</v>
      </c>
      <c r="B72" s="45">
        <f t="shared" si="10"/>
        <v>37.89473684210526</v>
      </c>
      <c r="C72" s="45">
        <f t="shared" si="11"/>
        <v>15.157894736842104</v>
      </c>
      <c r="D72" s="45">
        <v>0</v>
      </c>
      <c r="E72" s="45">
        <f t="shared" si="9"/>
        <v>128.99328000000003</v>
      </c>
      <c r="F72" s="45">
        <f t="shared" si="5"/>
        <v>182.0459115789474</v>
      </c>
      <c r="G72" s="40">
        <f t="shared" si="12"/>
        <v>9.2915341049354581</v>
      </c>
      <c r="H72" s="40">
        <f>G72*DADOS!F$5*DADOS!F$3*DADOS!C$4</f>
        <v>180.95262669361801</v>
      </c>
      <c r="I72" s="40">
        <f t="shared" si="6"/>
        <v>1.093284885329382</v>
      </c>
      <c r="J72" s="40">
        <f t="shared" si="8"/>
        <v>1334.4525836647667</v>
      </c>
      <c r="K72" s="40">
        <f t="shared" si="7"/>
        <v>49287.413768337079</v>
      </c>
      <c r="L72" s="39">
        <f t="shared" si="13"/>
        <v>9102.295578947369</v>
      </c>
    </row>
    <row r="73" spans="1:12">
      <c r="A73" s="44">
        <v>51</v>
      </c>
      <c r="B73" s="45">
        <f t="shared" si="10"/>
        <v>37.89473684210526</v>
      </c>
      <c r="C73" s="45">
        <f t="shared" si="11"/>
        <v>15.157894736842104</v>
      </c>
      <c r="D73" s="45">
        <v>0</v>
      </c>
      <c r="E73" s="45">
        <f t="shared" si="9"/>
        <v>128.99328000000003</v>
      </c>
      <c r="F73" s="45">
        <f t="shared" si="5"/>
        <v>182.0459115789474</v>
      </c>
      <c r="G73" s="40">
        <f t="shared" si="12"/>
        <v>9.299272768922183</v>
      </c>
      <c r="H73" s="40">
        <f>G73*DADOS!F$5*DADOS!F$3*DADOS!C$4</f>
        <v>181.1033371747595</v>
      </c>
      <c r="I73" s="40">
        <f t="shared" si="6"/>
        <v>0.94257440418789429</v>
      </c>
      <c r="J73" s="40">
        <f t="shared" si="8"/>
        <v>1335.3951580689545</v>
      </c>
      <c r="K73" s="40">
        <f t="shared" si="7"/>
        <v>50622.808926406033</v>
      </c>
      <c r="L73" s="39">
        <f t="shared" si="13"/>
        <v>9284.341490526318</v>
      </c>
    </row>
    <row r="74" spans="1:12">
      <c r="A74" s="44">
        <v>52</v>
      </c>
      <c r="B74" s="45">
        <f t="shared" si="10"/>
        <v>37.89473684210526</v>
      </c>
      <c r="C74" s="45">
        <f t="shared" si="11"/>
        <v>15.157894736842104</v>
      </c>
      <c r="D74" s="45">
        <v>0</v>
      </c>
      <c r="E74" s="45">
        <f t="shared" si="9"/>
        <v>128.99328000000003</v>
      </c>
      <c r="F74" s="45">
        <f t="shared" si="5"/>
        <v>182.0459115789474</v>
      </c>
      <c r="G74" s="40">
        <f t="shared" si="12"/>
        <v>9.307011432908908</v>
      </c>
      <c r="H74" s="40">
        <f>G74*DADOS!F$5*DADOS!F$3*DADOS!C$4</f>
        <v>181.25404765590099</v>
      </c>
      <c r="I74" s="40">
        <f t="shared" si="6"/>
        <v>0.79186392304640663</v>
      </c>
      <c r="J74" s="40">
        <f t="shared" si="8"/>
        <v>1336.1870219920008</v>
      </c>
      <c r="K74" s="40">
        <f t="shared" si="7"/>
        <v>51958.995948398035</v>
      </c>
      <c r="L74" s="39">
        <f t="shared" si="13"/>
        <v>9466.3874021052652</v>
      </c>
    </row>
    <row r="75" spans="1:12">
      <c r="A75" s="44">
        <v>53</v>
      </c>
      <c r="B75" s="45">
        <f t="shared" si="10"/>
        <v>37.89473684210526</v>
      </c>
      <c r="C75" s="45">
        <f t="shared" si="11"/>
        <v>15.157894736842104</v>
      </c>
      <c r="D75" s="45">
        <v>0</v>
      </c>
      <c r="E75" s="45">
        <f t="shared" si="9"/>
        <v>128.99328000000003</v>
      </c>
      <c r="F75" s="45">
        <f t="shared" si="5"/>
        <v>182.0459115789474</v>
      </c>
      <c r="G75" s="40">
        <f t="shared" si="12"/>
        <v>9.3147500968956329</v>
      </c>
      <c r="H75" s="40">
        <f>G75*DADOS!F$5*DADOS!F$3*DADOS!C$4</f>
        <v>181.40475813704242</v>
      </c>
      <c r="I75" s="40">
        <f t="shared" si="6"/>
        <v>0.64115344190497581</v>
      </c>
      <c r="J75" s="40">
        <f t="shared" si="8"/>
        <v>1336.8281754339059</v>
      </c>
      <c r="K75" s="40">
        <f t="shared" si="7"/>
        <v>53295.824123831939</v>
      </c>
      <c r="L75" s="39">
        <f t="shared" si="13"/>
        <v>9648.4333136842124</v>
      </c>
    </row>
    <row r="76" spans="1:12">
      <c r="A76" s="44">
        <v>54</v>
      </c>
      <c r="B76" s="45">
        <f t="shared" si="10"/>
        <v>37.89473684210526</v>
      </c>
      <c r="C76" s="45">
        <f t="shared" si="11"/>
        <v>15.157894736842104</v>
      </c>
      <c r="D76" s="45">
        <v>0</v>
      </c>
      <c r="E76" s="45">
        <f t="shared" si="9"/>
        <v>128.99328000000003</v>
      </c>
      <c r="F76" s="45">
        <f t="shared" si="5"/>
        <v>182.0459115789474</v>
      </c>
      <c r="G76" s="40">
        <f t="shared" si="12"/>
        <v>9.3224887608823579</v>
      </c>
      <c r="H76" s="40">
        <f>G76*DADOS!F$5*DADOS!F$3*DADOS!C$4</f>
        <v>181.55546861818391</v>
      </c>
      <c r="I76" s="40">
        <f t="shared" si="6"/>
        <v>0.49044296076348814</v>
      </c>
      <c r="J76" s="40">
        <f t="shared" si="8"/>
        <v>1337.3186183946693</v>
      </c>
      <c r="K76" s="40">
        <f t="shared" si="7"/>
        <v>54633.142742226606</v>
      </c>
      <c r="L76" s="39">
        <f t="shared" si="13"/>
        <v>9830.4792252631596</v>
      </c>
    </row>
    <row r="77" spans="1:12">
      <c r="A77" s="44">
        <v>55</v>
      </c>
      <c r="B77" s="45">
        <f t="shared" si="10"/>
        <v>37.89473684210526</v>
      </c>
      <c r="C77" s="45">
        <f t="shared" si="11"/>
        <v>15.157894736842104</v>
      </c>
      <c r="D77" s="45">
        <v>0</v>
      </c>
      <c r="E77" s="45">
        <f t="shared" si="9"/>
        <v>128.99328000000003</v>
      </c>
      <c r="F77" s="45">
        <f t="shared" si="5"/>
        <v>182.0459115789474</v>
      </c>
      <c r="G77" s="40">
        <f t="shared" si="12"/>
        <v>9.3302274248690829</v>
      </c>
      <c r="H77" s="40">
        <f>G77*DADOS!F$5*DADOS!F$3*DADOS!C$4</f>
        <v>181.70617909932537</v>
      </c>
      <c r="I77" s="40">
        <f t="shared" si="6"/>
        <v>0.3397324796220289</v>
      </c>
      <c r="J77" s="40">
        <f t="shared" si="8"/>
        <v>1337.6583508742913</v>
      </c>
      <c r="K77" s="40">
        <f t="shared" si="7"/>
        <v>55970.801093100898</v>
      </c>
      <c r="L77" s="39">
        <f t="shared" si="13"/>
        <v>10012.525136842107</v>
      </c>
    </row>
    <row r="78" spans="1:12">
      <c r="A78" s="44">
        <v>56</v>
      </c>
      <c r="B78" s="45">
        <f t="shared" si="10"/>
        <v>37.89473684210526</v>
      </c>
      <c r="C78" s="45">
        <f t="shared" si="11"/>
        <v>15.157894736842104</v>
      </c>
      <c r="D78" s="45">
        <v>0</v>
      </c>
      <c r="E78" s="45">
        <f t="shared" si="9"/>
        <v>128.99328000000003</v>
      </c>
      <c r="F78" s="45">
        <f t="shared" si="5"/>
        <v>182.0459115789474</v>
      </c>
      <c r="G78" s="40">
        <f t="shared" si="12"/>
        <v>9.3379660888558078</v>
      </c>
      <c r="H78" s="40">
        <f>G78*DADOS!F$5*DADOS!F$3*DADOS!C$4</f>
        <v>181.85688958046686</v>
      </c>
      <c r="I78" s="40">
        <f t="shared" si="6"/>
        <v>0.18902199848054124</v>
      </c>
      <c r="J78" s="40">
        <f t="shared" si="8"/>
        <v>1337.8473728727718</v>
      </c>
      <c r="K78" s="40">
        <f t="shared" si="7"/>
        <v>57308.648465973667</v>
      </c>
      <c r="L78" s="39">
        <f t="shared" si="13"/>
        <v>10194.571048421054</v>
      </c>
    </row>
    <row r="79" spans="1:12">
      <c r="A79" s="44">
        <v>57</v>
      </c>
      <c r="B79" s="45">
        <f t="shared" si="10"/>
        <v>37.89473684210526</v>
      </c>
      <c r="C79" s="45">
        <f t="shared" si="11"/>
        <v>15.157894736842104</v>
      </c>
      <c r="D79" s="45">
        <v>0</v>
      </c>
      <c r="E79" s="45">
        <f t="shared" si="9"/>
        <v>128.99328000000003</v>
      </c>
      <c r="F79" s="45">
        <f t="shared" si="5"/>
        <v>182.0459115789474</v>
      </c>
      <c r="G79" s="40">
        <f t="shared" si="12"/>
        <v>9.3457047528425328</v>
      </c>
      <c r="H79" s="40">
        <f>G79*DADOS!F$5*DADOS!F$3*DADOS!C$4</f>
        <v>182.00760006160829</v>
      </c>
      <c r="I79" s="40">
        <f t="shared" si="6"/>
        <v>3.8311517339110424E-2</v>
      </c>
      <c r="J79" s="40">
        <f t="shared" si="8"/>
        <v>1337.8856843901108</v>
      </c>
      <c r="K79" s="40">
        <f t="shared" si="7"/>
        <v>58646.534150363776</v>
      </c>
      <c r="L79" s="39">
        <f t="shared" si="13"/>
        <v>10376.616960000001</v>
      </c>
    </row>
    <row r="80" spans="1:12">
      <c r="A80" s="44">
        <v>58</v>
      </c>
      <c r="B80" s="45">
        <f t="shared" si="10"/>
        <v>37.89473684210526</v>
      </c>
      <c r="C80" s="45">
        <f t="shared" si="11"/>
        <v>15.157894736842104</v>
      </c>
      <c r="D80" s="45">
        <v>0</v>
      </c>
      <c r="E80" s="45">
        <f t="shared" si="9"/>
        <v>128.99328000000003</v>
      </c>
      <c r="F80" s="45">
        <f t="shared" si="5"/>
        <v>182.0459115789474</v>
      </c>
      <c r="G80" s="40">
        <f t="shared" si="12"/>
        <v>9.3534434168292577</v>
      </c>
      <c r="H80" s="40">
        <f>G80*DADOS!F$5*DADOS!F$3*DADOS!C$4</f>
        <v>182.15831054274977</v>
      </c>
      <c r="I80" s="40">
        <f t="shared" si="6"/>
        <v>-0.11239896380237724</v>
      </c>
      <c r="J80" s="40">
        <f t="shared" si="8"/>
        <v>1337.7732854263083</v>
      </c>
      <c r="K80" s="40">
        <f t="shared" si="7"/>
        <v>59984.307435790084</v>
      </c>
      <c r="L80" s="39">
        <f t="shared" si="13"/>
        <v>10558.662871578948</v>
      </c>
    </row>
    <row r="81" spans="1:12">
      <c r="A81" s="44">
        <v>59</v>
      </c>
      <c r="B81" s="45">
        <f t="shared" si="10"/>
        <v>37.89473684210526</v>
      </c>
      <c r="C81" s="45">
        <f t="shared" si="11"/>
        <v>15.157894736842104</v>
      </c>
      <c r="D81" s="45">
        <v>0</v>
      </c>
      <c r="E81" s="45">
        <f t="shared" ref="E81:E113" si="14">tanque2</f>
        <v>67.80416000000001</v>
      </c>
      <c r="F81" s="45">
        <f t="shared" si="5"/>
        <v>120.85679157894737</v>
      </c>
      <c r="G81" s="40">
        <f t="shared" si="12"/>
        <v>9.3611820808159827</v>
      </c>
      <c r="H81" s="40">
        <f>G81*DADOS!F$5*DADOS!F$3*DADOS!C$4</f>
        <v>182.30902102389126</v>
      </c>
      <c r="I81" s="40">
        <f t="shared" si="6"/>
        <v>-61.452229444943896</v>
      </c>
      <c r="J81" s="40">
        <f t="shared" si="8"/>
        <v>1276.3210559813645</v>
      </c>
      <c r="K81" s="40">
        <f t="shared" si="7"/>
        <v>61260.628491771451</v>
      </c>
      <c r="L81" s="39">
        <f t="shared" si="13"/>
        <v>7130.5507031578945</v>
      </c>
    </row>
    <row r="82" spans="1:12">
      <c r="A82" s="44">
        <v>60</v>
      </c>
      <c r="B82" s="45">
        <f t="shared" si="10"/>
        <v>37.89473684210526</v>
      </c>
      <c r="C82" s="45">
        <f t="shared" si="11"/>
        <v>15.157894736842104</v>
      </c>
      <c r="D82" s="45">
        <v>0</v>
      </c>
      <c r="E82" s="45">
        <f t="shared" si="14"/>
        <v>67.80416000000001</v>
      </c>
      <c r="F82" s="45">
        <f t="shared" si="5"/>
        <v>120.85679157894737</v>
      </c>
      <c r="G82" s="40">
        <f t="shared" si="12"/>
        <v>9.3689207448027076</v>
      </c>
      <c r="H82" s="40">
        <f>G82*DADOS!F$5*DADOS!F$3*DADOS!C$4</f>
        <v>182.45973150503272</v>
      </c>
      <c r="I82" s="40">
        <f t="shared" si="6"/>
        <v>-61.602939926085355</v>
      </c>
      <c r="J82" s="40">
        <f t="shared" si="8"/>
        <v>1214.7181160552791</v>
      </c>
      <c r="K82" s="40">
        <f t="shared" si="7"/>
        <v>62475.34660782673</v>
      </c>
      <c r="L82" s="39">
        <f t="shared" si="13"/>
        <v>7251.4074947368417</v>
      </c>
    </row>
    <row r="83" spans="1:12">
      <c r="A83" s="44">
        <v>61</v>
      </c>
      <c r="B83" s="45">
        <f t="shared" si="10"/>
        <v>37.89473684210526</v>
      </c>
      <c r="C83" s="45">
        <f t="shared" si="11"/>
        <v>15.157894736842104</v>
      </c>
      <c r="D83" s="45">
        <v>0</v>
      </c>
      <c r="E83" s="45">
        <f t="shared" si="14"/>
        <v>67.80416000000001</v>
      </c>
      <c r="F83" s="45">
        <f t="shared" si="5"/>
        <v>120.85679157894737</v>
      </c>
      <c r="G83" s="40">
        <f t="shared" si="12"/>
        <v>9.3766594087894326</v>
      </c>
      <c r="H83" s="40">
        <f>G83*DADOS!F$5*DADOS!F$3*DADOS!C$4</f>
        <v>182.61044198617418</v>
      </c>
      <c r="I83" s="40">
        <f t="shared" si="6"/>
        <v>-61.753650407226814</v>
      </c>
      <c r="J83" s="40">
        <f t="shared" si="8"/>
        <v>1152.9644656480523</v>
      </c>
      <c r="K83" s="40">
        <f t="shared" si="7"/>
        <v>63628.311073474782</v>
      </c>
      <c r="L83" s="39">
        <f t="shared" si="13"/>
        <v>7372.2642863157889</v>
      </c>
    </row>
    <row r="84" spans="1:12">
      <c r="A84" s="44">
        <v>62</v>
      </c>
      <c r="B84" s="45">
        <f t="shared" si="10"/>
        <v>37.89473684210526</v>
      </c>
      <c r="C84" s="45">
        <f t="shared" si="11"/>
        <v>15.157894736842104</v>
      </c>
      <c r="D84" s="45">
        <v>0</v>
      </c>
      <c r="E84" s="45">
        <f t="shared" si="14"/>
        <v>67.80416000000001</v>
      </c>
      <c r="F84" s="45">
        <f t="shared" si="5"/>
        <v>120.85679157894737</v>
      </c>
      <c r="G84" s="40">
        <f t="shared" si="12"/>
        <v>9.3843980727761576</v>
      </c>
      <c r="H84" s="40">
        <f>G84*DADOS!F$5*DADOS!F$3*DADOS!C$4</f>
        <v>182.76115246731564</v>
      </c>
      <c r="I84" s="40">
        <f t="shared" si="6"/>
        <v>-61.904360888368274</v>
      </c>
      <c r="J84" s="40">
        <f t="shared" si="8"/>
        <v>1091.060104759684</v>
      </c>
      <c r="K84" s="40">
        <f t="shared" si="7"/>
        <v>64719.371178234469</v>
      </c>
      <c r="L84" s="39">
        <f t="shared" si="13"/>
        <v>7493.121077894737</v>
      </c>
    </row>
    <row r="85" spans="1:12">
      <c r="A85" s="44">
        <v>63</v>
      </c>
      <c r="B85" s="45">
        <f t="shared" si="10"/>
        <v>37.89473684210526</v>
      </c>
      <c r="C85" s="45">
        <f t="shared" si="11"/>
        <v>15.157894736842104</v>
      </c>
      <c r="D85" s="45">
        <v>0</v>
      </c>
      <c r="E85" s="45">
        <f t="shared" si="14"/>
        <v>67.80416000000001</v>
      </c>
      <c r="F85" s="45">
        <f t="shared" si="5"/>
        <v>120.85679157894737</v>
      </c>
      <c r="G85" s="40">
        <f t="shared" si="12"/>
        <v>9.3921367367628825</v>
      </c>
      <c r="H85" s="40">
        <f>G85*DADOS!F$5*DADOS!F$3*DADOS!C$4</f>
        <v>182.91186294845713</v>
      </c>
      <c r="I85" s="40">
        <f t="shared" si="6"/>
        <v>-62.055071369509761</v>
      </c>
      <c r="J85" s="40">
        <f t="shared" si="8"/>
        <v>1029.0050333901743</v>
      </c>
      <c r="K85" s="40">
        <f t="shared" si="7"/>
        <v>65748.376211624636</v>
      </c>
      <c r="L85" s="39">
        <f t="shared" si="13"/>
        <v>7613.9778694736842</v>
      </c>
    </row>
    <row r="86" spans="1:12">
      <c r="A86" s="44">
        <v>64</v>
      </c>
      <c r="B86" s="45">
        <f t="shared" si="10"/>
        <v>37.89473684210526</v>
      </c>
      <c r="C86" s="45">
        <f t="shared" si="11"/>
        <v>15.157894736842104</v>
      </c>
      <c r="D86" s="45">
        <v>0</v>
      </c>
      <c r="E86" s="45">
        <f t="shared" si="14"/>
        <v>67.80416000000001</v>
      </c>
      <c r="F86" s="45">
        <f t="shared" si="5"/>
        <v>120.85679157894737</v>
      </c>
      <c r="G86" s="40">
        <f t="shared" si="12"/>
        <v>9.3998754007496075</v>
      </c>
      <c r="H86" s="40">
        <f>G86*DADOS!F$5*DADOS!F$3*DADOS!C$4</f>
        <v>183.06257342959859</v>
      </c>
      <c r="I86" s="40">
        <f t="shared" si="6"/>
        <v>-62.205781850651221</v>
      </c>
      <c r="J86" s="40">
        <f t="shared" si="8"/>
        <v>966.79925153952308</v>
      </c>
      <c r="K86" s="40">
        <f t="shared" si="7"/>
        <v>66715.175463164152</v>
      </c>
      <c r="L86" s="39">
        <f t="shared" si="13"/>
        <v>7734.8346610526314</v>
      </c>
    </row>
    <row r="87" spans="1:12">
      <c r="A87" s="44">
        <v>65</v>
      </c>
      <c r="B87" s="45">
        <f t="shared" ref="B87:B118" si="15">casco</f>
        <v>37.89473684210526</v>
      </c>
      <c r="C87" s="45">
        <f t="shared" ref="C87:C118" si="16">out</f>
        <v>15.157894736842104</v>
      </c>
      <c r="D87" s="45">
        <v>0</v>
      </c>
      <c r="E87" s="45">
        <f t="shared" si="14"/>
        <v>67.80416000000001</v>
      </c>
      <c r="F87" s="45">
        <f t="shared" si="5"/>
        <v>120.85679157894737</v>
      </c>
      <c r="G87" s="40">
        <f t="shared" ref="G87:G118" si="17">D$18+((loa/2)-A87)*TAN(F$17)</f>
        <v>9.4076140647363324</v>
      </c>
      <c r="H87" s="40">
        <f>G87*DADOS!F$5*DADOS!F$3*DADOS!C$4</f>
        <v>183.21328391074005</v>
      </c>
      <c r="I87" s="40">
        <f t="shared" si="6"/>
        <v>-62.35649233179268</v>
      </c>
      <c r="J87" s="40">
        <f t="shared" si="8"/>
        <v>904.44275920773043</v>
      </c>
      <c r="K87" s="40">
        <f t="shared" si="7"/>
        <v>67619.618222371879</v>
      </c>
      <c r="L87" s="39">
        <f t="shared" ref="L87:L118" si="18">F87*A87</f>
        <v>7855.6914526315786</v>
      </c>
    </row>
    <row r="88" spans="1:12">
      <c r="A88" s="44">
        <v>66</v>
      </c>
      <c r="B88" s="45">
        <f t="shared" si="15"/>
        <v>37.89473684210526</v>
      </c>
      <c r="C88" s="45">
        <f t="shared" si="16"/>
        <v>15.157894736842104</v>
      </c>
      <c r="D88" s="45">
        <v>0</v>
      </c>
      <c r="E88" s="45">
        <f t="shared" si="14"/>
        <v>67.80416000000001</v>
      </c>
      <c r="F88" s="45">
        <f t="shared" ref="F88:F151" si="19">B88+C88+D88+E88</f>
        <v>120.85679157894737</v>
      </c>
      <c r="G88" s="40">
        <f t="shared" si="17"/>
        <v>9.4153527287230574</v>
      </c>
      <c r="H88" s="40">
        <f>G88*DADOS!F$5*DADOS!F$3*DADOS!C$4</f>
        <v>183.36399439188153</v>
      </c>
      <c r="I88" s="40">
        <f t="shared" ref="I88:I151" si="20">F88-H88</f>
        <v>-62.507202812934167</v>
      </c>
      <c r="J88" s="40">
        <f t="shared" si="8"/>
        <v>841.93555639479632</v>
      </c>
      <c r="K88" s="40">
        <f t="shared" si="7"/>
        <v>68461.553778766669</v>
      </c>
      <c r="L88" s="39">
        <f t="shared" si="18"/>
        <v>7976.5482442105258</v>
      </c>
    </row>
    <row r="89" spans="1:12">
      <c r="A89" s="44">
        <v>67</v>
      </c>
      <c r="B89" s="45">
        <f t="shared" si="15"/>
        <v>37.89473684210526</v>
      </c>
      <c r="C89" s="45">
        <f t="shared" si="16"/>
        <v>15.157894736842104</v>
      </c>
      <c r="D89" s="45">
        <v>0</v>
      </c>
      <c r="E89" s="45">
        <f t="shared" si="14"/>
        <v>67.80416000000001</v>
      </c>
      <c r="F89" s="45">
        <f t="shared" si="19"/>
        <v>120.85679157894737</v>
      </c>
      <c r="G89" s="40">
        <f t="shared" si="17"/>
        <v>9.4230913927097824</v>
      </c>
      <c r="H89" s="40">
        <f>G89*DADOS!F$5*DADOS!F$3*DADOS!C$4</f>
        <v>183.51470487302299</v>
      </c>
      <c r="I89" s="40">
        <f t="shared" si="20"/>
        <v>-62.657913294075627</v>
      </c>
      <c r="J89" s="40">
        <f t="shared" si="8"/>
        <v>779.27764310072075</v>
      </c>
      <c r="K89" s="40">
        <f t="shared" si="7"/>
        <v>69240.831421867391</v>
      </c>
      <c r="L89" s="39">
        <f t="shared" si="18"/>
        <v>8097.4050357894739</v>
      </c>
    </row>
    <row r="90" spans="1:12">
      <c r="A90" s="44">
        <v>68</v>
      </c>
      <c r="B90" s="45">
        <f t="shared" si="15"/>
        <v>37.89473684210526</v>
      </c>
      <c r="C90" s="45">
        <f t="shared" si="16"/>
        <v>15.157894736842104</v>
      </c>
      <c r="D90" s="45">
        <v>0</v>
      </c>
      <c r="E90" s="45">
        <f t="shared" si="14"/>
        <v>67.80416000000001</v>
      </c>
      <c r="F90" s="45">
        <f t="shared" si="19"/>
        <v>120.85679157894737</v>
      </c>
      <c r="G90" s="40">
        <f t="shared" si="17"/>
        <v>9.4308300566965073</v>
      </c>
      <c r="H90" s="40">
        <f>G90*DADOS!F$5*DADOS!F$3*DADOS!C$4</f>
        <v>183.66541535416448</v>
      </c>
      <c r="I90" s="40">
        <f t="shared" si="20"/>
        <v>-62.808623775217114</v>
      </c>
      <c r="J90" s="40">
        <f t="shared" ref="J90:J153" si="21">J89+I90</f>
        <v>716.46901932550361</v>
      </c>
      <c r="K90" s="40">
        <f t="shared" ref="K90:K153" si="22">K89+J90</f>
        <v>69957.3004411929</v>
      </c>
      <c r="L90" s="39">
        <f t="shared" si="18"/>
        <v>8218.2618273684202</v>
      </c>
    </row>
    <row r="91" spans="1:12">
      <c r="A91" s="44">
        <v>69</v>
      </c>
      <c r="B91" s="45">
        <f t="shared" si="15"/>
        <v>37.89473684210526</v>
      </c>
      <c r="C91" s="45">
        <f t="shared" si="16"/>
        <v>15.157894736842104</v>
      </c>
      <c r="D91" s="45">
        <v>0</v>
      </c>
      <c r="E91" s="45">
        <f t="shared" si="14"/>
        <v>67.80416000000001</v>
      </c>
      <c r="F91" s="45">
        <f t="shared" si="19"/>
        <v>120.85679157894737</v>
      </c>
      <c r="G91" s="40">
        <f t="shared" si="17"/>
        <v>9.4385687206832323</v>
      </c>
      <c r="H91" s="40">
        <f>G91*DADOS!F$5*DADOS!F$3*DADOS!C$4</f>
        <v>183.81612583530591</v>
      </c>
      <c r="I91" s="40">
        <f t="shared" si="20"/>
        <v>-62.959334256358545</v>
      </c>
      <c r="J91" s="40">
        <f t="shared" si="21"/>
        <v>653.50968506914501</v>
      </c>
      <c r="K91" s="40">
        <f t="shared" si="22"/>
        <v>70610.810126262048</v>
      </c>
      <c r="L91" s="39">
        <f t="shared" si="18"/>
        <v>8339.1186189473683</v>
      </c>
    </row>
    <row r="92" spans="1:12">
      <c r="A92" s="44">
        <v>70</v>
      </c>
      <c r="B92" s="45">
        <f t="shared" si="15"/>
        <v>37.89473684210526</v>
      </c>
      <c r="C92" s="45">
        <f t="shared" si="16"/>
        <v>15.157894736842104</v>
      </c>
      <c r="D92" s="45">
        <v>0</v>
      </c>
      <c r="E92" s="45">
        <f t="shared" si="14"/>
        <v>67.80416000000001</v>
      </c>
      <c r="F92" s="45">
        <f t="shared" si="19"/>
        <v>120.85679157894737</v>
      </c>
      <c r="G92" s="40">
        <f t="shared" si="17"/>
        <v>9.4463073846699572</v>
      </c>
      <c r="H92" s="40">
        <f>G92*DADOS!F$5*DADOS!F$3*DADOS!C$4</f>
        <v>183.9668363164474</v>
      </c>
      <c r="I92" s="40">
        <f t="shared" si="20"/>
        <v>-63.110044737500033</v>
      </c>
      <c r="J92" s="40">
        <f t="shared" si="21"/>
        <v>590.39964033164495</v>
      </c>
      <c r="K92" s="40">
        <f t="shared" si="22"/>
        <v>71201.209766593689</v>
      </c>
      <c r="L92" s="39">
        <f t="shared" si="18"/>
        <v>8459.9754105263164</v>
      </c>
    </row>
    <row r="93" spans="1:12">
      <c r="A93" s="44">
        <v>71</v>
      </c>
      <c r="B93" s="45">
        <f t="shared" si="15"/>
        <v>37.89473684210526</v>
      </c>
      <c r="C93" s="45">
        <f t="shared" si="16"/>
        <v>15.157894736842104</v>
      </c>
      <c r="D93" s="45">
        <v>0</v>
      </c>
      <c r="E93" s="45">
        <f t="shared" si="14"/>
        <v>67.80416000000001</v>
      </c>
      <c r="F93" s="45">
        <f t="shared" si="19"/>
        <v>120.85679157894737</v>
      </c>
      <c r="G93" s="40">
        <f t="shared" si="17"/>
        <v>9.4540460486566822</v>
      </c>
      <c r="H93" s="40">
        <f>G93*DADOS!F$5*DADOS!F$3*DADOS!C$4</f>
        <v>184.11754679758886</v>
      </c>
      <c r="I93" s="40">
        <f t="shared" si="20"/>
        <v>-63.260755218641492</v>
      </c>
      <c r="J93" s="40">
        <f t="shared" si="21"/>
        <v>527.13888511300343</v>
      </c>
      <c r="K93" s="40">
        <f t="shared" si="22"/>
        <v>71728.348651706692</v>
      </c>
      <c r="L93" s="39">
        <f t="shared" si="18"/>
        <v>8580.8322021052627</v>
      </c>
    </row>
    <row r="94" spans="1:12">
      <c r="A94" s="44">
        <v>72</v>
      </c>
      <c r="B94" s="45">
        <f t="shared" si="15"/>
        <v>37.89473684210526</v>
      </c>
      <c r="C94" s="45">
        <f t="shared" si="16"/>
        <v>15.157894736842104</v>
      </c>
      <c r="D94" s="45">
        <v>0</v>
      </c>
      <c r="E94" s="45">
        <f t="shared" si="14"/>
        <v>67.80416000000001</v>
      </c>
      <c r="F94" s="45">
        <f t="shared" si="19"/>
        <v>120.85679157894737</v>
      </c>
      <c r="G94" s="40">
        <f t="shared" si="17"/>
        <v>9.4617847126434071</v>
      </c>
      <c r="H94" s="40">
        <f>G94*DADOS!F$5*DADOS!F$3*DADOS!C$4</f>
        <v>184.26825727873035</v>
      </c>
      <c r="I94" s="40">
        <f t="shared" si="20"/>
        <v>-63.41146569978298</v>
      </c>
      <c r="J94" s="40">
        <f t="shared" si="21"/>
        <v>463.72741941322045</v>
      </c>
      <c r="K94" s="40">
        <f t="shared" si="22"/>
        <v>72192.076071119911</v>
      </c>
      <c r="L94" s="39">
        <f t="shared" si="18"/>
        <v>8701.6889936842108</v>
      </c>
    </row>
    <row r="95" spans="1:12">
      <c r="A95" s="44">
        <v>73</v>
      </c>
      <c r="B95" s="45">
        <f t="shared" si="15"/>
        <v>37.89473684210526</v>
      </c>
      <c r="C95" s="45">
        <f t="shared" si="16"/>
        <v>15.157894736842104</v>
      </c>
      <c r="D95" s="45">
        <v>0</v>
      </c>
      <c r="E95" s="45">
        <f t="shared" si="14"/>
        <v>67.80416000000001</v>
      </c>
      <c r="F95" s="45">
        <f t="shared" si="19"/>
        <v>120.85679157894737</v>
      </c>
      <c r="G95" s="40">
        <f t="shared" si="17"/>
        <v>9.4695233766301321</v>
      </c>
      <c r="H95" s="40">
        <f>G95*DADOS!F$5*DADOS!F$3*DADOS!C$4</f>
        <v>184.4189677598718</v>
      </c>
      <c r="I95" s="40">
        <f t="shared" si="20"/>
        <v>-63.562176180924439</v>
      </c>
      <c r="J95" s="40">
        <f t="shared" si="21"/>
        <v>400.16524323229601</v>
      </c>
      <c r="K95" s="40">
        <f t="shared" si="22"/>
        <v>72592.241314352214</v>
      </c>
      <c r="L95" s="39">
        <f t="shared" si="18"/>
        <v>8822.5457852631571</v>
      </c>
    </row>
    <row r="96" spans="1:12">
      <c r="A96" s="44">
        <v>74</v>
      </c>
      <c r="B96" s="45">
        <f t="shared" si="15"/>
        <v>37.89473684210526</v>
      </c>
      <c r="C96" s="45">
        <f t="shared" si="16"/>
        <v>15.157894736842104</v>
      </c>
      <c r="D96" s="45">
        <v>0</v>
      </c>
      <c r="E96" s="45">
        <f t="shared" si="14"/>
        <v>67.80416000000001</v>
      </c>
      <c r="F96" s="45">
        <f t="shared" si="19"/>
        <v>120.85679157894737</v>
      </c>
      <c r="G96" s="40">
        <f t="shared" si="17"/>
        <v>9.4772620406168571</v>
      </c>
      <c r="H96" s="40">
        <f>G96*DADOS!F$5*DADOS!F$3*DADOS!C$4</f>
        <v>184.56967824101326</v>
      </c>
      <c r="I96" s="40">
        <f t="shared" si="20"/>
        <v>-63.712886662065898</v>
      </c>
      <c r="J96" s="40">
        <f t="shared" si="21"/>
        <v>336.45235657023011</v>
      </c>
      <c r="K96" s="40">
        <f t="shared" si="22"/>
        <v>72928.693670922439</v>
      </c>
      <c r="L96" s="39">
        <f t="shared" si="18"/>
        <v>8943.4025768421052</v>
      </c>
    </row>
    <row r="97" spans="1:12">
      <c r="A97" s="44">
        <v>75</v>
      </c>
      <c r="B97" s="45">
        <f t="shared" si="15"/>
        <v>37.89473684210526</v>
      </c>
      <c r="C97" s="45">
        <f t="shared" si="16"/>
        <v>15.157894736842104</v>
      </c>
      <c r="D97" s="45">
        <v>0</v>
      </c>
      <c r="E97" s="45">
        <f t="shared" si="14"/>
        <v>67.80416000000001</v>
      </c>
      <c r="F97" s="45">
        <f t="shared" si="19"/>
        <v>120.85679157894737</v>
      </c>
      <c r="G97" s="40">
        <f t="shared" si="17"/>
        <v>9.485000704603582</v>
      </c>
      <c r="H97" s="40">
        <f>G97*DADOS!F$5*DADOS!F$3*DADOS!C$4</f>
        <v>184.72038872215475</v>
      </c>
      <c r="I97" s="40">
        <f t="shared" si="20"/>
        <v>-63.863597143207386</v>
      </c>
      <c r="J97" s="40">
        <f t="shared" si="21"/>
        <v>272.58875942702275</v>
      </c>
      <c r="K97" s="40">
        <f t="shared" si="22"/>
        <v>73201.282430349456</v>
      </c>
      <c r="L97" s="39">
        <f t="shared" si="18"/>
        <v>9064.2593684210533</v>
      </c>
    </row>
    <row r="98" spans="1:12">
      <c r="A98" s="44">
        <v>76</v>
      </c>
      <c r="B98" s="45">
        <f t="shared" si="15"/>
        <v>37.89473684210526</v>
      </c>
      <c r="C98" s="45">
        <f t="shared" si="16"/>
        <v>15.157894736842104</v>
      </c>
      <c r="D98" s="45">
        <v>0</v>
      </c>
      <c r="E98" s="45">
        <f t="shared" si="14"/>
        <v>67.80416000000001</v>
      </c>
      <c r="F98" s="45">
        <f t="shared" si="19"/>
        <v>120.85679157894737</v>
      </c>
      <c r="G98" s="40">
        <f t="shared" si="17"/>
        <v>9.492739368590307</v>
      </c>
      <c r="H98" s="40">
        <f>G98*DADOS!F$5*DADOS!F$3*DADOS!C$4</f>
        <v>184.87109920329621</v>
      </c>
      <c r="I98" s="40">
        <f t="shared" si="20"/>
        <v>-64.014307624348845</v>
      </c>
      <c r="J98" s="40">
        <f t="shared" si="21"/>
        <v>208.57445180267391</v>
      </c>
      <c r="K98" s="40">
        <f t="shared" si="22"/>
        <v>73409.856882152133</v>
      </c>
      <c r="L98" s="39">
        <f t="shared" si="18"/>
        <v>9185.1161599999996</v>
      </c>
    </row>
    <row r="99" spans="1:12">
      <c r="A99" s="44">
        <v>77</v>
      </c>
      <c r="B99" s="45">
        <f t="shared" si="15"/>
        <v>37.89473684210526</v>
      </c>
      <c r="C99" s="45">
        <f t="shared" si="16"/>
        <v>15.157894736842104</v>
      </c>
      <c r="D99" s="45">
        <v>0</v>
      </c>
      <c r="E99" s="45">
        <f t="shared" si="14"/>
        <v>67.80416000000001</v>
      </c>
      <c r="F99" s="45">
        <f t="shared" si="19"/>
        <v>120.85679157894737</v>
      </c>
      <c r="G99" s="40">
        <f t="shared" si="17"/>
        <v>9.5004780325770319</v>
      </c>
      <c r="H99" s="40">
        <f>G99*DADOS!F$5*DADOS!F$3*DADOS!C$4</f>
        <v>185.02180968443767</v>
      </c>
      <c r="I99" s="40">
        <f t="shared" si="20"/>
        <v>-64.165018105490304</v>
      </c>
      <c r="J99" s="40">
        <f t="shared" si="21"/>
        <v>144.4094336971836</v>
      </c>
      <c r="K99" s="40">
        <f t="shared" si="22"/>
        <v>73554.266315849323</v>
      </c>
      <c r="L99" s="39">
        <f t="shared" si="18"/>
        <v>9305.9729515789477</v>
      </c>
    </row>
    <row r="100" spans="1:12">
      <c r="A100" s="44">
        <v>78</v>
      </c>
      <c r="B100" s="45">
        <f t="shared" si="15"/>
        <v>37.89473684210526</v>
      </c>
      <c r="C100" s="45">
        <f t="shared" si="16"/>
        <v>15.157894736842104</v>
      </c>
      <c r="D100" s="45">
        <v>0</v>
      </c>
      <c r="E100" s="45">
        <f t="shared" si="14"/>
        <v>67.80416000000001</v>
      </c>
      <c r="F100" s="45">
        <f t="shared" si="19"/>
        <v>120.85679157894737</v>
      </c>
      <c r="G100" s="40">
        <f t="shared" si="17"/>
        <v>9.5082166965637569</v>
      </c>
      <c r="H100" s="40">
        <f>G100*DADOS!F$5*DADOS!F$3*DADOS!C$4</f>
        <v>185.17252016557913</v>
      </c>
      <c r="I100" s="40">
        <f t="shared" si="20"/>
        <v>-64.315728586631764</v>
      </c>
      <c r="J100" s="40">
        <f t="shared" si="21"/>
        <v>80.093705110551838</v>
      </c>
      <c r="K100" s="40">
        <f t="shared" si="22"/>
        <v>73634.360020959881</v>
      </c>
      <c r="L100" s="39">
        <f t="shared" si="18"/>
        <v>9426.829743157894</v>
      </c>
    </row>
    <row r="101" spans="1:12">
      <c r="A101" s="44">
        <v>79</v>
      </c>
      <c r="B101" s="45">
        <f t="shared" si="15"/>
        <v>37.89473684210526</v>
      </c>
      <c r="C101" s="45">
        <f t="shared" si="16"/>
        <v>15.157894736842104</v>
      </c>
      <c r="D101" s="45">
        <v>0</v>
      </c>
      <c r="E101" s="45">
        <f t="shared" si="14"/>
        <v>67.80416000000001</v>
      </c>
      <c r="F101" s="45">
        <f t="shared" si="19"/>
        <v>120.85679157894737</v>
      </c>
      <c r="G101" s="40">
        <f t="shared" si="17"/>
        <v>9.5159553605504819</v>
      </c>
      <c r="H101" s="40">
        <f>G101*DADOS!F$5*DADOS!F$3*DADOS!C$4</f>
        <v>185.32323064672062</v>
      </c>
      <c r="I101" s="40">
        <f t="shared" si="20"/>
        <v>-64.466439067773251</v>
      </c>
      <c r="J101" s="40">
        <f t="shared" si="21"/>
        <v>15.627266042778587</v>
      </c>
      <c r="K101" s="40">
        <f t="shared" si="22"/>
        <v>73649.987287002659</v>
      </c>
      <c r="L101" s="39">
        <f t="shared" si="18"/>
        <v>9547.6865347368421</v>
      </c>
    </row>
    <row r="102" spans="1:12">
      <c r="A102" s="44">
        <v>80</v>
      </c>
      <c r="B102" s="45">
        <f t="shared" si="15"/>
        <v>37.89473684210526</v>
      </c>
      <c r="C102" s="45">
        <f t="shared" si="16"/>
        <v>15.157894736842104</v>
      </c>
      <c r="D102" s="45">
        <v>0</v>
      </c>
      <c r="E102" s="45">
        <f t="shared" si="14"/>
        <v>67.80416000000001</v>
      </c>
      <c r="F102" s="45">
        <f t="shared" si="19"/>
        <v>120.85679157894737</v>
      </c>
      <c r="G102" s="40">
        <f t="shared" si="17"/>
        <v>9.5236940245372068</v>
      </c>
      <c r="H102" s="40">
        <f>G102*DADOS!F$5*DADOS!F$3*DADOS!C$4</f>
        <v>185.4739411278621</v>
      </c>
      <c r="I102" s="40">
        <f t="shared" si="20"/>
        <v>-64.617149548914739</v>
      </c>
      <c r="J102" s="40">
        <f t="shared" si="21"/>
        <v>-48.989883506136152</v>
      </c>
      <c r="K102" s="40">
        <f t="shared" si="22"/>
        <v>73600.997403496527</v>
      </c>
      <c r="L102" s="39">
        <f t="shared" si="18"/>
        <v>9668.5433263157902</v>
      </c>
    </row>
    <row r="103" spans="1:12">
      <c r="A103" s="44">
        <v>81</v>
      </c>
      <c r="B103" s="45">
        <f t="shared" si="15"/>
        <v>37.89473684210526</v>
      </c>
      <c r="C103" s="45">
        <f t="shared" si="16"/>
        <v>15.157894736842104</v>
      </c>
      <c r="D103" s="45">
        <v>0</v>
      </c>
      <c r="E103" s="45">
        <f t="shared" si="14"/>
        <v>67.80416000000001</v>
      </c>
      <c r="F103" s="45">
        <f t="shared" si="19"/>
        <v>120.85679157894737</v>
      </c>
      <c r="G103" s="40">
        <f t="shared" si="17"/>
        <v>9.5314326885239318</v>
      </c>
      <c r="H103" s="40">
        <f>G103*DADOS!F$5*DADOS!F$3*DADOS!C$4</f>
        <v>185.62465160900354</v>
      </c>
      <c r="I103" s="40">
        <f t="shared" si="20"/>
        <v>-64.76786003005617</v>
      </c>
      <c r="J103" s="40">
        <f t="shared" si="21"/>
        <v>-113.75774353619232</v>
      </c>
      <c r="K103" s="40">
        <f t="shared" si="22"/>
        <v>73487.239659960338</v>
      </c>
      <c r="L103" s="39">
        <f t="shared" si="18"/>
        <v>9789.4001178947365</v>
      </c>
    </row>
    <row r="104" spans="1:12">
      <c r="A104" s="44">
        <v>82</v>
      </c>
      <c r="B104" s="45">
        <f t="shared" si="15"/>
        <v>37.89473684210526</v>
      </c>
      <c r="C104" s="45">
        <f t="shared" si="16"/>
        <v>15.157894736842104</v>
      </c>
      <c r="D104" s="45">
        <v>0</v>
      </c>
      <c r="E104" s="45">
        <f t="shared" si="14"/>
        <v>67.80416000000001</v>
      </c>
      <c r="F104" s="45">
        <f t="shared" si="19"/>
        <v>120.85679157894737</v>
      </c>
      <c r="G104" s="40">
        <f t="shared" si="17"/>
        <v>9.5391713525106567</v>
      </c>
      <c r="H104" s="40">
        <f>G104*DADOS!F$5*DADOS!F$3*DADOS!C$4</f>
        <v>185.77536209014502</v>
      </c>
      <c r="I104" s="40">
        <f t="shared" si="20"/>
        <v>-64.918570511197657</v>
      </c>
      <c r="J104" s="40">
        <f t="shared" si="21"/>
        <v>-178.67631404738998</v>
      </c>
      <c r="K104" s="40">
        <f t="shared" si="22"/>
        <v>73308.563345912946</v>
      </c>
      <c r="L104" s="39">
        <f t="shared" si="18"/>
        <v>9910.2569094736846</v>
      </c>
    </row>
    <row r="105" spans="1:12">
      <c r="A105" s="44">
        <v>83</v>
      </c>
      <c r="B105" s="45">
        <f t="shared" si="15"/>
        <v>37.89473684210526</v>
      </c>
      <c r="C105" s="45">
        <f t="shared" si="16"/>
        <v>15.157894736842104</v>
      </c>
      <c r="D105" s="45">
        <v>0</v>
      </c>
      <c r="E105" s="45">
        <f t="shared" si="14"/>
        <v>67.80416000000001</v>
      </c>
      <c r="F105" s="45">
        <f t="shared" si="19"/>
        <v>120.85679157894737</v>
      </c>
      <c r="G105" s="40">
        <f t="shared" si="17"/>
        <v>9.5469100164973817</v>
      </c>
      <c r="H105" s="40">
        <f>G105*DADOS!F$5*DADOS!F$3*DADOS!C$4</f>
        <v>185.92607257128648</v>
      </c>
      <c r="I105" s="40">
        <f t="shared" si="20"/>
        <v>-65.069280992339117</v>
      </c>
      <c r="J105" s="40">
        <f t="shared" si="21"/>
        <v>-243.7455950397291</v>
      </c>
      <c r="K105" s="40">
        <f t="shared" si="22"/>
        <v>73064.817750873219</v>
      </c>
      <c r="L105" s="39">
        <f t="shared" si="18"/>
        <v>10031.113701052631</v>
      </c>
    </row>
    <row r="106" spans="1:12">
      <c r="A106" s="44">
        <v>84</v>
      </c>
      <c r="B106" s="45">
        <f t="shared" si="15"/>
        <v>37.89473684210526</v>
      </c>
      <c r="C106" s="45">
        <f t="shared" si="16"/>
        <v>15.157894736842104</v>
      </c>
      <c r="D106" s="45">
        <v>0</v>
      </c>
      <c r="E106" s="45">
        <f t="shared" si="14"/>
        <v>67.80416000000001</v>
      </c>
      <c r="F106" s="45">
        <f t="shared" si="19"/>
        <v>120.85679157894737</v>
      </c>
      <c r="G106" s="40">
        <f t="shared" si="17"/>
        <v>9.5546486804841066</v>
      </c>
      <c r="H106" s="40">
        <f>G106*DADOS!F$5*DADOS!F$3*DADOS!C$4</f>
        <v>186.07678305242797</v>
      </c>
      <c r="I106" s="40">
        <f t="shared" si="20"/>
        <v>-65.219991473480604</v>
      </c>
      <c r="J106" s="40">
        <f t="shared" si="21"/>
        <v>-308.9655865132097</v>
      </c>
      <c r="K106" s="40">
        <f t="shared" si="22"/>
        <v>72755.852164360011</v>
      </c>
      <c r="L106" s="39">
        <f t="shared" si="18"/>
        <v>10151.970492631579</v>
      </c>
    </row>
    <row r="107" spans="1:12">
      <c r="A107" s="44">
        <v>85</v>
      </c>
      <c r="B107" s="45">
        <f t="shared" si="15"/>
        <v>37.89473684210526</v>
      </c>
      <c r="C107" s="45">
        <f t="shared" si="16"/>
        <v>15.157894736842104</v>
      </c>
      <c r="D107" s="45">
        <v>0</v>
      </c>
      <c r="E107" s="45">
        <f t="shared" si="14"/>
        <v>67.80416000000001</v>
      </c>
      <c r="F107" s="45">
        <f t="shared" si="19"/>
        <v>120.85679157894737</v>
      </c>
      <c r="G107" s="40">
        <f t="shared" si="17"/>
        <v>9.5623873444708316</v>
      </c>
      <c r="H107" s="40">
        <f>G107*DADOS!F$5*DADOS!F$3*DADOS!C$4</f>
        <v>186.2274935335694</v>
      </c>
      <c r="I107" s="40">
        <f t="shared" si="20"/>
        <v>-65.370701954622035</v>
      </c>
      <c r="J107" s="40">
        <f t="shared" si="21"/>
        <v>-374.33628846783176</v>
      </c>
      <c r="K107" s="40">
        <f t="shared" si="22"/>
        <v>72381.515875892175</v>
      </c>
      <c r="L107" s="39">
        <f t="shared" si="18"/>
        <v>10272.827284210525</v>
      </c>
    </row>
    <row r="108" spans="1:12">
      <c r="A108" s="44">
        <v>86</v>
      </c>
      <c r="B108" s="45">
        <f t="shared" si="15"/>
        <v>37.89473684210526</v>
      </c>
      <c r="C108" s="45">
        <f t="shared" si="16"/>
        <v>15.157894736842104</v>
      </c>
      <c r="D108" s="45">
        <v>0</v>
      </c>
      <c r="E108" s="45">
        <f t="shared" si="14"/>
        <v>67.80416000000001</v>
      </c>
      <c r="F108" s="45">
        <f t="shared" si="19"/>
        <v>120.85679157894737</v>
      </c>
      <c r="G108" s="40">
        <f t="shared" si="17"/>
        <v>9.5701260084575566</v>
      </c>
      <c r="H108" s="40">
        <f>G108*DADOS!F$5*DADOS!F$3*DADOS!C$4</f>
        <v>186.37820401471089</v>
      </c>
      <c r="I108" s="40">
        <f t="shared" si="20"/>
        <v>-65.521412435763523</v>
      </c>
      <c r="J108" s="40">
        <f t="shared" si="21"/>
        <v>-439.85770090359529</v>
      </c>
      <c r="K108" s="40">
        <f t="shared" si="22"/>
        <v>71941.658174988581</v>
      </c>
      <c r="L108" s="39">
        <f t="shared" si="18"/>
        <v>10393.684075789473</v>
      </c>
    </row>
    <row r="109" spans="1:12">
      <c r="A109" s="44">
        <v>87</v>
      </c>
      <c r="B109" s="45">
        <f t="shared" si="15"/>
        <v>37.89473684210526</v>
      </c>
      <c r="C109" s="45">
        <f t="shared" si="16"/>
        <v>15.157894736842104</v>
      </c>
      <c r="D109" s="45">
        <v>0</v>
      </c>
      <c r="E109" s="45">
        <f t="shared" si="14"/>
        <v>67.80416000000001</v>
      </c>
      <c r="F109" s="45">
        <f t="shared" si="19"/>
        <v>120.85679157894737</v>
      </c>
      <c r="G109" s="40">
        <f t="shared" si="17"/>
        <v>9.5778646724442815</v>
      </c>
      <c r="H109" s="40">
        <f>G109*DADOS!F$5*DADOS!F$3*DADOS!C$4</f>
        <v>186.52891449585238</v>
      </c>
      <c r="I109" s="40">
        <f t="shared" si="20"/>
        <v>-65.67212291690501</v>
      </c>
      <c r="J109" s="40">
        <f t="shared" si="21"/>
        <v>-505.52982382050027</v>
      </c>
      <c r="K109" s="40">
        <f t="shared" si="22"/>
        <v>71436.128351168081</v>
      </c>
      <c r="L109" s="39">
        <f t="shared" si="18"/>
        <v>10514.540867368421</v>
      </c>
    </row>
    <row r="110" spans="1:12">
      <c r="A110" s="44">
        <v>88</v>
      </c>
      <c r="B110" s="45">
        <f t="shared" si="15"/>
        <v>37.89473684210526</v>
      </c>
      <c r="C110" s="45">
        <f t="shared" si="16"/>
        <v>15.157894736842104</v>
      </c>
      <c r="D110" s="45">
        <v>0</v>
      </c>
      <c r="E110" s="45">
        <f t="shared" si="14"/>
        <v>67.80416000000001</v>
      </c>
      <c r="F110" s="45">
        <f t="shared" si="19"/>
        <v>120.85679157894737</v>
      </c>
      <c r="G110" s="40">
        <f t="shared" si="17"/>
        <v>9.5856033364310065</v>
      </c>
      <c r="H110" s="40">
        <f>G110*DADOS!F$5*DADOS!F$3*DADOS!C$4</f>
        <v>186.67962497699384</v>
      </c>
      <c r="I110" s="40">
        <f t="shared" si="20"/>
        <v>-65.82283339804647</v>
      </c>
      <c r="J110" s="40">
        <f t="shared" si="21"/>
        <v>-571.35265721854671</v>
      </c>
      <c r="K110" s="40">
        <f t="shared" si="22"/>
        <v>70864.77569394953</v>
      </c>
      <c r="L110" s="39">
        <f t="shared" si="18"/>
        <v>10635.397658947368</v>
      </c>
    </row>
    <row r="111" spans="1:12">
      <c r="A111" s="44">
        <v>89</v>
      </c>
      <c r="B111" s="45">
        <f t="shared" si="15"/>
        <v>37.89473684210526</v>
      </c>
      <c r="C111" s="45">
        <f t="shared" si="16"/>
        <v>15.157894736842104</v>
      </c>
      <c r="D111" s="45">
        <v>0</v>
      </c>
      <c r="E111" s="45">
        <f t="shared" si="14"/>
        <v>67.80416000000001</v>
      </c>
      <c r="F111" s="45">
        <f t="shared" si="19"/>
        <v>120.85679157894737</v>
      </c>
      <c r="G111" s="40">
        <f t="shared" si="17"/>
        <v>9.5933420004177314</v>
      </c>
      <c r="H111" s="40">
        <f>G111*DADOS!F$5*DADOS!F$3*DADOS!C$4</f>
        <v>186.83033545813529</v>
      </c>
      <c r="I111" s="40">
        <f t="shared" si="20"/>
        <v>-65.973543879187929</v>
      </c>
      <c r="J111" s="40">
        <f t="shared" si="21"/>
        <v>-637.32620109773461</v>
      </c>
      <c r="K111" s="40">
        <f t="shared" si="22"/>
        <v>70227.449492851796</v>
      </c>
      <c r="L111" s="39">
        <f t="shared" si="18"/>
        <v>10756.254450526316</v>
      </c>
    </row>
    <row r="112" spans="1:12">
      <c r="A112" s="44">
        <v>90</v>
      </c>
      <c r="B112" s="45">
        <f t="shared" si="15"/>
        <v>37.89473684210526</v>
      </c>
      <c r="C112" s="45">
        <f t="shared" si="16"/>
        <v>15.157894736842104</v>
      </c>
      <c r="D112" s="45">
        <v>0</v>
      </c>
      <c r="E112" s="45">
        <f t="shared" si="14"/>
        <v>67.80416000000001</v>
      </c>
      <c r="F112" s="45">
        <f t="shared" si="19"/>
        <v>120.85679157894737</v>
      </c>
      <c r="G112" s="40">
        <f t="shared" si="17"/>
        <v>9.6010806644044564</v>
      </c>
      <c r="H112" s="40">
        <f>G112*DADOS!F$5*DADOS!F$3*DADOS!C$4</f>
        <v>186.98104593927675</v>
      </c>
      <c r="I112" s="40">
        <f t="shared" si="20"/>
        <v>-66.124254360329388</v>
      </c>
      <c r="J112" s="40">
        <f t="shared" si="21"/>
        <v>-703.45045545806397</v>
      </c>
      <c r="K112" s="40">
        <f t="shared" si="22"/>
        <v>69523.999037393733</v>
      </c>
      <c r="L112" s="39">
        <f t="shared" si="18"/>
        <v>10877.111242105262</v>
      </c>
    </row>
    <row r="113" spans="1:12">
      <c r="A113" s="44">
        <v>91</v>
      </c>
      <c r="B113" s="45">
        <f t="shared" si="15"/>
        <v>37.89473684210526</v>
      </c>
      <c r="C113" s="45">
        <f t="shared" si="16"/>
        <v>15.157894736842104</v>
      </c>
      <c r="D113" s="45">
        <v>0</v>
      </c>
      <c r="E113" s="45">
        <f t="shared" si="14"/>
        <v>67.80416000000001</v>
      </c>
      <c r="F113" s="45">
        <f t="shared" si="19"/>
        <v>120.85679157894737</v>
      </c>
      <c r="G113" s="40">
        <f t="shared" si="17"/>
        <v>9.6088193283911814</v>
      </c>
      <c r="H113" s="40">
        <f>G113*DADOS!F$5*DADOS!F$3*DADOS!C$4</f>
        <v>187.13175642041824</v>
      </c>
      <c r="I113" s="40">
        <f t="shared" si="20"/>
        <v>-66.274964841470876</v>
      </c>
      <c r="J113" s="40">
        <f t="shared" si="21"/>
        <v>-769.72542029953479</v>
      </c>
      <c r="K113" s="40">
        <f t="shared" si="22"/>
        <v>68754.273617094193</v>
      </c>
      <c r="L113" s="39">
        <f t="shared" si="18"/>
        <v>10997.96803368421</v>
      </c>
    </row>
    <row r="114" spans="1:12">
      <c r="A114" s="44">
        <v>92</v>
      </c>
      <c r="B114" s="45">
        <f t="shared" si="15"/>
        <v>37.89473684210526</v>
      </c>
      <c r="C114" s="45">
        <f t="shared" si="16"/>
        <v>15.157894736842104</v>
      </c>
      <c r="D114" s="45">
        <v>0</v>
      </c>
      <c r="E114" s="45">
        <f t="shared" ref="E114:E146" si="23">tanque3</f>
        <v>125.68576000000003</v>
      </c>
      <c r="F114" s="45">
        <f t="shared" si="19"/>
        <v>178.73839157894739</v>
      </c>
      <c r="G114" s="40">
        <f t="shared" si="17"/>
        <v>9.6165579923779063</v>
      </c>
      <c r="H114" s="40">
        <f>G114*DADOS!F$5*DADOS!F$3*DADOS!C$4</f>
        <v>187.28246690155973</v>
      </c>
      <c r="I114" s="40">
        <f t="shared" si="20"/>
        <v>-8.5440753226123434</v>
      </c>
      <c r="J114" s="40">
        <f t="shared" si="21"/>
        <v>-778.26949562214713</v>
      </c>
      <c r="K114" s="40">
        <f t="shared" si="22"/>
        <v>67976.00412147204</v>
      </c>
      <c r="L114" s="39">
        <f t="shared" si="18"/>
        <v>16443.932025263159</v>
      </c>
    </row>
    <row r="115" spans="1:12">
      <c r="A115" s="44">
        <v>93</v>
      </c>
      <c r="B115" s="45">
        <f t="shared" si="15"/>
        <v>37.89473684210526</v>
      </c>
      <c r="C115" s="45">
        <f t="shared" si="16"/>
        <v>15.157894736842104</v>
      </c>
      <c r="D115" s="45">
        <v>0</v>
      </c>
      <c r="E115" s="45">
        <f t="shared" si="23"/>
        <v>125.68576000000003</v>
      </c>
      <c r="F115" s="45">
        <f t="shared" si="19"/>
        <v>178.73839157894739</v>
      </c>
      <c r="G115" s="40">
        <f t="shared" si="17"/>
        <v>9.6242966563646313</v>
      </c>
      <c r="H115" s="40">
        <f>G115*DADOS!F$5*DADOS!F$3*DADOS!C$4</f>
        <v>187.43317738270116</v>
      </c>
      <c r="I115" s="40">
        <f t="shared" si="20"/>
        <v>-8.6947858037537742</v>
      </c>
      <c r="J115" s="40">
        <f t="shared" si="21"/>
        <v>-786.96428142590094</v>
      </c>
      <c r="K115" s="40">
        <f t="shared" si="22"/>
        <v>67189.039840046142</v>
      </c>
      <c r="L115" s="39">
        <f t="shared" si="18"/>
        <v>16622.670416842106</v>
      </c>
    </row>
    <row r="116" spans="1:12">
      <c r="A116" s="44">
        <v>94</v>
      </c>
      <c r="B116" s="45">
        <f t="shared" si="15"/>
        <v>37.89473684210526</v>
      </c>
      <c r="C116" s="45">
        <f t="shared" si="16"/>
        <v>15.157894736842104</v>
      </c>
      <c r="D116" s="45">
        <v>0</v>
      </c>
      <c r="E116" s="45">
        <f t="shared" si="23"/>
        <v>125.68576000000003</v>
      </c>
      <c r="F116" s="45">
        <f t="shared" si="19"/>
        <v>178.73839157894739</v>
      </c>
      <c r="G116" s="40">
        <f t="shared" si="17"/>
        <v>9.6320353203513562</v>
      </c>
      <c r="H116" s="40">
        <f>G116*DADOS!F$5*DADOS!F$3*DADOS!C$4</f>
        <v>187.58388786384265</v>
      </c>
      <c r="I116" s="40">
        <f t="shared" si="20"/>
        <v>-8.8454962848952619</v>
      </c>
      <c r="J116" s="40">
        <f t="shared" si="21"/>
        <v>-795.8097777107962</v>
      </c>
      <c r="K116" s="40">
        <f t="shared" si="22"/>
        <v>66393.230062335351</v>
      </c>
      <c r="L116" s="39">
        <f t="shared" si="18"/>
        <v>16801.408808421053</v>
      </c>
    </row>
    <row r="117" spans="1:12">
      <c r="A117" s="44">
        <v>95</v>
      </c>
      <c r="B117" s="45">
        <f t="shared" si="15"/>
        <v>37.89473684210526</v>
      </c>
      <c r="C117" s="45">
        <f t="shared" si="16"/>
        <v>15.157894736842104</v>
      </c>
      <c r="D117" s="45">
        <v>0</v>
      </c>
      <c r="E117" s="45">
        <f t="shared" si="23"/>
        <v>125.68576000000003</v>
      </c>
      <c r="F117" s="45">
        <f t="shared" si="19"/>
        <v>178.73839157894739</v>
      </c>
      <c r="G117" s="40">
        <f t="shared" si="17"/>
        <v>9.6397739843380812</v>
      </c>
      <c r="H117" s="40">
        <f>G117*DADOS!F$5*DADOS!F$3*DADOS!C$4</f>
        <v>187.73459834498411</v>
      </c>
      <c r="I117" s="40">
        <f t="shared" si="20"/>
        <v>-8.9962067660367211</v>
      </c>
      <c r="J117" s="40">
        <f t="shared" si="21"/>
        <v>-804.80598447683292</v>
      </c>
      <c r="K117" s="40">
        <f t="shared" si="22"/>
        <v>65588.424077858523</v>
      </c>
      <c r="L117" s="39">
        <f t="shared" si="18"/>
        <v>16980.147200000003</v>
      </c>
    </row>
    <row r="118" spans="1:12">
      <c r="A118" s="44">
        <v>96</v>
      </c>
      <c r="B118" s="45">
        <f t="shared" si="15"/>
        <v>37.89473684210526</v>
      </c>
      <c r="C118" s="45">
        <f t="shared" si="16"/>
        <v>15.157894736842104</v>
      </c>
      <c r="D118" s="45">
        <v>0</v>
      </c>
      <c r="E118" s="45">
        <f t="shared" si="23"/>
        <v>125.68576000000003</v>
      </c>
      <c r="F118" s="45">
        <f t="shared" si="19"/>
        <v>178.73839157894739</v>
      </c>
      <c r="G118" s="40">
        <f t="shared" si="17"/>
        <v>9.6475126483248062</v>
      </c>
      <c r="H118" s="40">
        <f>G118*DADOS!F$5*DADOS!F$3*DADOS!C$4</f>
        <v>187.88530882612559</v>
      </c>
      <c r="I118" s="40">
        <f t="shared" si="20"/>
        <v>-9.1469172471782088</v>
      </c>
      <c r="J118" s="40">
        <f t="shared" si="21"/>
        <v>-813.9529017240111</v>
      </c>
      <c r="K118" s="40">
        <f t="shared" si="22"/>
        <v>64774.47117613451</v>
      </c>
      <c r="L118" s="39">
        <f t="shared" si="18"/>
        <v>17158.88559157895</v>
      </c>
    </row>
    <row r="119" spans="1:12">
      <c r="A119" s="44">
        <v>97</v>
      </c>
      <c r="B119" s="45">
        <f t="shared" ref="B119:B150" si="24">casco</f>
        <v>37.89473684210526</v>
      </c>
      <c r="C119" s="45">
        <f t="shared" ref="C119:C150" si="25">out</f>
        <v>15.157894736842104</v>
      </c>
      <c r="D119" s="45">
        <v>0</v>
      </c>
      <c r="E119" s="45">
        <f t="shared" si="23"/>
        <v>125.68576000000003</v>
      </c>
      <c r="F119" s="45">
        <f t="shared" si="19"/>
        <v>178.73839157894739</v>
      </c>
      <c r="G119" s="40">
        <f t="shared" ref="G119:G150" si="26">D$18+((loa/2)-A119)*TAN(F$17)</f>
        <v>9.6552513123115311</v>
      </c>
      <c r="H119" s="40">
        <f>G119*DADOS!F$5*DADOS!F$3*DADOS!C$4</f>
        <v>188.03601930726703</v>
      </c>
      <c r="I119" s="40">
        <f t="shared" si="20"/>
        <v>-9.2976277283196396</v>
      </c>
      <c r="J119" s="40">
        <f t="shared" si="21"/>
        <v>-823.25052945233074</v>
      </c>
      <c r="K119" s="40">
        <f t="shared" si="22"/>
        <v>63951.220646682181</v>
      </c>
      <c r="L119" s="39">
        <f t="shared" ref="L119:L150" si="27">F119*A119</f>
        <v>17337.623983157897</v>
      </c>
    </row>
    <row r="120" spans="1:12">
      <c r="A120" s="44">
        <v>98</v>
      </c>
      <c r="B120" s="45">
        <f t="shared" si="24"/>
        <v>37.89473684210526</v>
      </c>
      <c r="C120" s="45">
        <f t="shared" si="25"/>
        <v>15.157894736842104</v>
      </c>
      <c r="D120" s="45">
        <v>0</v>
      </c>
      <c r="E120" s="45">
        <f t="shared" si="23"/>
        <v>125.68576000000003</v>
      </c>
      <c r="F120" s="45">
        <f t="shared" si="19"/>
        <v>178.73839157894739</v>
      </c>
      <c r="G120" s="40">
        <f t="shared" si="26"/>
        <v>9.6629899762982561</v>
      </c>
      <c r="H120" s="40">
        <f>G120*DADOS!F$5*DADOS!F$3*DADOS!C$4</f>
        <v>188.18672978840851</v>
      </c>
      <c r="I120" s="40">
        <f t="shared" si="20"/>
        <v>-9.4483382094611272</v>
      </c>
      <c r="J120" s="40">
        <f t="shared" si="21"/>
        <v>-832.69886766179184</v>
      </c>
      <c r="K120" s="40">
        <f t="shared" si="22"/>
        <v>63118.52177902039</v>
      </c>
      <c r="L120" s="39">
        <f t="shared" si="27"/>
        <v>17516.362374736844</v>
      </c>
    </row>
    <row r="121" spans="1:12">
      <c r="A121" s="44">
        <v>99</v>
      </c>
      <c r="B121" s="45">
        <f t="shared" si="24"/>
        <v>37.89473684210526</v>
      </c>
      <c r="C121" s="45">
        <f t="shared" si="25"/>
        <v>15.157894736842104</v>
      </c>
      <c r="D121" s="45">
        <v>0</v>
      </c>
      <c r="E121" s="45">
        <f t="shared" si="23"/>
        <v>125.68576000000003</v>
      </c>
      <c r="F121" s="45">
        <f t="shared" si="19"/>
        <v>178.73839157894739</v>
      </c>
      <c r="G121" s="40">
        <f t="shared" si="26"/>
        <v>9.670728640284981</v>
      </c>
      <c r="H121" s="40">
        <f>G121*DADOS!F$5*DADOS!F$3*DADOS!C$4</f>
        <v>188.33744026955</v>
      </c>
      <c r="I121" s="40">
        <f t="shared" si="20"/>
        <v>-9.5990486906026149</v>
      </c>
      <c r="J121" s="40">
        <f t="shared" si="21"/>
        <v>-842.2979163523944</v>
      </c>
      <c r="K121" s="40">
        <f t="shared" si="22"/>
        <v>62276.223862667997</v>
      </c>
      <c r="L121" s="39">
        <f t="shared" si="27"/>
        <v>17695.100766315791</v>
      </c>
    </row>
    <row r="122" spans="1:12">
      <c r="A122" s="44">
        <v>100</v>
      </c>
      <c r="B122" s="45">
        <f t="shared" si="24"/>
        <v>37.89473684210526</v>
      </c>
      <c r="C122" s="45">
        <f t="shared" si="25"/>
        <v>15.157894736842104</v>
      </c>
      <c r="D122" s="45">
        <v>0</v>
      </c>
      <c r="E122" s="45">
        <f t="shared" si="23"/>
        <v>125.68576000000003</v>
      </c>
      <c r="F122" s="45">
        <f t="shared" si="19"/>
        <v>178.73839157894739</v>
      </c>
      <c r="G122" s="40">
        <f t="shared" si="26"/>
        <v>9.678467304271706</v>
      </c>
      <c r="H122" s="40">
        <f>G122*DADOS!F$5*DADOS!F$3*DADOS!C$4</f>
        <v>188.48815075069146</v>
      </c>
      <c r="I122" s="40">
        <f t="shared" si="20"/>
        <v>-9.7497591717440741</v>
      </c>
      <c r="J122" s="40">
        <f t="shared" si="21"/>
        <v>-852.04767552413841</v>
      </c>
      <c r="K122" s="40">
        <f t="shared" si="22"/>
        <v>61424.176187143858</v>
      </c>
      <c r="L122" s="39">
        <f t="shared" si="27"/>
        <v>17873.839157894738</v>
      </c>
    </row>
    <row r="123" spans="1:12">
      <c r="A123" s="44">
        <v>101</v>
      </c>
      <c r="B123" s="45">
        <f t="shared" si="24"/>
        <v>37.89473684210526</v>
      </c>
      <c r="C123" s="45">
        <f t="shared" si="25"/>
        <v>15.157894736842104</v>
      </c>
      <c r="D123" s="45">
        <v>0</v>
      </c>
      <c r="E123" s="45">
        <f t="shared" si="23"/>
        <v>125.68576000000003</v>
      </c>
      <c r="F123" s="45">
        <f t="shared" si="19"/>
        <v>178.73839157894739</v>
      </c>
      <c r="G123" s="40">
        <f t="shared" si="26"/>
        <v>9.6862059682584309</v>
      </c>
      <c r="H123" s="40">
        <f>G123*DADOS!F$5*DADOS!F$3*DADOS!C$4</f>
        <v>188.63886123183292</v>
      </c>
      <c r="I123" s="40">
        <f t="shared" si="20"/>
        <v>-9.9004696528855334</v>
      </c>
      <c r="J123" s="40">
        <f t="shared" si="21"/>
        <v>-861.94814517702389</v>
      </c>
      <c r="K123" s="40">
        <f t="shared" si="22"/>
        <v>60562.228041966831</v>
      </c>
      <c r="L123" s="39">
        <f t="shared" si="27"/>
        <v>18052.577549473684</v>
      </c>
    </row>
    <row r="124" spans="1:12">
      <c r="A124" s="44">
        <v>102</v>
      </c>
      <c r="B124" s="45">
        <f t="shared" si="24"/>
        <v>37.89473684210526</v>
      </c>
      <c r="C124" s="45">
        <f t="shared" si="25"/>
        <v>15.157894736842104</v>
      </c>
      <c r="D124" s="45">
        <v>0</v>
      </c>
      <c r="E124" s="45">
        <f t="shared" si="23"/>
        <v>125.68576000000003</v>
      </c>
      <c r="F124" s="45">
        <f t="shared" si="19"/>
        <v>178.73839157894739</v>
      </c>
      <c r="G124" s="40">
        <f t="shared" si="26"/>
        <v>9.6939446322451559</v>
      </c>
      <c r="H124" s="40">
        <f>G124*DADOS!F$5*DADOS!F$3*DADOS!C$4</f>
        <v>188.78957171297438</v>
      </c>
      <c r="I124" s="40">
        <f t="shared" si="20"/>
        <v>-10.051180134026993</v>
      </c>
      <c r="J124" s="40">
        <f t="shared" si="21"/>
        <v>-871.99932531105082</v>
      </c>
      <c r="K124" s="40">
        <f t="shared" si="22"/>
        <v>59690.22871665578</v>
      </c>
      <c r="L124" s="39">
        <f t="shared" si="27"/>
        <v>18231.315941052635</v>
      </c>
    </row>
    <row r="125" spans="1:12">
      <c r="A125" s="44">
        <v>103</v>
      </c>
      <c r="B125" s="45">
        <f t="shared" si="24"/>
        <v>37.89473684210526</v>
      </c>
      <c r="C125" s="45">
        <f t="shared" si="25"/>
        <v>15.157894736842104</v>
      </c>
      <c r="D125" s="45">
        <v>0</v>
      </c>
      <c r="E125" s="45">
        <f t="shared" si="23"/>
        <v>125.68576000000003</v>
      </c>
      <c r="F125" s="45">
        <f t="shared" si="19"/>
        <v>178.73839157894739</v>
      </c>
      <c r="G125" s="40">
        <f t="shared" si="26"/>
        <v>9.7016832962318809</v>
      </c>
      <c r="H125" s="40">
        <f>G125*DADOS!F$5*DADOS!F$3*DADOS!C$4</f>
        <v>188.94028219411587</v>
      </c>
      <c r="I125" s="40">
        <f t="shared" si="20"/>
        <v>-10.20189061516848</v>
      </c>
      <c r="J125" s="40">
        <f t="shared" si="21"/>
        <v>-882.20121592621933</v>
      </c>
      <c r="K125" s="40">
        <f t="shared" si="22"/>
        <v>58808.027500729564</v>
      </c>
      <c r="L125" s="39">
        <f t="shared" si="27"/>
        <v>18410.054332631582</v>
      </c>
    </row>
    <row r="126" spans="1:12">
      <c r="A126" s="44">
        <v>104</v>
      </c>
      <c r="B126" s="45">
        <f t="shared" si="24"/>
        <v>37.89473684210526</v>
      </c>
      <c r="C126" s="45">
        <f t="shared" si="25"/>
        <v>15.157894736842104</v>
      </c>
      <c r="D126" s="45">
        <v>0</v>
      </c>
      <c r="E126" s="45">
        <f t="shared" si="23"/>
        <v>125.68576000000003</v>
      </c>
      <c r="F126" s="45">
        <f t="shared" si="19"/>
        <v>178.73839157894739</v>
      </c>
      <c r="G126" s="40">
        <f t="shared" si="26"/>
        <v>9.7094219602186058</v>
      </c>
      <c r="H126" s="40">
        <f>G126*DADOS!F$5*DADOS!F$3*DADOS!C$4</f>
        <v>189.09099267525735</v>
      </c>
      <c r="I126" s="40">
        <f t="shared" si="20"/>
        <v>-10.352601096309968</v>
      </c>
      <c r="J126" s="40">
        <f t="shared" si="21"/>
        <v>-892.5538170225293</v>
      </c>
      <c r="K126" s="40">
        <f t="shared" si="22"/>
        <v>57915.473683707038</v>
      </c>
      <c r="L126" s="39">
        <f t="shared" si="27"/>
        <v>18588.792724210529</v>
      </c>
    </row>
    <row r="127" spans="1:12">
      <c r="A127" s="44">
        <v>105</v>
      </c>
      <c r="B127" s="45">
        <f t="shared" si="24"/>
        <v>37.89473684210526</v>
      </c>
      <c r="C127" s="45">
        <f t="shared" si="25"/>
        <v>15.157894736842104</v>
      </c>
      <c r="D127" s="45">
        <v>0</v>
      </c>
      <c r="E127" s="45">
        <f t="shared" si="23"/>
        <v>125.68576000000003</v>
      </c>
      <c r="F127" s="45">
        <f t="shared" si="19"/>
        <v>178.73839157894739</v>
      </c>
      <c r="G127" s="40">
        <f t="shared" si="26"/>
        <v>9.7171606242053308</v>
      </c>
      <c r="H127" s="40">
        <f>G127*DADOS!F$5*DADOS!F$3*DADOS!C$4</f>
        <v>189.24170315639878</v>
      </c>
      <c r="I127" s="40">
        <f t="shared" si="20"/>
        <v>-10.503311577451399</v>
      </c>
      <c r="J127" s="40">
        <f t="shared" si="21"/>
        <v>-903.05712859998073</v>
      </c>
      <c r="K127" s="40">
        <f t="shared" si="22"/>
        <v>57012.416555107055</v>
      </c>
      <c r="L127" s="39">
        <f t="shared" si="27"/>
        <v>18767.531115789476</v>
      </c>
    </row>
    <row r="128" spans="1:12">
      <c r="A128" s="44">
        <v>106</v>
      </c>
      <c r="B128" s="45">
        <f t="shared" si="24"/>
        <v>37.89473684210526</v>
      </c>
      <c r="C128" s="45">
        <f t="shared" si="25"/>
        <v>15.157894736842104</v>
      </c>
      <c r="D128" s="45">
        <v>0</v>
      </c>
      <c r="E128" s="45">
        <f t="shared" si="23"/>
        <v>125.68576000000003</v>
      </c>
      <c r="F128" s="45">
        <f t="shared" si="19"/>
        <v>178.73839157894739</v>
      </c>
      <c r="G128" s="40">
        <f t="shared" si="26"/>
        <v>9.7248992881920557</v>
      </c>
      <c r="H128" s="40">
        <f>G128*DADOS!F$5*DADOS!F$3*DADOS!C$4</f>
        <v>189.39241363754027</v>
      </c>
      <c r="I128" s="40">
        <f t="shared" si="20"/>
        <v>-10.654022058592886</v>
      </c>
      <c r="J128" s="40">
        <f t="shared" si="21"/>
        <v>-913.71115065857362</v>
      </c>
      <c r="K128" s="40">
        <f t="shared" si="22"/>
        <v>56098.705404448483</v>
      </c>
      <c r="L128" s="39">
        <f t="shared" si="27"/>
        <v>18946.269507368423</v>
      </c>
    </row>
    <row r="129" spans="1:12">
      <c r="A129" s="44">
        <v>107</v>
      </c>
      <c r="B129" s="45">
        <f t="shared" si="24"/>
        <v>37.89473684210526</v>
      </c>
      <c r="C129" s="45">
        <f t="shared" si="25"/>
        <v>15.157894736842104</v>
      </c>
      <c r="D129" s="45">
        <v>0</v>
      </c>
      <c r="E129" s="45">
        <f t="shared" si="23"/>
        <v>125.68576000000003</v>
      </c>
      <c r="F129" s="45">
        <f t="shared" si="19"/>
        <v>178.73839157894739</v>
      </c>
      <c r="G129" s="40">
        <f t="shared" si="26"/>
        <v>9.7326379521787807</v>
      </c>
      <c r="H129" s="40">
        <f>G129*DADOS!F$5*DADOS!F$3*DADOS!C$4</f>
        <v>189.54312411868173</v>
      </c>
      <c r="I129" s="40">
        <f t="shared" si="20"/>
        <v>-10.804732539734346</v>
      </c>
      <c r="J129" s="40">
        <f t="shared" si="21"/>
        <v>-924.51588319830796</v>
      </c>
      <c r="K129" s="40">
        <f t="shared" si="22"/>
        <v>55174.189521250177</v>
      </c>
      <c r="L129" s="39">
        <f t="shared" si="27"/>
        <v>19125.00789894737</v>
      </c>
    </row>
    <row r="130" spans="1:12">
      <c r="A130" s="44">
        <v>108</v>
      </c>
      <c r="B130" s="45">
        <f t="shared" si="24"/>
        <v>37.89473684210526</v>
      </c>
      <c r="C130" s="45">
        <f t="shared" si="25"/>
        <v>15.157894736842104</v>
      </c>
      <c r="D130" s="45">
        <v>0</v>
      </c>
      <c r="E130" s="45">
        <f t="shared" si="23"/>
        <v>125.68576000000003</v>
      </c>
      <c r="F130" s="45">
        <f t="shared" si="19"/>
        <v>178.73839157894739</v>
      </c>
      <c r="G130" s="40">
        <f t="shared" si="26"/>
        <v>9.7403766161655057</v>
      </c>
      <c r="H130" s="40">
        <f>G130*DADOS!F$5*DADOS!F$3*DADOS!C$4</f>
        <v>189.69383459982322</v>
      </c>
      <c r="I130" s="40">
        <f t="shared" si="20"/>
        <v>-10.955443020875833</v>
      </c>
      <c r="J130" s="40">
        <f t="shared" si="21"/>
        <v>-935.47132621918377</v>
      </c>
      <c r="K130" s="40">
        <f t="shared" si="22"/>
        <v>54238.71819503099</v>
      </c>
      <c r="L130" s="39">
        <f t="shared" si="27"/>
        <v>19303.746290526316</v>
      </c>
    </row>
    <row r="131" spans="1:12">
      <c r="A131" s="44">
        <v>109</v>
      </c>
      <c r="B131" s="45">
        <f t="shared" si="24"/>
        <v>37.89473684210526</v>
      </c>
      <c r="C131" s="45">
        <f t="shared" si="25"/>
        <v>15.157894736842104</v>
      </c>
      <c r="D131" s="45">
        <v>0</v>
      </c>
      <c r="E131" s="45">
        <f t="shared" si="23"/>
        <v>125.68576000000003</v>
      </c>
      <c r="F131" s="45">
        <f t="shared" si="19"/>
        <v>178.73839157894739</v>
      </c>
      <c r="G131" s="40">
        <f t="shared" si="26"/>
        <v>9.7481152801522306</v>
      </c>
      <c r="H131" s="40">
        <f>G131*DADOS!F$5*DADOS!F$3*DADOS!C$4</f>
        <v>189.84454508096465</v>
      </c>
      <c r="I131" s="40">
        <f t="shared" si="20"/>
        <v>-11.106153502017264</v>
      </c>
      <c r="J131" s="40">
        <f t="shared" si="21"/>
        <v>-946.57747972120103</v>
      </c>
      <c r="K131" s="40">
        <f t="shared" si="22"/>
        <v>53292.14071530979</v>
      </c>
      <c r="L131" s="39">
        <f t="shared" si="27"/>
        <v>19482.484682105263</v>
      </c>
    </row>
    <row r="132" spans="1:12">
      <c r="A132" s="44">
        <v>110</v>
      </c>
      <c r="B132" s="45">
        <f t="shared" si="24"/>
        <v>37.89473684210526</v>
      </c>
      <c r="C132" s="45">
        <f t="shared" si="25"/>
        <v>15.157894736842104</v>
      </c>
      <c r="D132" s="45">
        <v>0</v>
      </c>
      <c r="E132" s="45">
        <f t="shared" si="23"/>
        <v>125.68576000000003</v>
      </c>
      <c r="F132" s="45">
        <f t="shared" si="19"/>
        <v>178.73839157894739</v>
      </c>
      <c r="G132" s="40">
        <f t="shared" si="26"/>
        <v>9.7558539441389556</v>
      </c>
      <c r="H132" s="40">
        <f>G132*DADOS!F$5*DADOS!F$3*DADOS!C$4</f>
        <v>189.99525556210614</v>
      </c>
      <c r="I132" s="40">
        <f t="shared" si="20"/>
        <v>-11.256863983158752</v>
      </c>
      <c r="J132" s="40">
        <f t="shared" si="21"/>
        <v>-957.83434370435975</v>
      </c>
      <c r="K132" s="40">
        <f t="shared" si="22"/>
        <v>52334.306371605431</v>
      </c>
      <c r="L132" s="39">
        <f t="shared" si="27"/>
        <v>19661.223073684214</v>
      </c>
    </row>
    <row r="133" spans="1:12">
      <c r="A133" s="44">
        <v>111</v>
      </c>
      <c r="B133" s="45">
        <f t="shared" si="24"/>
        <v>37.89473684210526</v>
      </c>
      <c r="C133" s="45">
        <f t="shared" si="25"/>
        <v>15.157894736842104</v>
      </c>
      <c r="D133" s="45">
        <v>0</v>
      </c>
      <c r="E133" s="45">
        <f t="shared" si="23"/>
        <v>125.68576000000003</v>
      </c>
      <c r="F133" s="45">
        <f t="shared" si="19"/>
        <v>178.73839157894739</v>
      </c>
      <c r="G133" s="40">
        <f t="shared" si="26"/>
        <v>9.7635926081256805</v>
      </c>
      <c r="H133" s="40">
        <f>G133*DADOS!F$5*DADOS!F$3*DADOS!C$4</f>
        <v>190.14596604324763</v>
      </c>
      <c r="I133" s="40">
        <f t="shared" si="20"/>
        <v>-11.407574464300239</v>
      </c>
      <c r="J133" s="40">
        <f t="shared" si="21"/>
        <v>-969.24191816866005</v>
      </c>
      <c r="K133" s="40">
        <f t="shared" si="22"/>
        <v>51365.064453436775</v>
      </c>
      <c r="L133" s="39">
        <f t="shared" si="27"/>
        <v>19839.961465263161</v>
      </c>
    </row>
    <row r="134" spans="1:12">
      <c r="A134" s="44">
        <v>112</v>
      </c>
      <c r="B134" s="45">
        <f t="shared" si="24"/>
        <v>37.89473684210526</v>
      </c>
      <c r="C134" s="45">
        <f t="shared" si="25"/>
        <v>15.157894736842104</v>
      </c>
      <c r="D134" s="45">
        <v>0</v>
      </c>
      <c r="E134" s="45">
        <f t="shared" si="23"/>
        <v>125.68576000000003</v>
      </c>
      <c r="F134" s="45">
        <f t="shared" si="19"/>
        <v>178.73839157894739</v>
      </c>
      <c r="G134" s="40">
        <f t="shared" si="26"/>
        <v>9.7713312721124055</v>
      </c>
      <c r="H134" s="40">
        <f>G134*DADOS!F$5*DADOS!F$3*DADOS!C$4</f>
        <v>190.29667652438908</v>
      </c>
      <c r="I134" s="40">
        <f t="shared" si="20"/>
        <v>-11.558284945441699</v>
      </c>
      <c r="J134" s="40">
        <f t="shared" si="21"/>
        <v>-980.80020311410181</v>
      </c>
      <c r="K134" s="40">
        <f t="shared" si="22"/>
        <v>50384.264250322674</v>
      </c>
      <c r="L134" s="39">
        <f t="shared" si="27"/>
        <v>20018.699856842108</v>
      </c>
    </row>
    <row r="135" spans="1:12">
      <c r="A135" s="44">
        <v>113</v>
      </c>
      <c r="B135" s="45">
        <f t="shared" si="24"/>
        <v>37.89473684210526</v>
      </c>
      <c r="C135" s="45">
        <f t="shared" si="25"/>
        <v>15.157894736842104</v>
      </c>
      <c r="D135" s="45">
        <v>0</v>
      </c>
      <c r="E135" s="45">
        <f t="shared" si="23"/>
        <v>125.68576000000003</v>
      </c>
      <c r="F135" s="45">
        <f t="shared" si="19"/>
        <v>178.73839157894739</v>
      </c>
      <c r="G135" s="40">
        <f t="shared" si="26"/>
        <v>9.7790699360991304</v>
      </c>
      <c r="H135" s="40">
        <f>G135*DADOS!F$5*DADOS!F$3*DADOS!C$4</f>
        <v>190.44738700553054</v>
      </c>
      <c r="I135" s="40">
        <f t="shared" si="20"/>
        <v>-11.708995426583158</v>
      </c>
      <c r="J135" s="40">
        <f t="shared" si="21"/>
        <v>-992.50919854068502</v>
      </c>
      <c r="K135" s="40">
        <f t="shared" si="22"/>
        <v>49391.755051781991</v>
      </c>
      <c r="L135" s="39">
        <f t="shared" si="27"/>
        <v>20197.438248421055</v>
      </c>
    </row>
    <row r="136" spans="1:12">
      <c r="A136" s="44">
        <v>114</v>
      </c>
      <c r="B136" s="45">
        <f t="shared" si="24"/>
        <v>37.89473684210526</v>
      </c>
      <c r="C136" s="45">
        <f t="shared" si="25"/>
        <v>15.157894736842104</v>
      </c>
      <c r="D136" s="45">
        <v>0</v>
      </c>
      <c r="E136" s="45">
        <f t="shared" si="23"/>
        <v>125.68576000000003</v>
      </c>
      <c r="F136" s="45">
        <f t="shared" si="19"/>
        <v>178.73839157894739</v>
      </c>
      <c r="G136" s="40">
        <f t="shared" si="26"/>
        <v>9.7868086000858554</v>
      </c>
      <c r="H136" s="40">
        <f>G136*DADOS!F$5*DADOS!F$3*DADOS!C$4</f>
        <v>190.598097486672</v>
      </c>
      <c r="I136" s="40">
        <f t="shared" si="20"/>
        <v>-11.859705907724617</v>
      </c>
      <c r="J136" s="40">
        <f t="shared" si="21"/>
        <v>-1004.3689044484097</v>
      </c>
      <c r="K136" s="40">
        <f t="shared" si="22"/>
        <v>48387.386147333578</v>
      </c>
      <c r="L136" s="39">
        <f t="shared" si="27"/>
        <v>20376.176640000001</v>
      </c>
    </row>
    <row r="137" spans="1:12">
      <c r="A137" s="44">
        <v>115</v>
      </c>
      <c r="B137" s="45">
        <f t="shared" si="24"/>
        <v>37.89473684210526</v>
      </c>
      <c r="C137" s="45">
        <f t="shared" si="25"/>
        <v>15.157894736842104</v>
      </c>
      <c r="D137" s="45">
        <v>0</v>
      </c>
      <c r="E137" s="45">
        <f t="shared" si="23"/>
        <v>125.68576000000003</v>
      </c>
      <c r="F137" s="45">
        <f t="shared" si="19"/>
        <v>178.73839157894739</v>
      </c>
      <c r="G137" s="40">
        <f t="shared" si="26"/>
        <v>9.7945472640725804</v>
      </c>
      <c r="H137" s="40">
        <f>G137*DADOS!F$5*DADOS!F$3*DADOS!C$4</f>
        <v>190.74880796781349</v>
      </c>
      <c r="I137" s="40">
        <f t="shared" si="20"/>
        <v>-12.010416388866105</v>
      </c>
      <c r="J137" s="40">
        <f t="shared" si="21"/>
        <v>-1016.3793208372758</v>
      </c>
      <c r="K137" s="40">
        <f t="shared" si="22"/>
        <v>47371.006826496305</v>
      </c>
      <c r="L137" s="39">
        <f t="shared" si="27"/>
        <v>20554.915031578948</v>
      </c>
    </row>
    <row r="138" spans="1:12">
      <c r="A138" s="44">
        <v>116</v>
      </c>
      <c r="B138" s="45">
        <f t="shared" si="24"/>
        <v>37.89473684210526</v>
      </c>
      <c r="C138" s="45">
        <f t="shared" si="25"/>
        <v>15.157894736842104</v>
      </c>
      <c r="D138" s="45">
        <v>0</v>
      </c>
      <c r="E138" s="45">
        <f t="shared" si="23"/>
        <v>125.68576000000003</v>
      </c>
      <c r="F138" s="45">
        <f t="shared" si="19"/>
        <v>178.73839157894739</v>
      </c>
      <c r="G138" s="40">
        <f t="shared" si="26"/>
        <v>9.8022859280593053</v>
      </c>
      <c r="H138" s="40">
        <f>G138*DADOS!F$5*DADOS!F$3*DADOS!C$4</f>
        <v>190.89951844895495</v>
      </c>
      <c r="I138" s="40">
        <f t="shared" si="20"/>
        <v>-12.161126870007564</v>
      </c>
      <c r="J138" s="40">
        <f t="shared" si="21"/>
        <v>-1028.5404477072834</v>
      </c>
      <c r="K138" s="40">
        <f t="shared" si="22"/>
        <v>46342.466378789024</v>
      </c>
      <c r="L138" s="39">
        <f t="shared" si="27"/>
        <v>20733.653423157895</v>
      </c>
    </row>
    <row r="139" spans="1:12">
      <c r="A139" s="44">
        <v>117</v>
      </c>
      <c r="B139" s="45">
        <f t="shared" si="24"/>
        <v>37.89473684210526</v>
      </c>
      <c r="C139" s="45">
        <f t="shared" si="25"/>
        <v>15.157894736842104</v>
      </c>
      <c r="D139" s="45">
        <v>0</v>
      </c>
      <c r="E139" s="45">
        <f t="shared" si="23"/>
        <v>125.68576000000003</v>
      </c>
      <c r="F139" s="45">
        <f t="shared" si="19"/>
        <v>178.73839157894739</v>
      </c>
      <c r="G139" s="40">
        <f t="shared" si="26"/>
        <v>9.8100245920460303</v>
      </c>
      <c r="H139" s="40">
        <f>G139*DADOS!F$5*DADOS!F$3*DADOS!C$4</f>
        <v>191.05022893009641</v>
      </c>
      <c r="I139" s="40">
        <f t="shared" si="20"/>
        <v>-12.311837351149023</v>
      </c>
      <c r="J139" s="40">
        <f t="shared" si="21"/>
        <v>-1040.8522850584325</v>
      </c>
      <c r="K139" s="40">
        <f t="shared" si="22"/>
        <v>45301.61409373059</v>
      </c>
      <c r="L139" s="39">
        <f t="shared" si="27"/>
        <v>20912.391814736846</v>
      </c>
    </row>
    <row r="140" spans="1:12">
      <c r="A140" s="44">
        <v>118</v>
      </c>
      <c r="B140" s="45">
        <f t="shared" si="24"/>
        <v>37.89473684210526</v>
      </c>
      <c r="C140" s="45">
        <f t="shared" si="25"/>
        <v>15.157894736842104</v>
      </c>
      <c r="D140" s="45">
        <v>0</v>
      </c>
      <c r="E140" s="45">
        <f t="shared" si="23"/>
        <v>125.68576000000003</v>
      </c>
      <c r="F140" s="45">
        <f t="shared" si="19"/>
        <v>178.73839157894739</v>
      </c>
      <c r="G140" s="40">
        <f t="shared" si="26"/>
        <v>9.8177632560327552</v>
      </c>
      <c r="H140" s="40">
        <f>G140*DADOS!F$5*DADOS!F$3*DADOS!C$4</f>
        <v>191.2009394112379</v>
      </c>
      <c r="I140" s="40">
        <f t="shared" si="20"/>
        <v>-12.462547832290511</v>
      </c>
      <c r="J140" s="40">
        <f t="shared" si="21"/>
        <v>-1053.314832890723</v>
      </c>
      <c r="K140" s="40">
        <f t="shared" si="22"/>
        <v>44248.299260839864</v>
      </c>
      <c r="L140" s="39">
        <f t="shared" si="27"/>
        <v>21091.130206315793</v>
      </c>
    </row>
    <row r="141" spans="1:12">
      <c r="A141" s="44">
        <v>119</v>
      </c>
      <c r="B141" s="45">
        <f t="shared" si="24"/>
        <v>37.89473684210526</v>
      </c>
      <c r="C141" s="45">
        <f t="shared" si="25"/>
        <v>15.157894736842104</v>
      </c>
      <c r="D141" s="45">
        <v>0</v>
      </c>
      <c r="E141" s="45">
        <f t="shared" si="23"/>
        <v>125.68576000000003</v>
      </c>
      <c r="F141" s="45">
        <f t="shared" si="19"/>
        <v>178.73839157894739</v>
      </c>
      <c r="G141" s="40">
        <f t="shared" si="26"/>
        <v>9.8255019200194802</v>
      </c>
      <c r="H141" s="40">
        <f>G141*DADOS!F$5*DADOS!F$3*DADOS!C$4</f>
        <v>191.35164989237936</v>
      </c>
      <c r="I141" s="40">
        <f t="shared" si="20"/>
        <v>-12.61325831343197</v>
      </c>
      <c r="J141" s="40">
        <f t="shared" si="21"/>
        <v>-1065.928091204155</v>
      </c>
      <c r="K141" s="40">
        <f t="shared" si="22"/>
        <v>43182.371169635706</v>
      </c>
      <c r="L141" s="39">
        <f t="shared" si="27"/>
        <v>21269.86859789474</v>
      </c>
    </row>
    <row r="142" spans="1:12">
      <c r="A142" s="44">
        <v>120</v>
      </c>
      <c r="B142" s="45">
        <f t="shared" si="24"/>
        <v>37.89473684210526</v>
      </c>
      <c r="C142" s="45">
        <f t="shared" si="25"/>
        <v>15.157894736842104</v>
      </c>
      <c r="D142" s="45">
        <v>0</v>
      </c>
      <c r="E142" s="45">
        <f t="shared" si="23"/>
        <v>125.68576000000003</v>
      </c>
      <c r="F142" s="45">
        <f t="shared" si="19"/>
        <v>178.73839157894739</v>
      </c>
      <c r="G142" s="40">
        <f t="shared" si="26"/>
        <v>9.8332405840062052</v>
      </c>
      <c r="H142" s="40">
        <f>G142*DADOS!F$5*DADOS!F$3*DADOS!C$4</f>
        <v>191.50236037352084</v>
      </c>
      <c r="I142" s="40">
        <f t="shared" si="20"/>
        <v>-12.763968794573458</v>
      </c>
      <c r="J142" s="40">
        <f t="shared" si="21"/>
        <v>-1078.6920599987284</v>
      </c>
      <c r="K142" s="40">
        <f t="shared" si="22"/>
        <v>42103.679109636978</v>
      </c>
      <c r="L142" s="39">
        <f t="shared" si="27"/>
        <v>21448.606989473687</v>
      </c>
    </row>
    <row r="143" spans="1:12">
      <c r="A143" s="44">
        <v>121</v>
      </c>
      <c r="B143" s="45">
        <f t="shared" si="24"/>
        <v>37.89473684210526</v>
      </c>
      <c r="C143" s="45">
        <f t="shared" si="25"/>
        <v>15.157894736842104</v>
      </c>
      <c r="D143" s="45">
        <v>0</v>
      </c>
      <c r="E143" s="45">
        <f t="shared" si="23"/>
        <v>125.68576000000003</v>
      </c>
      <c r="F143" s="45">
        <f t="shared" si="19"/>
        <v>178.73839157894739</v>
      </c>
      <c r="G143" s="40">
        <f t="shared" si="26"/>
        <v>9.8409792479929301</v>
      </c>
      <c r="H143" s="40">
        <f>G143*DADOS!F$5*DADOS!F$3*DADOS!C$4</f>
        <v>191.65307085466227</v>
      </c>
      <c r="I143" s="40">
        <f t="shared" si="20"/>
        <v>-12.914679275714889</v>
      </c>
      <c r="J143" s="40">
        <f t="shared" si="21"/>
        <v>-1091.6067392744433</v>
      </c>
      <c r="K143" s="40">
        <f t="shared" si="22"/>
        <v>41012.072370362534</v>
      </c>
      <c r="L143" s="39">
        <f t="shared" si="27"/>
        <v>21627.345381052633</v>
      </c>
    </row>
    <row r="144" spans="1:12">
      <c r="A144" s="44">
        <v>122</v>
      </c>
      <c r="B144" s="45">
        <f t="shared" si="24"/>
        <v>37.89473684210526</v>
      </c>
      <c r="C144" s="45">
        <f t="shared" si="25"/>
        <v>15.157894736842104</v>
      </c>
      <c r="D144" s="45">
        <v>0</v>
      </c>
      <c r="E144" s="45">
        <f t="shared" si="23"/>
        <v>125.68576000000003</v>
      </c>
      <c r="F144" s="45">
        <f t="shared" si="19"/>
        <v>178.73839157894739</v>
      </c>
      <c r="G144" s="40">
        <f t="shared" si="26"/>
        <v>9.8487179119796551</v>
      </c>
      <c r="H144" s="40">
        <f>G144*DADOS!F$5*DADOS!F$3*DADOS!C$4</f>
        <v>191.80378133580376</v>
      </c>
      <c r="I144" s="40">
        <f t="shared" si="20"/>
        <v>-13.065389756856376</v>
      </c>
      <c r="J144" s="40">
        <f t="shared" si="21"/>
        <v>-1104.6721290312996</v>
      </c>
      <c r="K144" s="40">
        <f t="shared" si="22"/>
        <v>39907.400241331234</v>
      </c>
      <c r="L144" s="39">
        <f t="shared" si="27"/>
        <v>21806.08377263158</v>
      </c>
    </row>
    <row r="145" spans="1:12">
      <c r="A145" s="44">
        <v>123</v>
      </c>
      <c r="B145" s="45">
        <f t="shared" si="24"/>
        <v>37.89473684210526</v>
      </c>
      <c r="C145" s="45">
        <f t="shared" si="25"/>
        <v>15.157894736842104</v>
      </c>
      <c r="D145" s="45">
        <v>0</v>
      </c>
      <c r="E145" s="45">
        <f t="shared" si="23"/>
        <v>125.68576000000003</v>
      </c>
      <c r="F145" s="45">
        <f t="shared" si="19"/>
        <v>178.73839157894739</v>
      </c>
      <c r="G145" s="40">
        <f t="shared" si="26"/>
        <v>9.85645657596638</v>
      </c>
      <c r="H145" s="40">
        <f>G145*DADOS!F$5*DADOS!F$3*DADOS!C$4</f>
        <v>191.95449181694522</v>
      </c>
      <c r="I145" s="40">
        <f t="shared" si="20"/>
        <v>-13.216100237997836</v>
      </c>
      <c r="J145" s="40">
        <f t="shared" si="21"/>
        <v>-1117.8882292692974</v>
      </c>
      <c r="K145" s="40">
        <f t="shared" si="22"/>
        <v>38789.512012061939</v>
      </c>
      <c r="L145" s="39">
        <f t="shared" si="27"/>
        <v>21984.822164210527</v>
      </c>
    </row>
    <row r="146" spans="1:12">
      <c r="A146" s="44">
        <v>124</v>
      </c>
      <c r="B146" s="45">
        <f t="shared" si="24"/>
        <v>37.89473684210526</v>
      </c>
      <c r="C146" s="45">
        <f t="shared" si="25"/>
        <v>15.157894736842104</v>
      </c>
      <c r="D146" s="45">
        <v>0</v>
      </c>
      <c r="E146" s="45">
        <f t="shared" si="23"/>
        <v>125.68576000000003</v>
      </c>
      <c r="F146" s="45">
        <f t="shared" si="19"/>
        <v>178.73839157894739</v>
      </c>
      <c r="G146" s="40">
        <f t="shared" si="26"/>
        <v>9.864195239953105</v>
      </c>
      <c r="H146" s="40">
        <f>G146*DADOS!F$5*DADOS!F$3*DADOS!C$4</f>
        <v>192.10520229808671</v>
      </c>
      <c r="I146" s="40">
        <f t="shared" si="20"/>
        <v>-13.366810719139323</v>
      </c>
      <c r="J146" s="40">
        <f t="shared" si="21"/>
        <v>-1131.2550399884367</v>
      </c>
      <c r="K146" s="40">
        <f t="shared" si="22"/>
        <v>37658.256972073505</v>
      </c>
      <c r="L146" s="39">
        <f t="shared" si="27"/>
        <v>22163.560555789474</v>
      </c>
    </row>
    <row r="147" spans="1:12">
      <c r="A147" s="44">
        <v>125</v>
      </c>
      <c r="B147" s="45">
        <f t="shared" si="24"/>
        <v>37.89473684210526</v>
      </c>
      <c r="C147" s="45">
        <f t="shared" si="25"/>
        <v>15.157894736842104</v>
      </c>
      <c r="D147" s="45">
        <v>0</v>
      </c>
      <c r="E147" s="45">
        <f t="shared" ref="E147:E179" si="28">tanque4</f>
        <v>157.10720000000001</v>
      </c>
      <c r="F147" s="45">
        <f t="shared" si="19"/>
        <v>210.15983157894738</v>
      </c>
      <c r="G147" s="40">
        <f t="shared" si="26"/>
        <v>9.8719339039398299</v>
      </c>
      <c r="H147" s="40">
        <f>G147*DADOS!F$5*DADOS!F$3*DADOS!C$4</f>
        <v>192.25591277922817</v>
      </c>
      <c r="I147" s="40">
        <f t="shared" si="20"/>
        <v>17.903918799719207</v>
      </c>
      <c r="J147" s="40">
        <f t="shared" si="21"/>
        <v>-1113.3511211887176</v>
      </c>
      <c r="K147" s="40">
        <f t="shared" si="22"/>
        <v>36544.905850884788</v>
      </c>
      <c r="L147" s="39">
        <f t="shared" si="27"/>
        <v>26269.978947368421</v>
      </c>
    </row>
    <row r="148" spans="1:12">
      <c r="A148" s="44">
        <v>126</v>
      </c>
      <c r="B148" s="45">
        <f t="shared" si="24"/>
        <v>37.89473684210526</v>
      </c>
      <c r="C148" s="45">
        <f t="shared" si="25"/>
        <v>15.157894736842104</v>
      </c>
      <c r="D148" s="45">
        <v>0</v>
      </c>
      <c r="E148" s="45">
        <f t="shared" si="28"/>
        <v>157.10720000000001</v>
      </c>
      <c r="F148" s="45">
        <f t="shared" si="19"/>
        <v>210.15983157894738</v>
      </c>
      <c r="G148" s="40">
        <f t="shared" si="26"/>
        <v>9.8796725679265549</v>
      </c>
      <c r="H148" s="40">
        <f>G148*DADOS!F$5*DADOS!F$3*DADOS!C$4</f>
        <v>192.40662326036963</v>
      </c>
      <c r="I148" s="40">
        <f t="shared" si="20"/>
        <v>17.753208318577748</v>
      </c>
      <c r="J148" s="40">
        <f t="shared" si="21"/>
        <v>-1095.5979128701399</v>
      </c>
      <c r="K148" s="40">
        <f t="shared" si="22"/>
        <v>35449.307938014652</v>
      </c>
      <c r="L148" s="39">
        <f t="shared" si="27"/>
        <v>26480.13877894737</v>
      </c>
    </row>
    <row r="149" spans="1:12">
      <c r="A149" s="44">
        <v>127</v>
      </c>
      <c r="B149" s="45">
        <f t="shared" si="24"/>
        <v>37.89473684210526</v>
      </c>
      <c r="C149" s="45">
        <f t="shared" si="25"/>
        <v>15.157894736842104</v>
      </c>
      <c r="D149" s="45">
        <v>0</v>
      </c>
      <c r="E149" s="45">
        <f t="shared" si="28"/>
        <v>157.10720000000001</v>
      </c>
      <c r="F149" s="45">
        <f t="shared" si="19"/>
        <v>210.15983157894738</v>
      </c>
      <c r="G149" s="40">
        <f t="shared" si="26"/>
        <v>9.8874112319132799</v>
      </c>
      <c r="H149" s="40">
        <f>G149*DADOS!F$5*DADOS!F$3*DADOS!C$4</f>
        <v>192.55733374151112</v>
      </c>
      <c r="I149" s="40">
        <f t="shared" si="20"/>
        <v>17.60249783743626</v>
      </c>
      <c r="J149" s="40">
        <f t="shared" si="21"/>
        <v>-1077.9954150327037</v>
      </c>
      <c r="K149" s="40">
        <f t="shared" si="22"/>
        <v>34371.312522981949</v>
      </c>
      <c r="L149" s="39">
        <f t="shared" si="27"/>
        <v>26690.298610526315</v>
      </c>
    </row>
    <row r="150" spans="1:12">
      <c r="A150" s="44">
        <v>128</v>
      </c>
      <c r="B150" s="45">
        <f t="shared" si="24"/>
        <v>37.89473684210526</v>
      </c>
      <c r="C150" s="45">
        <f t="shared" si="25"/>
        <v>15.157894736842104</v>
      </c>
      <c r="D150" s="45">
        <v>0</v>
      </c>
      <c r="E150" s="45">
        <f t="shared" si="28"/>
        <v>157.10720000000001</v>
      </c>
      <c r="F150" s="45">
        <f t="shared" si="19"/>
        <v>210.15983157894738</v>
      </c>
      <c r="G150" s="40">
        <f t="shared" si="26"/>
        <v>9.8951498959000048</v>
      </c>
      <c r="H150" s="40">
        <f>G150*DADOS!F$5*DADOS!F$3*DADOS!C$4</f>
        <v>192.70804422265257</v>
      </c>
      <c r="I150" s="40">
        <f t="shared" si="20"/>
        <v>17.451787356294801</v>
      </c>
      <c r="J150" s="40">
        <f t="shared" si="21"/>
        <v>-1060.543627676409</v>
      </c>
      <c r="K150" s="40">
        <f t="shared" si="22"/>
        <v>33310.76889530554</v>
      </c>
      <c r="L150" s="39">
        <f t="shared" si="27"/>
        <v>26900.458442105264</v>
      </c>
    </row>
    <row r="151" spans="1:12">
      <c r="A151" s="44">
        <v>129</v>
      </c>
      <c r="B151" s="45">
        <f t="shared" ref="B151:B182" si="29">casco</f>
        <v>37.89473684210526</v>
      </c>
      <c r="C151" s="45">
        <f t="shared" ref="C151:C182" si="30">out</f>
        <v>15.157894736842104</v>
      </c>
      <c r="D151" s="45">
        <v>0</v>
      </c>
      <c r="E151" s="45">
        <f t="shared" si="28"/>
        <v>157.10720000000001</v>
      </c>
      <c r="F151" s="45">
        <f t="shared" si="19"/>
        <v>210.15983157894738</v>
      </c>
      <c r="G151" s="40">
        <f t="shared" ref="G151:G182" si="31">D$18+((loa/2)-A151)*TAN(F$17)</f>
        <v>9.9028885598867298</v>
      </c>
      <c r="H151" s="40">
        <f>G151*DADOS!F$5*DADOS!F$3*DADOS!C$4</f>
        <v>192.85875470379403</v>
      </c>
      <c r="I151" s="40">
        <f t="shared" si="20"/>
        <v>17.301076875153342</v>
      </c>
      <c r="J151" s="40">
        <f t="shared" si="21"/>
        <v>-1043.2425508012557</v>
      </c>
      <c r="K151" s="40">
        <f t="shared" si="22"/>
        <v>32267.526344504284</v>
      </c>
      <c r="L151" s="39">
        <f t="shared" ref="L151:L182" si="32">F151*A151</f>
        <v>27110.618273684213</v>
      </c>
    </row>
    <row r="152" spans="1:12">
      <c r="A152" s="44">
        <v>130</v>
      </c>
      <c r="B152" s="45">
        <f t="shared" si="29"/>
        <v>37.89473684210526</v>
      </c>
      <c r="C152" s="45">
        <f t="shared" si="30"/>
        <v>15.157894736842104</v>
      </c>
      <c r="D152" s="45">
        <v>0</v>
      </c>
      <c r="E152" s="45">
        <f t="shared" si="28"/>
        <v>157.10720000000001</v>
      </c>
      <c r="F152" s="45">
        <f t="shared" ref="F152:F212" si="33">B152+C152+D152+E152</f>
        <v>210.15983157894738</v>
      </c>
      <c r="G152" s="40">
        <f t="shared" si="31"/>
        <v>9.9106272238734547</v>
      </c>
      <c r="H152" s="40">
        <f>G152*DADOS!F$5*DADOS!F$3*DADOS!C$4</f>
        <v>193.00946518493549</v>
      </c>
      <c r="I152" s="40">
        <f t="shared" ref="I152:I212" si="34">F152-H152</f>
        <v>17.150366394011883</v>
      </c>
      <c r="J152" s="40">
        <f t="shared" si="21"/>
        <v>-1026.0921844072438</v>
      </c>
      <c r="K152" s="40">
        <f t="shared" si="22"/>
        <v>31241.43416009704</v>
      </c>
      <c r="L152" s="39">
        <f t="shared" si="32"/>
        <v>27320.778105263158</v>
      </c>
    </row>
    <row r="153" spans="1:12">
      <c r="A153" s="44">
        <v>131</v>
      </c>
      <c r="B153" s="45">
        <f t="shared" si="29"/>
        <v>37.89473684210526</v>
      </c>
      <c r="C153" s="45">
        <f t="shared" si="30"/>
        <v>15.157894736842104</v>
      </c>
      <c r="D153" s="45">
        <v>0</v>
      </c>
      <c r="E153" s="45">
        <f t="shared" si="28"/>
        <v>157.10720000000001</v>
      </c>
      <c r="F153" s="45">
        <f t="shared" si="33"/>
        <v>210.15983157894738</v>
      </c>
      <c r="G153" s="40">
        <f t="shared" si="31"/>
        <v>9.9183658878601797</v>
      </c>
      <c r="H153" s="40">
        <f>G153*DADOS!F$5*DADOS!F$3*DADOS!C$4</f>
        <v>193.16017566607698</v>
      </c>
      <c r="I153" s="40">
        <f t="shared" si="34"/>
        <v>16.999655912870395</v>
      </c>
      <c r="J153" s="40">
        <f t="shared" si="21"/>
        <v>-1009.0925284943735</v>
      </c>
      <c r="K153" s="40">
        <f t="shared" si="22"/>
        <v>30232.341631602667</v>
      </c>
      <c r="L153" s="39">
        <f t="shared" si="32"/>
        <v>27530.937936842107</v>
      </c>
    </row>
    <row r="154" spans="1:12">
      <c r="A154" s="44">
        <v>132</v>
      </c>
      <c r="B154" s="45">
        <f t="shared" si="29"/>
        <v>37.89473684210526</v>
      </c>
      <c r="C154" s="45">
        <f t="shared" si="30"/>
        <v>15.157894736842104</v>
      </c>
      <c r="D154" s="45">
        <v>0</v>
      </c>
      <c r="E154" s="45">
        <f t="shared" si="28"/>
        <v>157.10720000000001</v>
      </c>
      <c r="F154" s="45">
        <f t="shared" si="33"/>
        <v>210.15983157894738</v>
      </c>
      <c r="G154" s="40">
        <f t="shared" si="31"/>
        <v>9.9261045518469047</v>
      </c>
      <c r="H154" s="40">
        <f>G154*DADOS!F$5*DADOS!F$3*DADOS!C$4</f>
        <v>193.31088614721847</v>
      </c>
      <c r="I154" s="40">
        <f t="shared" si="34"/>
        <v>16.848945431728907</v>
      </c>
      <c r="J154" s="40">
        <f t="shared" ref="J154:J212" si="35">J153+I154</f>
        <v>-992.24358306264457</v>
      </c>
      <c r="K154" s="40">
        <f t="shared" ref="K154:K212" si="36">K153+J154</f>
        <v>29240.098048540021</v>
      </c>
      <c r="L154" s="39">
        <f t="shared" si="32"/>
        <v>27741.097768421052</v>
      </c>
    </row>
    <row r="155" spans="1:12">
      <c r="A155" s="44">
        <v>133</v>
      </c>
      <c r="B155" s="45">
        <f t="shared" si="29"/>
        <v>37.89473684210526</v>
      </c>
      <c r="C155" s="45">
        <f t="shared" si="30"/>
        <v>15.157894736842104</v>
      </c>
      <c r="D155" s="45">
        <v>0</v>
      </c>
      <c r="E155" s="45">
        <f t="shared" si="28"/>
        <v>157.10720000000001</v>
      </c>
      <c r="F155" s="45">
        <f t="shared" si="33"/>
        <v>210.15983157894738</v>
      </c>
      <c r="G155" s="40">
        <f t="shared" si="31"/>
        <v>9.9338432158336296</v>
      </c>
      <c r="H155" s="40">
        <f>G155*DADOS!F$5*DADOS!F$3*DADOS!C$4</f>
        <v>193.4615966283599</v>
      </c>
      <c r="I155" s="40">
        <f t="shared" si="34"/>
        <v>16.698234950587477</v>
      </c>
      <c r="J155" s="40">
        <f t="shared" si="35"/>
        <v>-975.54534811205713</v>
      </c>
      <c r="K155" s="40">
        <f t="shared" si="36"/>
        <v>28264.552700427965</v>
      </c>
      <c r="L155" s="39">
        <f t="shared" si="32"/>
        <v>27951.257600000001</v>
      </c>
    </row>
    <row r="156" spans="1:12">
      <c r="A156" s="44">
        <v>134</v>
      </c>
      <c r="B156" s="45">
        <f t="shared" si="29"/>
        <v>37.89473684210526</v>
      </c>
      <c r="C156" s="45">
        <f t="shared" si="30"/>
        <v>15.157894736842104</v>
      </c>
      <c r="D156" s="45">
        <v>0</v>
      </c>
      <c r="E156" s="45">
        <f t="shared" si="28"/>
        <v>157.10720000000001</v>
      </c>
      <c r="F156" s="45">
        <f t="shared" si="33"/>
        <v>210.15983157894738</v>
      </c>
      <c r="G156" s="40">
        <f t="shared" si="31"/>
        <v>9.9415818798203546</v>
      </c>
      <c r="H156" s="40">
        <f>G156*DADOS!F$5*DADOS!F$3*DADOS!C$4</f>
        <v>193.61230710950139</v>
      </c>
      <c r="I156" s="40">
        <f t="shared" si="34"/>
        <v>16.547524469445989</v>
      </c>
      <c r="J156" s="40">
        <f t="shared" si="35"/>
        <v>-958.99782364261114</v>
      </c>
      <c r="K156" s="40">
        <f t="shared" si="36"/>
        <v>27305.554876785354</v>
      </c>
      <c r="L156" s="39">
        <f t="shared" si="32"/>
        <v>28161.41743157895</v>
      </c>
    </row>
    <row r="157" spans="1:12">
      <c r="A157" s="44">
        <v>135</v>
      </c>
      <c r="B157" s="45">
        <f t="shared" si="29"/>
        <v>37.89473684210526</v>
      </c>
      <c r="C157" s="45">
        <f t="shared" si="30"/>
        <v>15.157894736842104</v>
      </c>
      <c r="D157" s="45">
        <v>0</v>
      </c>
      <c r="E157" s="45">
        <f t="shared" si="28"/>
        <v>157.10720000000001</v>
      </c>
      <c r="F157" s="45">
        <f t="shared" si="33"/>
        <v>210.15983157894738</v>
      </c>
      <c r="G157" s="40">
        <f t="shared" si="31"/>
        <v>9.9493205438070795</v>
      </c>
      <c r="H157" s="40">
        <f>G157*DADOS!F$5*DADOS!F$3*DADOS!C$4</f>
        <v>193.76301759064285</v>
      </c>
      <c r="I157" s="40">
        <f t="shared" si="34"/>
        <v>16.39681398830453</v>
      </c>
      <c r="J157" s="40">
        <f t="shared" si="35"/>
        <v>-942.60100965430661</v>
      </c>
      <c r="K157" s="40">
        <f t="shared" si="36"/>
        <v>26362.953867131047</v>
      </c>
      <c r="L157" s="39">
        <f t="shared" si="32"/>
        <v>28371.577263157895</v>
      </c>
    </row>
    <row r="158" spans="1:12">
      <c r="A158" s="44">
        <v>136</v>
      </c>
      <c r="B158" s="45">
        <f t="shared" si="29"/>
        <v>37.89473684210526</v>
      </c>
      <c r="C158" s="45">
        <f t="shared" si="30"/>
        <v>15.157894736842104</v>
      </c>
      <c r="D158" s="45">
        <v>0</v>
      </c>
      <c r="E158" s="45">
        <f t="shared" si="28"/>
        <v>157.10720000000001</v>
      </c>
      <c r="F158" s="45">
        <f t="shared" si="33"/>
        <v>210.15983157894738</v>
      </c>
      <c r="G158" s="40">
        <f t="shared" si="31"/>
        <v>9.9570592077938045</v>
      </c>
      <c r="H158" s="40">
        <f>G158*DADOS!F$5*DADOS!F$3*DADOS!C$4</f>
        <v>193.91372807178433</v>
      </c>
      <c r="I158" s="40">
        <f t="shared" si="34"/>
        <v>16.246103507163042</v>
      </c>
      <c r="J158" s="40">
        <f t="shared" si="35"/>
        <v>-926.35490614714354</v>
      </c>
      <c r="K158" s="40">
        <f t="shared" si="36"/>
        <v>25436.598960983905</v>
      </c>
      <c r="L158" s="39">
        <f t="shared" si="32"/>
        <v>28581.737094736844</v>
      </c>
    </row>
    <row r="159" spans="1:12">
      <c r="A159" s="44">
        <v>137</v>
      </c>
      <c r="B159" s="45">
        <f t="shared" si="29"/>
        <v>37.89473684210526</v>
      </c>
      <c r="C159" s="45">
        <f t="shared" si="30"/>
        <v>15.157894736842104</v>
      </c>
      <c r="D159" s="45">
        <v>0</v>
      </c>
      <c r="E159" s="45">
        <f t="shared" si="28"/>
        <v>157.10720000000001</v>
      </c>
      <c r="F159" s="45">
        <f t="shared" si="33"/>
        <v>210.15983157894738</v>
      </c>
      <c r="G159" s="40">
        <f t="shared" si="31"/>
        <v>9.9647978717805294</v>
      </c>
      <c r="H159" s="40">
        <f>G159*DADOS!F$5*DADOS!F$3*DADOS!C$4</f>
        <v>194.06443855292576</v>
      </c>
      <c r="I159" s="40">
        <f t="shared" si="34"/>
        <v>16.095393026021611</v>
      </c>
      <c r="J159" s="40">
        <f t="shared" si="35"/>
        <v>-910.25951312112193</v>
      </c>
      <c r="K159" s="40">
        <f t="shared" si="36"/>
        <v>24526.339447862782</v>
      </c>
      <c r="L159" s="39">
        <f t="shared" si="32"/>
        <v>28791.896926315789</v>
      </c>
    </row>
    <row r="160" spans="1:12">
      <c r="A160" s="44">
        <v>138</v>
      </c>
      <c r="B160" s="45">
        <f t="shared" si="29"/>
        <v>37.89473684210526</v>
      </c>
      <c r="C160" s="45">
        <f t="shared" si="30"/>
        <v>15.157894736842104</v>
      </c>
      <c r="D160" s="45">
        <v>0</v>
      </c>
      <c r="E160" s="45">
        <f t="shared" si="28"/>
        <v>157.10720000000001</v>
      </c>
      <c r="F160" s="45">
        <f t="shared" si="33"/>
        <v>210.15983157894738</v>
      </c>
      <c r="G160" s="40">
        <f t="shared" si="31"/>
        <v>9.9725365357672544</v>
      </c>
      <c r="H160" s="40">
        <f>G160*DADOS!F$5*DADOS!F$3*DADOS!C$4</f>
        <v>194.21514903406725</v>
      </c>
      <c r="I160" s="40">
        <f t="shared" si="34"/>
        <v>15.944682544880123</v>
      </c>
      <c r="J160" s="40">
        <f t="shared" si="35"/>
        <v>-894.31483057624177</v>
      </c>
      <c r="K160" s="40">
        <f t="shared" si="36"/>
        <v>23632.024617286541</v>
      </c>
      <c r="L160" s="39">
        <f t="shared" si="32"/>
        <v>29002.056757894738</v>
      </c>
    </row>
    <row r="161" spans="1:12">
      <c r="A161" s="44">
        <v>139</v>
      </c>
      <c r="B161" s="45">
        <f t="shared" si="29"/>
        <v>37.89473684210526</v>
      </c>
      <c r="C161" s="45">
        <f t="shared" si="30"/>
        <v>15.157894736842104</v>
      </c>
      <c r="D161" s="45">
        <v>0</v>
      </c>
      <c r="E161" s="45">
        <f t="shared" si="28"/>
        <v>157.10720000000001</v>
      </c>
      <c r="F161" s="45">
        <f t="shared" si="33"/>
        <v>210.15983157894738</v>
      </c>
      <c r="G161" s="40">
        <f t="shared" si="31"/>
        <v>9.9802751997539794</v>
      </c>
      <c r="H161" s="40">
        <f>G161*DADOS!F$5*DADOS!F$3*DADOS!C$4</f>
        <v>194.36585951520874</v>
      </c>
      <c r="I161" s="40">
        <f t="shared" si="34"/>
        <v>15.793972063738636</v>
      </c>
      <c r="J161" s="40">
        <f t="shared" si="35"/>
        <v>-878.52085851250308</v>
      </c>
      <c r="K161" s="40">
        <f t="shared" si="36"/>
        <v>22753.503758774037</v>
      </c>
      <c r="L161" s="39">
        <f t="shared" si="32"/>
        <v>29212.216589473686</v>
      </c>
    </row>
    <row r="162" spans="1:12">
      <c r="A162" s="44">
        <v>140</v>
      </c>
      <c r="B162" s="45">
        <f t="shared" si="29"/>
        <v>37.89473684210526</v>
      </c>
      <c r="C162" s="45">
        <f t="shared" si="30"/>
        <v>15.157894736842104</v>
      </c>
      <c r="D162" s="45">
        <v>0</v>
      </c>
      <c r="E162" s="45">
        <f t="shared" si="28"/>
        <v>157.10720000000001</v>
      </c>
      <c r="F162" s="45">
        <f t="shared" si="33"/>
        <v>210.15983157894738</v>
      </c>
      <c r="G162" s="40">
        <f t="shared" si="31"/>
        <v>9.9880138637407043</v>
      </c>
      <c r="H162" s="40">
        <f>G162*DADOS!F$5*DADOS!F$3*DADOS!C$4</f>
        <v>194.5165699963502</v>
      </c>
      <c r="I162" s="40">
        <f t="shared" si="34"/>
        <v>15.643261582597177</v>
      </c>
      <c r="J162" s="40">
        <f t="shared" si="35"/>
        <v>-862.87759692990585</v>
      </c>
      <c r="K162" s="40">
        <f t="shared" si="36"/>
        <v>21890.626161844131</v>
      </c>
      <c r="L162" s="39">
        <f t="shared" si="32"/>
        <v>29422.376421052631</v>
      </c>
    </row>
    <row r="163" spans="1:12">
      <c r="A163" s="44">
        <v>141</v>
      </c>
      <c r="B163" s="45">
        <f t="shared" si="29"/>
        <v>37.89473684210526</v>
      </c>
      <c r="C163" s="45">
        <f t="shared" si="30"/>
        <v>15.157894736842104</v>
      </c>
      <c r="D163" s="45">
        <v>0</v>
      </c>
      <c r="E163" s="45">
        <f t="shared" si="28"/>
        <v>157.10720000000001</v>
      </c>
      <c r="F163" s="45">
        <f t="shared" si="33"/>
        <v>210.15983157894738</v>
      </c>
      <c r="G163" s="40">
        <f t="shared" si="31"/>
        <v>9.9957525277274293</v>
      </c>
      <c r="H163" s="40">
        <f>G163*DADOS!F$5*DADOS!F$3*DADOS!C$4</f>
        <v>194.66728047749166</v>
      </c>
      <c r="I163" s="40">
        <f t="shared" si="34"/>
        <v>15.492551101455717</v>
      </c>
      <c r="J163" s="40">
        <f t="shared" si="35"/>
        <v>-847.38504582845007</v>
      </c>
      <c r="K163" s="40">
        <f t="shared" si="36"/>
        <v>21043.241116015681</v>
      </c>
      <c r="L163" s="39">
        <f t="shared" si="32"/>
        <v>29632.53625263158</v>
      </c>
    </row>
    <row r="164" spans="1:12">
      <c r="A164" s="44">
        <v>142</v>
      </c>
      <c r="B164" s="45">
        <f t="shared" si="29"/>
        <v>37.89473684210526</v>
      </c>
      <c r="C164" s="45">
        <f t="shared" si="30"/>
        <v>15.157894736842104</v>
      </c>
      <c r="D164" s="45">
        <v>0</v>
      </c>
      <c r="E164" s="45">
        <f t="shared" si="28"/>
        <v>157.10720000000001</v>
      </c>
      <c r="F164" s="45">
        <f t="shared" si="33"/>
        <v>210.15983157894738</v>
      </c>
      <c r="G164" s="40">
        <f t="shared" si="31"/>
        <v>10.003491191714154</v>
      </c>
      <c r="H164" s="40">
        <f>G164*DADOS!F$5*DADOS!F$3*DADOS!C$4</f>
        <v>194.81799095863312</v>
      </c>
      <c r="I164" s="40">
        <f t="shared" si="34"/>
        <v>15.341840620314258</v>
      </c>
      <c r="J164" s="40">
        <f t="shared" si="35"/>
        <v>-832.04320520813576</v>
      </c>
      <c r="K164" s="40">
        <f t="shared" si="36"/>
        <v>20211.197910807547</v>
      </c>
      <c r="L164" s="39">
        <f t="shared" si="32"/>
        <v>29842.696084210529</v>
      </c>
    </row>
    <row r="165" spans="1:12">
      <c r="A165" s="44">
        <v>143</v>
      </c>
      <c r="B165" s="45">
        <f t="shared" si="29"/>
        <v>37.89473684210526</v>
      </c>
      <c r="C165" s="45">
        <f t="shared" si="30"/>
        <v>15.157894736842104</v>
      </c>
      <c r="D165" s="45">
        <v>0</v>
      </c>
      <c r="E165" s="45">
        <f t="shared" si="28"/>
        <v>157.10720000000001</v>
      </c>
      <c r="F165" s="45">
        <f t="shared" si="33"/>
        <v>210.15983157894738</v>
      </c>
      <c r="G165" s="40">
        <f t="shared" si="31"/>
        <v>10.011229855700879</v>
      </c>
      <c r="H165" s="40">
        <f>G165*DADOS!F$5*DADOS!F$3*DADOS!C$4</f>
        <v>194.96870143977461</v>
      </c>
      <c r="I165" s="40">
        <f t="shared" si="34"/>
        <v>15.19113013917277</v>
      </c>
      <c r="J165" s="40">
        <f t="shared" si="35"/>
        <v>-816.85207506896302</v>
      </c>
      <c r="K165" s="40">
        <f t="shared" si="36"/>
        <v>19394.345835738583</v>
      </c>
      <c r="L165" s="39">
        <f t="shared" si="32"/>
        <v>30052.855915789474</v>
      </c>
    </row>
    <row r="166" spans="1:12">
      <c r="A166" s="44">
        <v>144</v>
      </c>
      <c r="B166" s="45">
        <f t="shared" si="29"/>
        <v>37.89473684210526</v>
      </c>
      <c r="C166" s="45">
        <f t="shared" si="30"/>
        <v>15.157894736842104</v>
      </c>
      <c r="D166" s="45">
        <v>0</v>
      </c>
      <c r="E166" s="45">
        <f t="shared" si="28"/>
        <v>157.10720000000001</v>
      </c>
      <c r="F166" s="45">
        <f t="shared" si="33"/>
        <v>210.15983157894738</v>
      </c>
      <c r="G166" s="40">
        <f t="shared" si="31"/>
        <v>10.018968519687604</v>
      </c>
      <c r="H166" s="40">
        <f>G166*DADOS!F$5*DADOS!F$3*DADOS!C$4</f>
        <v>195.11941192091609</v>
      </c>
      <c r="I166" s="40">
        <f t="shared" si="34"/>
        <v>15.040419658031283</v>
      </c>
      <c r="J166" s="40">
        <f t="shared" si="35"/>
        <v>-801.81165541093173</v>
      </c>
      <c r="K166" s="40">
        <f t="shared" si="36"/>
        <v>18592.53418032765</v>
      </c>
      <c r="L166" s="39">
        <f t="shared" si="32"/>
        <v>30263.015747368423</v>
      </c>
    </row>
    <row r="167" spans="1:12">
      <c r="A167" s="44">
        <v>145</v>
      </c>
      <c r="B167" s="45">
        <f t="shared" si="29"/>
        <v>37.89473684210526</v>
      </c>
      <c r="C167" s="45">
        <f t="shared" si="30"/>
        <v>15.157894736842104</v>
      </c>
      <c r="D167" s="45">
        <v>0</v>
      </c>
      <c r="E167" s="45">
        <f t="shared" si="28"/>
        <v>157.10720000000001</v>
      </c>
      <c r="F167" s="45">
        <f t="shared" si="33"/>
        <v>210.15983157894738</v>
      </c>
      <c r="G167" s="40">
        <f t="shared" si="31"/>
        <v>10.026707183674329</v>
      </c>
      <c r="H167" s="40">
        <f>G167*DADOS!F$5*DADOS!F$3*DADOS!C$4</f>
        <v>195.27012240205752</v>
      </c>
      <c r="I167" s="40">
        <f t="shared" si="34"/>
        <v>14.889709176889852</v>
      </c>
      <c r="J167" s="40">
        <f t="shared" si="35"/>
        <v>-786.92194623404191</v>
      </c>
      <c r="K167" s="40">
        <f t="shared" si="36"/>
        <v>17805.612234093609</v>
      </c>
      <c r="L167" s="39">
        <f t="shared" si="32"/>
        <v>30473.175578947368</v>
      </c>
    </row>
    <row r="168" spans="1:12">
      <c r="A168" s="44">
        <v>146</v>
      </c>
      <c r="B168" s="45">
        <f t="shared" si="29"/>
        <v>37.89473684210526</v>
      </c>
      <c r="C168" s="45">
        <f t="shared" si="30"/>
        <v>15.157894736842104</v>
      </c>
      <c r="D168" s="45">
        <v>0</v>
      </c>
      <c r="E168" s="45">
        <f t="shared" si="28"/>
        <v>157.10720000000001</v>
      </c>
      <c r="F168" s="45">
        <f t="shared" si="33"/>
        <v>210.15983157894738</v>
      </c>
      <c r="G168" s="40">
        <f t="shared" si="31"/>
        <v>10.034445847661054</v>
      </c>
      <c r="H168" s="40">
        <f>G168*DADOS!F$5*DADOS!F$3*DADOS!C$4</f>
        <v>195.42083288319901</v>
      </c>
      <c r="I168" s="40">
        <f t="shared" si="34"/>
        <v>14.738998695748364</v>
      </c>
      <c r="J168" s="40">
        <f t="shared" si="35"/>
        <v>-772.18294753829355</v>
      </c>
      <c r="K168" s="40">
        <f t="shared" si="36"/>
        <v>17033.429286555314</v>
      </c>
      <c r="L168" s="39">
        <f t="shared" si="32"/>
        <v>30683.335410526317</v>
      </c>
    </row>
    <row r="169" spans="1:12">
      <c r="A169" s="44">
        <v>147</v>
      </c>
      <c r="B169" s="45">
        <f t="shared" si="29"/>
        <v>37.89473684210526</v>
      </c>
      <c r="C169" s="45">
        <f t="shared" si="30"/>
        <v>15.157894736842104</v>
      </c>
      <c r="D169" s="45">
        <v>0</v>
      </c>
      <c r="E169" s="45">
        <f t="shared" si="28"/>
        <v>157.10720000000001</v>
      </c>
      <c r="F169" s="45">
        <f t="shared" si="33"/>
        <v>210.15983157894738</v>
      </c>
      <c r="G169" s="40">
        <f t="shared" si="31"/>
        <v>10.042184511647779</v>
      </c>
      <c r="H169" s="40">
        <f>G169*DADOS!F$5*DADOS!F$3*DADOS!C$4</f>
        <v>195.57154336434047</v>
      </c>
      <c r="I169" s="40">
        <f t="shared" si="34"/>
        <v>14.588288214606905</v>
      </c>
      <c r="J169" s="40">
        <f t="shared" si="35"/>
        <v>-757.59465932368664</v>
      </c>
      <c r="K169" s="40">
        <f t="shared" si="36"/>
        <v>16275.834627231628</v>
      </c>
      <c r="L169" s="39">
        <f t="shared" si="32"/>
        <v>30893.495242105266</v>
      </c>
    </row>
    <row r="170" spans="1:12">
      <c r="A170" s="44">
        <v>148</v>
      </c>
      <c r="B170" s="45">
        <f t="shared" si="29"/>
        <v>37.89473684210526</v>
      </c>
      <c r="C170" s="45">
        <f t="shared" si="30"/>
        <v>15.157894736842104</v>
      </c>
      <c r="D170" s="45">
        <v>0</v>
      </c>
      <c r="E170" s="45">
        <f t="shared" si="28"/>
        <v>157.10720000000001</v>
      </c>
      <c r="F170" s="45">
        <f t="shared" si="33"/>
        <v>210.15983157894738</v>
      </c>
      <c r="G170" s="40">
        <f t="shared" si="31"/>
        <v>10.049923175634504</v>
      </c>
      <c r="H170" s="40">
        <f>G170*DADOS!F$5*DADOS!F$3*DADOS!C$4</f>
        <v>195.72225384548196</v>
      </c>
      <c r="I170" s="40">
        <f t="shared" si="34"/>
        <v>14.437577733465417</v>
      </c>
      <c r="J170" s="40">
        <f t="shared" si="35"/>
        <v>-743.1570815902212</v>
      </c>
      <c r="K170" s="40">
        <f t="shared" si="36"/>
        <v>15532.677545641407</v>
      </c>
      <c r="L170" s="39">
        <f t="shared" si="32"/>
        <v>31103.655073684211</v>
      </c>
    </row>
    <row r="171" spans="1:12">
      <c r="A171" s="44">
        <v>149</v>
      </c>
      <c r="B171" s="45">
        <f t="shared" si="29"/>
        <v>37.89473684210526</v>
      </c>
      <c r="C171" s="45">
        <f t="shared" si="30"/>
        <v>15.157894736842104</v>
      </c>
      <c r="D171" s="45">
        <v>0</v>
      </c>
      <c r="E171" s="45">
        <f t="shared" si="28"/>
        <v>157.10720000000001</v>
      </c>
      <c r="F171" s="45">
        <f t="shared" si="33"/>
        <v>210.15983157894738</v>
      </c>
      <c r="G171" s="40">
        <f t="shared" si="31"/>
        <v>10.057661839621229</v>
      </c>
      <c r="H171" s="40">
        <f>G171*DADOS!F$5*DADOS!F$3*DADOS!C$4</f>
        <v>195.87296432662339</v>
      </c>
      <c r="I171" s="40">
        <f t="shared" si="34"/>
        <v>14.286867252323987</v>
      </c>
      <c r="J171" s="40">
        <f t="shared" si="35"/>
        <v>-728.87021433789721</v>
      </c>
      <c r="K171" s="40">
        <f t="shared" si="36"/>
        <v>14803.807331303509</v>
      </c>
      <c r="L171" s="39">
        <f t="shared" si="32"/>
        <v>31313.81490526316</v>
      </c>
    </row>
    <row r="172" spans="1:12">
      <c r="A172" s="44">
        <v>150</v>
      </c>
      <c r="B172" s="45">
        <f t="shared" si="29"/>
        <v>37.89473684210526</v>
      </c>
      <c r="C172" s="45">
        <f t="shared" si="30"/>
        <v>15.157894736842104</v>
      </c>
      <c r="D172" s="45">
        <v>0</v>
      </c>
      <c r="E172" s="45">
        <f t="shared" si="28"/>
        <v>157.10720000000001</v>
      </c>
      <c r="F172" s="45">
        <f t="shared" si="33"/>
        <v>210.15983157894738</v>
      </c>
      <c r="G172" s="40">
        <f t="shared" si="31"/>
        <v>10.065400503607954</v>
      </c>
      <c r="H172" s="40">
        <f>G172*DADOS!F$5*DADOS!F$3*DADOS!C$4</f>
        <v>196.02367480776488</v>
      </c>
      <c r="I172" s="40">
        <f t="shared" si="34"/>
        <v>14.136156771182499</v>
      </c>
      <c r="J172" s="40">
        <f t="shared" si="35"/>
        <v>-714.73405756671468</v>
      </c>
      <c r="K172" s="40">
        <f t="shared" si="36"/>
        <v>14089.073273736794</v>
      </c>
      <c r="L172" s="39">
        <f t="shared" si="32"/>
        <v>31523.974736842105</v>
      </c>
    </row>
    <row r="173" spans="1:12">
      <c r="A173" s="44">
        <v>151</v>
      </c>
      <c r="B173" s="45">
        <f t="shared" si="29"/>
        <v>37.89473684210526</v>
      </c>
      <c r="C173" s="45">
        <f t="shared" si="30"/>
        <v>15.157894736842104</v>
      </c>
      <c r="D173" s="45">
        <v>0</v>
      </c>
      <c r="E173" s="45">
        <f t="shared" si="28"/>
        <v>157.10720000000001</v>
      </c>
      <c r="F173" s="45">
        <f t="shared" si="33"/>
        <v>210.15983157894738</v>
      </c>
      <c r="G173" s="40">
        <f t="shared" si="31"/>
        <v>10.073139167594679</v>
      </c>
      <c r="H173" s="40">
        <f>G173*DADOS!F$5*DADOS!F$3*DADOS!C$4</f>
        <v>196.17438528890636</v>
      </c>
      <c r="I173" s="40">
        <f t="shared" si="34"/>
        <v>13.985446290041011</v>
      </c>
      <c r="J173" s="40">
        <f t="shared" si="35"/>
        <v>-700.74861127667373</v>
      </c>
      <c r="K173" s="40">
        <f t="shared" si="36"/>
        <v>13388.32466246012</v>
      </c>
      <c r="L173" s="39">
        <f t="shared" si="32"/>
        <v>31734.134568421054</v>
      </c>
    </row>
    <row r="174" spans="1:12">
      <c r="A174" s="44">
        <v>152</v>
      </c>
      <c r="B174" s="45">
        <f t="shared" si="29"/>
        <v>37.89473684210526</v>
      </c>
      <c r="C174" s="45">
        <f t="shared" si="30"/>
        <v>15.157894736842104</v>
      </c>
      <c r="D174" s="45">
        <v>0</v>
      </c>
      <c r="E174" s="45">
        <f t="shared" si="28"/>
        <v>157.10720000000001</v>
      </c>
      <c r="F174" s="45">
        <f t="shared" si="33"/>
        <v>210.15983157894738</v>
      </c>
      <c r="G174" s="40">
        <f t="shared" si="31"/>
        <v>10.080877831581404</v>
      </c>
      <c r="H174" s="40">
        <f>G174*DADOS!F$5*DADOS!F$3*DADOS!C$4</f>
        <v>196.32509577004782</v>
      </c>
      <c r="I174" s="40">
        <f t="shared" si="34"/>
        <v>13.834735808899552</v>
      </c>
      <c r="J174" s="40">
        <f t="shared" si="35"/>
        <v>-686.91387546777423</v>
      </c>
      <c r="K174" s="40">
        <f t="shared" si="36"/>
        <v>12701.410786992346</v>
      </c>
      <c r="L174" s="39">
        <f t="shared" si="32"/>
        <v>31944.294400000002</v>
      </c>
    </row>
    <row r="175" spans="1:12">
      <c r="A175" s="44">
        <v>153</v>
      </c>
      <c r="B175" s="45">
        <f t="shared" si="29"/>
        <v>37.89473684210526</v>
      </c>
      <c r="C175" s="45">
        <f t="shared" si="30"/>
        <v>15.157894736842104</v>
      </c>
      <c r="D175" s="45">
        <v>0</v>
      </c>
      <c r="E175" s="45">
        <f t="shared" si="28"/>
        <v>157.10720000000001</v>
      </c>
      <c r="F175" s="45">
        <f t="shared" si="33"/>
        <v>210.15983157894738</v>
      </c>
      <c r="G175" s="40">
        <f t="shared" si="31"/>
        <v>10.088616495568129</v>
      </c>
      <c r="H175" s="40">
        <f>G175*DADOS!F$5*DADOS!F$3*DADOS!C$4</f>
        <v>196.47580625118928</v>
      </c>
      <c r="I175" s="40">
        <f t="shared" si="34"/>
        <v>13.684025327758093</v>
      </c>
      <c r="J175" s="40">
        <f t="shared" si="35"/>
        <v>-673.2298501400162</v>
      </c>
      <c r="K175" s="40">
        <f t="shared" si="36"/>
        <v>12028.18093685233</v>
      </c>
      <c r="L175" s="39">
        <f t="shared" si="32"/>
        <v>32154.454231578948</v>
      </c>
    </row>
    <row r="176" spans="1:12">
      <c r="A176" s="44">
        <v>154</v>
      </c>
      <c r="B176" s="45">
        <f t="shared" si="29"/>
        <v>37.89473684210526</v>
      </c>
      <c r="C176" s="45">
        <f t="shared" si="30"/>
        <v>15.157894736842104</v>
      </c>
      <c r="D176" s="45">
        <v>0</v>
      </c>
      <c r="E176" s="45">
        <f t="shared" si="28"/>
        <v>157.10720000000001</v>
      </c>
      <c r="F176" s="45">
        <f t="shared" si="33"/>
        <v>210.15983157894738</v>
      </c>
      <c r="G176" s="40">
        <f t="shared" si="31"/>
        <v>10.096355159554854</v>
      </c>
      <c r="H176" s="40">
        <f>G176*DADOS!F$5*DADOS!F$3*DADOS!C$4</f>
        <v>196.62651673233074</v>
      </c>
      <c r="I176" s="40">
        <f t="shared" si="34"/>
        <v>13.533314846616634</v>
      </c>
      <c r="J176" s="40">
        <f t="shared" si="35"/>
        <v>-659.69653529339962</v>
      </c>
      <c r="K176" s="40">
        <f t="shared" si="36"/>
        <v>11368.48440155893</v>
      </c>
      <c r="L176" s="39">
        <f t="shared" si="32"/>
        <v>32364.614063157896</v>
      </c>
    </row>
    <row r="177" spans="1:12">
      <c r="A177" s="44">
        <v>155</v>
      </c>
      <c r="B177" s="45">
        <f t="shared" si="29"/>
        <v>37.89473684210526</v>
      </c>
      <c r="C177" s="45">
        <f t="shared" si="30"/>
        <v>15.157894736842104</v>
      </c>
      <c r="D177" s="45">
        <v>0</v>
      </c>
      <c r="E177" s="45">
        <f t="shared" si="28"/>
        <v>157.10720000000001</v>
      </c>
      <c r="F177" s="45">
        <f t="shared" si="33"/>
        <v>210.15983157894738</v>
      </c>
      <c r="G177" s="40">
        <f t="shared" si="31"/>
        <v>10.104093823541579</v>
      </c>
      <c r="H177" s="40">
        <f>G177*DADOS!F$5*DADOS!F$3*DADOS!C$4</f>
        <v>196.77722721347223</v>
      </c>
      <c r="I177" s="40">
        <f t="shared" si="34"/>
        <v>13.382604365475146</v>
      </c>
      <c r="J177" s="40">
        <f t="shared" si="35"/>
        <v>-646.3139309279245</v>
      </c>
      <c r="K177" s="40">
        <f t="shared" si="36"/>
        <v>10722.170470631005</v>
      </c>
      <c r="L177" s="39">
        <f t="shared" si="32"/>
        <v>32574.773894736842</v>
      </c>
    </row>
    <row r="178" spans="1:12">
      <c r="A178" s="44">
        <v>156</v>
      </c>
      <c r="B178" s="45">
        <f t="shared" si="29"/>
        <v>37.89473684210526</v>
      </c>
      <c r="C178" s="45">
        <f t="shared" si="30"/>
        <v>15.157894736842104</v>
      </c>
      <c r="D178" s="45">
        <v>0</v>
      </c>
      <c r="E178" s="45">
        <f t="shared" si="28"/>
        <v>157.10720000000001</v>
      </c>
      <c r="F178" s="45">
        <f t="shared" si="33"/>
        <v>210.15983157894738</v>
      </c>
      <c r="G178" s="40">
        <f t="shared" si="31"/>
        <v>10.111832487528304</v>
      </c>
      <c r="H178" s="40">
        <f>G178*DADOS!F$5*DADOS!F$3*DADOS!C$4</f>
        <v>196.92793769461372</v>
      </c>
      <c r="I178" s="40">
        <f t="shared" si="34"/>
        <v>13.231893884333658</v>
      </c>
      <c r="J178" s="40">
        <f t="shared" si="35"/>
        <v>-633.08203704359084</v>
      </c>
      <c r="K178" s="40">
        <f t="shared" si="36"/>
        <v>10089.088433587414</v>
      </c>
      <c r="L178" s="39">
        <f t="shared" si="32"/>
        <v>32784.933726315794</v>
      </c>
    </row>
    <row r="179" spans="1:12">
      <c r="A179" s="44">
        <v>157</v>
      </c>
      <c r="B179" s="45">
        <f t="shared" si="29"/>
        <v>37.89473684210526</v>
      </c>
      <c r="C179" s="45">
        <f t="shared" si="30"/>
        <v>15.157894736842104</v>
      </c>
      <c r="D179" s="45">
        <v>0</v>
      </c>
      <c r="E179" s="45">
        <f t="shared" si="28"/>
        <v>157.10720000000001</v>
      </c>
      <c r="F179" s="45">
        <f t="shared" si="33"/>
        <v>210.15983157894738</v>
      </c>
      <c r="G179" s="40">
        <f t="shared" si="31"/>
        <v>10.119571151515029</v>
      </c>
      <c r="H179" s="40">
        <f>G179*DADOS!F$5*DADOS!F$3*DADOS!C$4</f>
        <v>197.07864817575515</v>
      </c>
      <c r="I179" s="40">
        <f t="shared" si="34"/>
        <v>13.081183403192227</v>
      </c>
      <c r="J179" s="40">
        <f t="shared" si="35"/>
        <v>-620.00085364039865</v>
      </c>
      <c r="K179" s="40">
        <f t="shared" si="36"/>
        <v>9469.0875799470159</v>
      </c>
      <c r="L179" s="39">
        <f t="shared" si="32"/>
        <v>32995.093557894739</v>
      </c>
    </row>
    <row r="180" spans="1:12">
      <c r="A180" s="44">
        <v>158</v>
      </c>
      <c r="B180" s="45">
        <f t="shared" si="29"/>
        <v>37.89473684210526</v>
      </c>
      <c r="C180" s="45">
        <f t="shared" si="30"/>
        <v>15.157894736842104</v>
      </c>
      <c r="D180" s="45">
        <v>0</v>
      </c>
      <c r="E180" s="45">
        <f t="shared" ref="E180:E212" si="37">tanque5</f>
        <v>165.37600000000003</v>
      </c>
      <c r="F180" s="45">
        <f t="shared" si="33"/>
        <v>218.4286315789474</v>
      </c>
      <c r="G180" s="40">
        <f t="shared" si="31"/>
        <v>10.127309815501754</v>
      </c>
      <c r="H180" s="40">
        <f>G180*DADOS!F$5*DADOS!F$3*DADOS!C$4</f>
        <v>197.22935865689664</v>
      </c>
      <c r="I180" s="40">
        <f t="shared" si="34"/>
        <v>21.199272922050767</v>
      </c>
      <c r="J180" s="40">
        <f t="shared" si="35"/>
        <v>-598.80158071834785</v>
      </c>
      <c r="K180" s="40">
        <f t="shared" si="36"/>
        <v>8870.2859992286685</v>
      </c>
      <c r="L180" s="39">
        <f t="shared" si="32"/>
        <v>34511.72378947369</v>
      </c>
    </row>
    <row r="181" spans="1:12">
      <c r="A181" s="44">
        <v>159</v>
      </c>
      <c r="B181" s="45">
        <f t="shared" si="29"/>
        <v>37.89473684210526</v>
      </c>
      <c r="C181" s="45">
        <f t="shared" si="30"/>
        <v>15.157894736842104</v>
      </c>
      <c r="D181" s="45">
        <v>0</v>
      </c>
      <c r="E181" s="45">
        <f t="shared" si="37"/>
        <v>165.37600000000003</v>
      </c>
      <c r="F181" s="45">
        <f t="shared" si="33"/>
        <v>218.4286315789474</v>
      </c>
      <c r="G181" s="40">
        <f t="shared" si="31"/>
        <v>10.135048479488479</v>
      </c>
      <c r="H181" s="40">
        <f>G181*DADOS!F$5*DADOS!F$3*DADOS!C$4</f>
        <v>197.3800691380381</v>
      </c>
      <c r="I181" s="40">
        <f t="shared" si="34"/>
        <v>21.048562440909308</v>
      </c>
      <c r="J181" s="40">
        <f t="shared" si="35"/>
        <v>-577.75301827743851</v>
      </c>
      <c r="K181" s="40">
        <f t="shared" si="36"/>
        <v>8292.5329809512295</v>
      </c>
      <c r="L181" s="39">
        <f t="shared" si="32"/>
        <v>34730.15242105264</v>
      </c>
    </row>
    <row r="182" spans="1:12">
      <c r="A182" s="44">
        <v>160</v>
      </c>
      <c r="B182" s="45">
        <f t="shared" si="29"/>
        <v>37.89473684210526</v>
      </c>
      <c r="C182" s="45">
        <f t="shared" si="30"/>
        <v>15.157894736842104</v>
      </c>
      <c r="D182" s="45">
        <v>0</v>
      </c>
      <c r="E182" s="45">
        <f t="shared" si="37"/>
        <v>165.37600000000003</v>
      </c>
      <c r="F182" s="45">
        <f t="shared" si="33"/>
        <v>218.4286315789474</v>
      </c>
      <c r="G182" s="40">
        <f t="shared" si="31"/>
        <v>10.142787143475203</v>
      </c>
      <c r="H182" s="40">
        <f>G182*DADOS!F$5*DADOS!F$3*DADOS!C$4</f>
        <v>197.53077961917958</v>
      </c>
      <c r="I182" s="40">
        <f t="shared" si="34"/>
        <v>20.89785195976782</v>
      </c>
      <c r="J182" s="40">
        <f t="shared" si="35"/>
        <v>-556.85516631767064</v>
      </c>
      <c r="K182" s="40">
        <f t="shared" si="36"/>
        <v>7735.6778146335591</v>
      </c>
      <c r="L182" s="39">
        <f t="shared" si="32"/>
        <v>34948.581052631584</v>
      </c>
    </row>
    <row r="183" spans="1:12">
      <c r="A183" s="44">
        <v>161</v>
      </c>
      <c r="B183" s="45">
        <f t="shared" ref="B183:B212" si="38">casco</f>
        <v>37.89473684210526</v>
      </c>
      <c r="C183" s="45">
        <f t="shared" ref="C183:C212" si="39">out</f>
        <v>15.157894736842104</v>
      </c>
      <c r="D183" s="45">
        <v>0</v>
      </c>
      <c r="E183" s="45">
        <f t="shared" si="37"/>
        <v>165.37600000000003</v>
      </c>
      <c r="F183" s="45">
        <f t="shared" si="33"/>
        <v>218.4286315789474</v>
      </c>
      <c r="G183" s="40">
        <f t="shared" ref="G183:G212" si="40">D$18+((loa/2)-A183)*TAN(F$17)</f>
        <v>10.150525807461928</v>
      </c>
      <c r="H183" s="40">
        <f>G183*DADOS!F$5*DADOS!F$3*DADOS!C$4</f>
        <v>197.68149010032101</v>
      </c>
      <c r="I183" s="40">
        <f t="shared" si="34"/>
        <v>20.747141478626389</v>
      </c>
      <c r="J183" s="40">
        <f t="shared" si="35"/>
        <v>-536.10802483904422</v>
      </c>
      <c r="K183" s="40">
        <f t="shared" si="36"/>
        <v>7199.5697897945147</v>
      </c>
      <c r="L183" s="39">
        <f t="shared" ref="L183:L212" si="41">F183*A183</f>
        <v>35167.009684210534</v>
      </c>
    </row>
    <row r="184" spans="1:12">
      <c r="A184" s="44">
        <v>162</v>
      </c>
      <c r="B184" s="45">
        <f t="shared" si="38"/>
        <v>37.89473684210526</v>
      </c>
      <c r="C184" s="45">
        <f t="shared" si="39"/>
        <v>15.157894736842104</v>
      </c>
      <c r="D184" s="45">
        <v>0</v>
      </c>
      <c r="E184" s="45">
        <f t="shared" si="37"/>
        <v>165.37600000000003</v>
      </c>
      <c r="F184" s="45">
        <f t="shared" si="33"/>
        <v>218.4286315789474</v>
      </c>
      <c r="G184" s="40">
        <f t="shared" si="40"/>
        <v>10.158264471448653</v>
      </c>
      <c r="H184" s="40">
        <f>G184*DADOS!F$5*DADOS!F$3*DADOS!C$4</f>
        <v>197.8322005814625</v>
      </c>
      <c r="I184" s="40">
        <f t="shared" si="34"/>
        <v>20.596430997484902</v>
      </c>
      <c r="J184" s="40">
        <f t="shared" si="35"/>
        <v>-515.51159384155926</v>
      </c>
      <c r="K184" s="40">
        <f t="shared" si="36"/>
        <v>6684.0581959529554</v>
      </c>
      <c r="L184" s="39">
        <f t="shared" si="41"/>
        <v>35385.438315789477</v>
      </c>
    </row>
    <row r="185" spans="1:12">
      <c r="A185" s="44">
        <v>163</v>
      </c>
      <c r="B185" s="45">
        <f t="shared" si="38"/>
        <v>37.89473684210526</v>
      </c>
      <c r="C185" s="45">
        <f t="shared" si="39"/>
        <v>15.157894736842104</v>
      </c>
      <c r="D185" s="45">
        <v>0</v>
      </c>
      <c r="E185" s="45">
        <f t="shared" si="37"/>
        <v>165.37600000000003</v>
      </c>
      <c r="F185" s="45">
        <f t="shared" si="33"/>
        <v>218.4286315789474</v>
      </c>
      <c r="G185" s="40">
        <f t="shared" si="40"/>
        <v>10.166003135435378</v>
      </c>
      <c r="H185" s="40">
        <f>G185*DADOS!F$5*DADOS!F$3*DADOS!C$4</f>
        <v>197.98291106260399</v>
      </c>
      <c r="I185" s="40">
        <f t="shared" si="34"/>
        <v>20.445720516343414</v>
      </c>
      <c r="J185" s="40">
        <f t="shared" si="35"/>
        <v>-495.06587332521588</v>
      </c>
      <c r="K185" s="40">
        <f t="shared" si="36"/>
        <v>6188.9923226277397</v>
      </c>
      <c r="L185" s="39">
        <f t="shared" si="41"/>
        <v>35603.866947368428</v>
      </c>
    </row>
    <row r="186" spans="1:12">
      <c r="A186" s="44">
        <v>164</v>
      </c>
      <c r="B186" s="45">
        <f t="shared" si="38"/>
        <v>37.89473684210526</v>
      </c>
      <c r="C186" s="45">
        <f t="shared" si="39"/>
        <v>15.157894736842104</v>
      </c>
      <c r="D186" s="45">
        <v>0</v>
      </c>
      <c r="E186" s="45">
        <f t="shared" si="37"/>
        <v>165.37600000000003</v>
      </c>
      <c r="F186" s="45">
        <f t="shared" si="33"/>
        <v>218.4286315789474</v>
      </c>
      <c r="G186" s="40">
        <f t="shared" si="40"/>
        <v>10.173741799422103</v>
      </c>
      <c r="H186" s="40">
        <f>G186*DADOS!F$5*DADOS!F$3*DADOS!C$4</f>
        <v>198.13362154374545</v>
      </c>
      <c r="I186" s="40">
        <f t="shared" si="34"/>
        <v>20.295010035201955</v>
      </c>
      <c r="J186" s="40">
        <f t="shared" si="35"/>
        <v>-474.77086329001395</v>
      </c>
      <c r="K186" s="40">
        <f t="shared" si="36"/>
        <v>5714.2214593377257</v>
      </c>
      <c r="L186" s="39">
        <f t="shared" si="41"/>
        <v>35822.295578947371</v>
      </c>
    </row>
    <row r="187" spans="1:12">
      <c r="A187" s="44">
        <v>165</v>
      </c>
      <c r="B187" s="45">
        <f t="shared" si="38"/>
        <v>37.89473684210526</v>
      </c>
      <c r="C187" s="45">
        <f t="shared" si="39"/>
        <v>15.157894736842104</v>
      </c>
      <c r="D187" s="45">
        <v>0</v>
      </c>
      <c r="E187" s="45">
        <f t="shared" si="37"/>
        <v>165.37600000000003</v>
      </c>
      <c r="F187" s="45">
        <f t="shared" si="33"/>
        <v>218.4286315789474</v>
      </c>
      <c r="G187" s="40">
        <f t="shared" si="40"/>
        <v>10.181480463408828</v>
      </c>
      <c r="H187" s="40">
        <f>G187*DADOS!F$5*DADOS!F$3*DADOS!C$4</f>
        <v>198.28433202488691</v>
      </c>
      <c r="I187" s="40">
        <f t="shared" si="34"/>
        <v>20.144299554060495</v>
      </c>
      <c r="J187" s="40">
        <f t="shared" si="35"/>
        <v>-454.62656373595348</v>
      </c>
      <c r="K187" s="40">
        <f t="shared" si="36"/>
        <v>5259.5948956017719</v>
      </c>
      <c r="L187" s="39">
        <f t="shared" si="41"/>
        <v>36040.724210526321</v>
      </c>
    </row>
    <row r="188" spans="1:12">
      <c r="A188" s="44">
        <v>166</v>
      </c>
      <c r="B188" s="45">
        <f t="shared" si="38"/>
        <v>37.89473684210526</v>
      </c>
      <c r="C188" s="45">
        <f t="shared" si="39"/>
        <v>15.157894736842104</v>
      </c>
      <c r="D188" s="45">
        <v>0</v>
      </c>
      <c r="E188" s="45">
        <f t="shared" si="37"/>
        <v>165.37600000000003</v>
      </c>
      <c r="F188" s="45">
        <f t="shared" si="33"/>
        <v>218.4286315789474</v>
      </c>
      <c r="G188" s="40">
        <f t="shared" si="40"/>
        <v>10.189219127395553</v>
      </c>
      <c r="H188" s="40">
        <f>G188*DADOS!F$5*DADOS!F$3*DADOS!C$4</f>
        <v>198.43504250602837</v>
      </c>
      <c r="I188" s="40">
        <f t="shared" si="34"/>
        <v>19.993589072919036</v>
      </c>
      <c r="J188" s="40">
        <f t="shared" si="35"/>
        <v>-434.63297466303447</v>
      </c>
      <c r="K188" s="40">
        <f t="shared" si="36"/>
        <v>4824.9619209387374</v>
      </c>
      <c r="L188" s="39">
        <f t="shared" si="41"/>
        <v>36259.152842105272</v>
      </c>
    </row>
    <row r="189" spans="1:12">
      <c r="A189" s="44">
        <v>167</v>
      </c>
      <c r="B189" s="45">
        <f t="shared" si="38"/>
        <v>37.89473684210526</v>
      </c>
      <c r="C189" s="45">
        <f t="shared" si="39"/>
        <v>15.157894736842104</v>
      </c>
      <c r="D189" s="45">
        <v>0</v>
      </c>
      <c r="E189" s="45">
        <f t="shared" si="37"/>
        <v>165.37600000000003</v>
      </c>
      <c r="F189" s="45">
        <f t="shared" si="33"/>
        <v>218.4286315789474</v>
      </c>
      <c r="G189" s="40">
        <f t="shared" si="40"/>
        <v>10.196957791382278</v>
      </c>
      <c r="H189" s="40">
        <f>G189*DADOS!F$5*DADOS!F$3*DADOS!C$4</f>
        <v>198.58575298716985</v>
      </c>
      <c r="I189" s="40">
        <f t="shared" si="34"/>
        <v>19.842878591777549</v>
      </c>
      <c r="J189" s="40">
        <f t="shared" si="35"/>
        <v>-414.79009607125693</v>
      </c>
      <c r="K189" s="40">
        <f t="shared" si="36"/>
        <v>4410.1718248674806</v>
      </c>
      <c r="L189" s="39">
        <f t="shared" si="41"/>
        <v>36477.581473684215</v>
      </c>
    </row>
    <row r="190" spans="1:12">
      <c r="A190" s="44">
        <v>168</v>
      </c>
      <c r="B190" s="45">
        <f t="shared" si="38"/>
        <v>37.89473684210526</v>
      </c>
      <c r="C190" s="45">
        <f t="shared" si="39"/>
        <v>15.157894736842104</v>
      </c>
      <c r="D190" s="45">
        <v>0</v>
      </c>
      <c r="E190" s="45">
        <f t="shared" si="37"/>
        <v>165.37600000000003</v>
      </c>
      <c r="F190" s="45">
        <f t="shared" si="33"/>
        <v>218.4286315789474</v>
      </c>
      <c r="G190" s="40">
        <f t="shared" si="40"/>
        <v>10.204696455369003</v>
      </c>
      <c r="H190" s="40">
        <f>G190*DADOS!F$5*DADOS!F$3*DADOS!C$4</f>
        <v>198.73646346831134</v>
      </c>
      <c r="I190" s="40">
        <f t="shared" si="34"/>
        <v>19.692168110636061</v>
      </c>
      <c r="J190" s="40">
        <f t="shared" si="35"/>
        <v>-395.09792796062084</v>
      </c>
      <c r="K190" s="40">
        <f t="shared" si="36"/>
        <v>4015.0738969068598</v>
      </c>
      <c r="L190" s="39">
        <f t="shared" si="41"/>
        <v>36696.010105263165</v>
      </c>
    </row>
    <row r="191" spans="1:12">
      <c r="A191" s="44">
        <v>169</v>
      </c>
      <c r="B191" s="45">
        <f t="shared" si="38"/>
        <v>37.89473684210526</v>
      </c>
      <c r="C191" s="45">
        <f t="shared" si="39"/>
        <v>15.157894736842104</v>
      </c>
      <c r="D191" s="45">
        <v>0</v>
      </c>
      <c r="E191" s="45">
        <f t="shared" si="37"/>
        <v>165.37600000000003</v>
      </c>
      <c r="F191" s="45">
        <f t="shared" si="33"/>
        <v>218.4286315789474</v>
      </c>
      <c r="G191" s="40">
        <f t="shared" si="40"/>
        <v>10.212435119355728</v>
      </c>
      <c r="H191" s="40">
        <f>G191*DADOS!F$5*DADOS!F$3*DADOS!C$4</f>
        <v>198.88717394945277</v>
      </c>
      <c r="I191" s="40">
        <f t="shared" si="34"/>
        <v>19.54145762949463</v>
      </c>
      <c r="J191" s="40">
        <f t="shared" si="35"/>
        <v>-375.55647033112621</v>
      </c>
      <c r="K191" s="40">
        <f t="shared" si="36"/>
        <v>3639.5174265757337</v>
      </c>
      <c r="L191" s="39">
        <f t="shared" si="41"/>
        <v>36914.438736842108</v>
      </c>
    </row>
    <row r="192" spans="1:12">
      <c r="A192" s="44">
        <v>170</v>
      </c>
      <c r="B192" s="45">
        <f t="shared" si="38"/>
        <v>37.89473684210526</v>
      </c>
      <c r="C192" s="45">
        <f t="shared" si="39"/>
        <v>15.157894736842104</v>
      </c>
      <c r="D192" s="45">
        <v>0</v>
      </c>
      <c r="E192" s="45">
        <f t="shared" si="37"/>
        <v>165.37600000000003</v>
      </c>
      <c r="F192" s="45">
        <f t="shared" si="33"/>
        <v>218.4286315789474</v>
      </c>
      <c r="G192" s="40">
        <f t="shared" si="40"/>
        <v>10.220173783342453</v>
      </c>
      <c r="H192" s="40">
        <f>G192*DADOS!F$5*DADOS!F$3*DADOS!C$4</f>
        <v>199.03788443059426</v>
      </c>
      <c r="I192" s="40">
        <f t="shared" si="34"/>
        <v>19.390747148353142</v>
      </c>
      <c r="J192" s="40">
        <f t="shared" si="35"/>
        <v>-356.16572318277304</v>
      </c>
      <c r="K192" s="40">
        <f t="shared" si="36"/>
        <v>3283.3517033929606</v>
      </c>
      <c r="L192" s="39">
        <f t="shared" si="41"/>
        <v>37132.867368421059</v>
      </c>
    </row>
    <row r="193" spans="1:12">
      <c r="A193" s="44">
        <v>171</v>
      </c>
      <c r="B193" s="45">
        <f t="shared" si="38"/>
        <v>37.89473684210526</v>
      </c>
      <c r="C193" s="45">
        <f t="shared" si="39"/>
        <v>15.157894736842104</v>
      </c>
      <c r="D193" s="45">
        <v>0</v>
      </c>
      <c r="E193" s="45">
        <f t="shared" si="37"/>
        <v>165.37600000000003</v>
      </c>
      <c r="F193" s="45">
        <f t="shared" si="33"/>
        <v>218.4286315789474</v>
      </c>
      <c r="G193" s="40">
        <f t="shared" si="40"/>
        <v>10.227912447329178</v>
      </c>
      <c r="H193" s="40">
        <f>G193*DADOS!F$5*DADOS!F$3*DADOS!C$4</f>
        <v>199.18859491173572</v>
      </c>
      <c r="I193" s="40">
        <f t="shared" si="34"/>
        <v>19.240036667211683</v>
      </c>
      <c r="J193" s="40">
        <f t="shared" si="35"/>
        <v>-336.92568651556132</v>
      </c>
      <c r="K193" s="40">
        <f t="shared" si="36"/>
        <v>2946.4260168773994</v>
      </c>
      <c r="L193" s="39">
        <f t="shared" si="41"/>
        <v>37351.296000000009</v>
      </c>
    </row>
    <row r="194" spans="1:12">
      <c r="A194" s="44">
        <v>172</v>
      </c>
      <c r="B194" s="45">
        <f t="shared" si="38"/>
        <v>37.89473684210526</v>
      </c>
      <c r="C194" s="45">
        <f t="shared" si="39"/>
        <v>15.157894736842104</v>
      </c>
      <c r="D194" s="45">
        <v>0</v>
      </c>
      <c r="E194" s="45">
        <f t="shared" si="37"/>
        <v>165.37600000000003</v>
      </c>
      <c r="F194" s="45">
        <f t="shared" si="33"/>
        <v>218.4286315789474</v>
      </c>
      <c r="G194" s="40">
        <f t="shared" si="40"/>
        <v>10.235651111315903</v>
      </c>
      <c r="H194" s="40">
        <f>G194*DADOS!F$5*DADOS!F$3*DADOS!C$4</f>
        <v>199.33930539287721</v>
      </c>
      <c r="I194" s="40">
        <f t="shared" si="34"/>
        <v>19.089326186070195</v>
      </c>
      <c r="J194" s="40">
        <f t="shared" si="35"/>
        <v>-317.83636032949113</v>
      </c>
      <c r="K194" s="40">
        <f t="shared" si="36"/>
        <v>2628.5896565479084</v>
      </c>
      <c r="L194" s="39">
        <f t="shared" si="41"/>
        <v>37569.724631578953</v>
      </c>
    </row>
    <row r="195" spans="1:12">
      <c r="A195" s="44">
        <v>173</v>
      </c>
      <c r="B195" s="45">
        <f t="shared" si="38"/>
        <v>37.89473684210526</v>
      </c>
      <c r="C195" s="45">
        <f t="shared" si="39"/>
        <v>15.157894736842104</v>
      </c>
      <c r="D195" s="45">
        <v>0</v>
      </c>
      <c r="E195" s="45">
        <f t="shared" si="37"/>
        <v>165.37600000000003</v>
      </c>
      <c r="F195" s="45">
        <f t="shared" si="33"/>
        <v>218.4286315789474</v>
      </c>
      <c r="G195" s="40">
        <f t="shared" si="40"/>
        <v>10.243389775302628</v>
      </c>
      <c r="H195" s="40">
        <f>G195*DADOS!F$5*DADOS!F$3*DADOS!C$4</f>
        <v>199.49001587401864</v>
      </c>
      <c r="I195" s="40">
        <f t="shared" si="34"/>
        <v>18.938615704928765</v>
      </c>
      <c r="J195" s="40">
        <f t="shared" si="35"/>
        <v>-298.89774462456239</v>
      </c>
      <c r="K195" s="40">
        <f t="shared" si="36"/>
        <v>2329.6919119233462</v>
      </c>
      <c r="L195" s="39">
        <f t="shared" si="41"/>
        <v>37788.153263157903</v>
      </c>
    </row>
    <row r="196" spans="1:12">
      <c r="A196" s="44">
        <v>174</v>
      </c>
      <c r="B196" s="45">
        <f t="shared" si="38"/>
        <v>37.89473684210526</v>
      </c>
      <c r="C196" s="45">
        <f t="shared" si="39"/>
        <v>15.157894736842104</v>
      </c>
      <c r="D196" s="45">
        <v>0</v>
      </c>
      <c r="E196" s="45">
        <f t="shared" si="37"/>
        <v>165.37600000000003</v>
      </c>
      <c r="F196" s="45">
        <f t="shared" si="33"/>
        <v>218.4286315789474</v>
      </c>
      <c r="G196" s="40">
        <f t="shared" si="40"/>
        <v>10.251128439289353</v>
      </c>
      <c r="H196" s="40">
        <f>G196*DADOS!F$5*DADOS!F$3*DADOS!C$4</f>
        <v>199.64072635516013</v>
      </c>
      <c r="I196" s="40">
        <f t="shared" si="34"/>
        <v>18.787905223787277</v>
      </c>
      <c r="J196" s="40">
        <f t="shared" si="35"/>
        <v>-280.10983940077512</v>
      </c>
      <c r="K196" s="40">
        <f t="shared" si="36"/>
        <v>2049.5820725225713</v>
      </c>
      <c r="L196" s="39">
        <f t="shared" si="41"/>
        <v>38006.581894736846</v>
      </c>
    </row>
    <row r="197" spans="1:12">
      <c r="A197" s="44">
        <v>175</v>
      </c>
      <c r="B197" s="45">
        <f t="shared" si="38"/>
        <v>37.89473684210526</v>
      </c>
      <c r="C197" s="45">
        <f t="shared" si="39"/>
        <v>15.157894736842104</v>
      </c>
      <c r="D197" s="45">
        <v>0</v>
      </c>
      <c r="E197" s="45">
        <f t="shared" si="37"/>
        <v>165.37600000000003</v>
      </c>
      <c r="F197" s="45">
        <f t="shared" si="33"/>
        <v>218.4286315789474</v>
      </c>
      <c r="G197" s="40">
        <f t="shared" si="40"/>
        <v>10.258867103276078</v>
      </c>
      <c r="H197" s="40">
        <f>G197*DADOS!F$5*DADOS!F$3*DADOS!C$4</f>
        <v>199.79143683630161</v>
      </c>
      <c r="I197" s="40">
        <f t="shared" si="34"/>
        <v>18.637194742645789</v>
      </c>
      <c r="J197" s="40">
        <f t="shared" si="35"/>
        <v>-261.4726446581293</v>
      </c>
      <c r="K197" s="40">
        <f t="shared" si="36"/>
        <v>1788.1094278644418</v>
      </c>
      <c r="L197" s="39">
        <f t="shared" si="41"/>
        <v>38225.010526315797</v>
      </c>
    </row>
    <row r="198" spans="1:12">
      <c r="A198" s="44">
        <v>176</v>
      </c>
      <c r="B198" s="45">
        <f t="shared" si="38"/>
        <v>37.89473684210526</v>
      </c>
      <c r="C198" s="45">
        <f t="shared" si="39"/>
        <v>15.157894736842104</v>
      </c>
      <c r="D198" s="45">
        <v>0</v>
      </c>
      <c r="E198" s="45">
        <f t="shared" si="37"/>
        <v>165.37600000000003</v>
      </c>
      <c r="F198" s="45">
        <f t="shared" si="33"/>
        <v>218.4286315789474</v>
      </c>
      <c r="G198" s="40">
        <f t="shared" si="40"/>
        <v>10.266605767262803</v>
      </c>
      <c r="H198" s="40">
        <f>G198*DADOS!F$5*DADOS!F$3*DADOS!C$4</f>
        <v>199.94214731744307</v>
      </c>
      <c r="I198" s="40">
        <f t="shared" si="34"/>
        <v>18.48648426150433</v>
      </c>
      <c r="J198" s="40">
        <f t="shared" si="35"/>
        <v>-242.98616039662497</v>
      </c>
      <c r="K198" s="40">
        <f t="shared" si="36"/>
        <v>1545.123267467817</v>
      </c>
      <c r="L198" s="39">
        <f t="shared" si="41"/>
        <v>38443.43915789474</v>
      </c>
    </row>
    <row r="199" spans="1:12">
      <c r="A199" s="44">
        <v>177</v>
      </c>
      <c r="B199" s="45">
        <f t="shared" si="38"/>
        <v>37.89473684210526</v>
      </c>
      <c r="C199" s="45">
        <f t="shared" si="39"/>
        <v>15.157894736842104</v>
      </c>
      <c r="D199" s="45">
        <v>0</v>
      </c>
      <c r="E199" s="45">
        <f t="shared" si="37"/>
        <v>165.37600000000003</v>
      </c>
      <c r="F199" s="45">
        <f t="shared" si="33"/>
        <v>218.4286315789474</v>
      </c>
      <c r="G199" s="40">
        <f t="shared" si="40"/>
        <v>10.274344431249528</v>
      </c>
      <c r="H199" s="40">
        <f>G199*DADOS!F$5*DADOS!F$3*DADOS!C$4</f>
        <v>200.09285779858453</v>
      </c>
      <c r="I199" s="40">
        <f t="shared" si="34"/>
        <v>18.335773780362871</v>
      </c>
      <c r="J199" s="40">
        <f t="shared" si="35"/>
        <v>-224.6503866162621</v>
      </c>
      <c r="K199" s="40">
        <f t="shared" si="36"/>
        <v>1320.4728808515549</v>
      </c>
      <c r="L199" s="39">
        <f t="shared" si="41"/>
        <v>38661.86778947369</v>
      </c>
    </row>
    <row r="200" spans="1:12">
      <c r="A200" s="44">
        <v>178</v>
      </c>
      <c r="B200" s="45">
        <f t="shared" si="38"/>
        <v>37.89473684210526</v>
      </c>
      <c r="C200" s="45">
        <f t="shared" si="39"/>
        <v>15.157894736842104</v>
      </c>
      <c r="D200" s="45">
        <v>0</v>
      </c>
      <c r="E200" s="45">
        <f t="shared" si="37"/>
        <v>165.37600000000003</v>
      </c>
      <c r="F200" s="45">
        <f t="shared" si="33"/>
        <v>218.4286315789474</v>
      </c>
      <c r="G200" s="40">
        <f t="shared" si="40"/>
        <v>10.282083095236253</v>
      </c>
      <c r="H200" s="40">
        <f>G200*DADOS!F$5*DADOS!F$3*DADOS!C$4</f>
        <v>200.24356827972599</v>
      </c>
      <c r="I200" s="40">
        <f t="shared" si="34"/>
        <v>18.185063299221412</v>
      </c>
      <c r="J200" s="40">
        <f t="shared" si="35"/>
        <v>-206.46532331704068</v>
      </c>
      <c r="K200" s="40">
        <f t="shared" si="36"/>
        <v>1114.0075575345143</v>
      </c>
      <c r="L200" s="39">
        <f t="shared" si="41"/>
        <v>38880.296421052641</v>
      </c>
    </row>
    <row r="201" spans="1:12">
      <c r="A201" s="44">
        <v>179</v>
      </c>
      <c r="B201" s="45">
        <f t="shared" si="38"/>
        <v>37.89473684210526</v>
      </c>
      <c r="C201" s="45">
        <f t="shared" si="39"/>
        <v>15.157894736842104</v>
      </c>
      <c r="D201" s="45">
        <v>0</v>
      </c>
      <c r="E201" s="45">
        <f t="shared" si="37"/>
        <v>165.37600000000003</v>
      </c>
      <c r="F201" s="45">
        <f t="shared" si="33"/>
        <v>218.4286315789474</v>
      </c>
      <c r="G201" s="40">
        <f t="shared" si="40"/>
        <v>10.289821759222978</v>
      </c>
      <c r="H201" s="40">
        <f>G201*DADOS!F$5*DADOS!F$3*DADOS!C$4</f>
        <v>200.39427876086748</v>
      </c>
      <c r="I201" s="40">
        <f t="shared" si="34"/>
        <v>18.034352818079924</v>
      </c>
      <c r="J201" s="40">
        <f t="shared" si="35"/>
        <v>-188.43097049896076</v>
      </c>
      <c r="K201" s="40">
        <f t="shared" si="36"/>
        <v>925.57658703555353</v>
      </c>
      <c r="L201" s="39">
        <f t="shared" si="41"/>
        <v>39098.725052631584</v>
      </c>
    </row>
    <row r="202" spans="1:12">
      <c r="A202" s="44">
        <v>180</v>
      </c>
      <c r="B202" s="45">
        <f t="shared" si="38"/>
        <v>37.89473684210526</v>
      </c>
      <c r="C202" s="45">
        <f t="shared" si="39"/>
        <v>15.157894736842104</v>
      </c>
      <c r="D202" s="45">
        <v>0</v>
      </c>
      <c r="E202" s="45">
        <f t="shared" si="37"/>
        <v>165.37600000000003</v>
      </c>
      <c r="F202" s="45">
        <f t="shared" si="33"/>
        <v>218.4286315789474</v>
      </c>
      <c r="G202" s="40">
        <f t="shared" si="40"/>
        <v>10.297560423209703</v>
      </c>
      <c r="H202" s="40">
        <f>G202*DADOS!F$5*DADOS!F$3*DADOS!C$4</f>
        <v>200.54498924200897</v>
      </c>
      <c r="I202" s="40">
        <f t="shared" si="34"/>
        <v>17.883642336938436</v>
      </c>
      <c r="J202" s="40">
        <f t="shared" si="35"/>
        <v>-170.54732816202232</v>
      </c>
      <c r="K202" s="40">
        <f t="shared" si="36"/>
        <v>755.02925887353126</v>
      </c>
      <c r="L202" s="39">
        <f t="shared" si="41"/>
        <v>39317.153684210534</v>
      </c>
    </row>
    <row r="203" spans="1:12">
      <c r="A203" s="44">
        <v>181</v>
      </c>
      <c r="B203" s="45">
        <f t="shared" si="38"/>
        <v>37.89473684210526</v>
      </c>
      <c r="C203" s="45">
        <f t="shared" si="39"/>
        <v>15.157894736842104</v>
      </c>
      <c r="D203" s="45">
        <v>0</v>
      </c>
      <c r="E203" s="45">
        <f t="shared" si="37"/>
        <v>165.37600000000003</v>
      </c>
      <c r="F203" s="45">
        <f t="shared" si="33"/>
        <v>218.4286315789474</v>
      </c>
      <c r="G203" s="40">
        <f t="shared" si="40"/>
        <v>10.305299087196428</v>
      </c>
      <c r="H203" s="40">
        <f>G203*DADOS!F$5*DADOS!F$3*DADOS!C$4</f>
        <v>200.6956997231504</v>
      </c>
      <c r="I203" s="40">
        <f t="shared" si="34"/>
        <v>17.732931855797005</v>
      </c>
      <c r="J203" s="40">
        <f t="shared" si="35"/>
        <v>-152.81439630622532</v>
      </c>
      <c r="K203" s="40">
        <f t="shared" si="36"/>
        <v>602.214862567306</v>
      </c>
      <c r="L203" s="39">
        <f t="shared" si="41"/>
        <v>39535.582315789477</v>
      </c>
    </row>
    <row r="204" spans="1:12">
      <c r="A204" s="44">
        <v>182</v>
      </c>
      <c r="B204" s="45">
        <f t="shared" si="38"/>
        <v>37.89473684210526</v>
      </c>
      <c r="C204" s="45">
        <f t="shared" si="39"/>
        <v>15.157894736842104</v>
      </c>
      <c r="D204" s="45">
        <v>0</v>
      </c>
      <c r="E204" s="45">
        <f t="shared" si="37"/>
        <v>165.37600000000003</v>
      </c>
      <c r="F204" s="45">
        <f t="shared" si="33"/>
        <v>218.4286315789474</v>
      </c>
      <c r="G204" s="40">
        <f t="shared" si="40"/>
        <v>10.313037751183153</v>
      </c>
      <c r="H204" s="40">
        <f>G204*DADOS!F$5*DADOS!F$3*DADOS!C$4</f>
        <v>200.84641020429189</v>
      </c>
      <c r="I204" s="40">
        <f t="shared" si="34"/>
        <v>17.582221374655518</v>
      </c>
      <c r="J204" s="40">
        <f t="shared" si="35"/>
        <v>-135.2321749315698</v>
      </c>
      <c r="K204" s="40">
        <f t="shared" si="36"/>
        <v>466.98268763573617</v>
      </c>
      <c r="L204" s="39">
        <f t="shared" si="41"/>
        <v>39754.010947368428</v>
      </c>
    </row>
    <row r="205" spans="1:12">
      <c r="A205" s="44">
        <v>183</v>
      </c>
      <c r="B205" s="45">
        <f t="shared" si="38"/>
        <v>37.89473684210526</v>
      </c>
      <c r="C205" s="45">
        <f t="shared" si="39"/>
        <v>15.157894736842104</v>
      </c>
      <c r="D205" s="45">
        <v>0</v>
      </c>
      <c r="E205" s="45">
        <f t="shared" si="37"/>
        <v>165.37600000000003</v>
      </c>
      <c r="F205" s="45">
        <f t="shared" si="33"/>
        <v>218.4286315789474</v>
      </c>
      <c r="G205" s="40">
        <f t="shared" si="40"/>
        <v>10.320776415169878</v>
      </c>
      <c r="H205" s="40">
        <f>G205*DADOS!F$5*DADOS!F$3*DADOS!C$4</f>
        <v>200.99712068543334</v>
      </c>
      <c r="I205" s="40">
        <f t="shared" si="34"/>
        <v>17.431510893514059</v>
      </c>
      <c r="J205" s="40">
        <f t="shared" si="35"/>
        <v>-117.80066403805574</v>
      </c>
      <c r="K205" s="40">
        <f t="shared" si="36"/>
        <v>349.18202359768043</v>
      </c>
      <c r="L205" s="39">
        <f t="shared" si="41"/>
        <v>39972.439578947378</v>
      </c>
    </row>
    <row r="206" spans="1:12">
      <c r="A206" s="44">
        <v>184</v>
      </c>
      <c r="B206" s="45">
        <f t="shared" si="38"/>
        <v>37.89473684210526</v>
      </c>
      <c r="C206" s="45">
        <f t="shared" si="39"/>
        <v>15.157894736842104</v>
      </c>
      <c r="D206" s="45">
        <v>0</v>
      </c>
      <c r="E206" s="45">
        <f t="shared" si="37"/>
        <v>165.37600000000003</v>
      </c>
      <c r="F206" s="45">
        <f t="shared" si="33"/>
        <v>218.4286315789474</v>
      </c>
      <c r="G206" s="40">
        <f t="shared" si="40"/>
        <v>10.328515079156602</v>
      </c>
      <c r="H206" s="40">
        <f>G206*DADOS!F$5*DADOS!F$3*DADOS!C$4</f>
        <v>201.14783116657483</v>
      </c>
      <c r="I206" s="40">
        <f t="shared" si="34"/>
        <v>17.280800412372571</v>
      </c>
      <c r="J206" s="40">
        <f t="shared" si="35"/>
        <v>-100.51986362568317</v>
      </c>
      <c r="K206" s="40">
        <f t="shared" si="36"/>
        <v>248.66215997199726</v>
      </c>
      <c r="L206" s="39">
        <f t="shared" si="41"/>
        <v>40190.868210526321</v>
      </c>
    </row>
    <row r="207" spans="1:12">
      <c r="A207" s="44">
        <v>185</v>
      </c>
      <c r="B207" s="45">
        <f t="shared" si="38"/>
        <v>37.89473684210526</v>
      </c>
      <c r="C207" s="45">
        <f t="shared" si="39"/>
        <v>15.157894736842104</v>
      </c>
      <c r="D207" s="45">
        <v>0</v>
      </c>
      <c r="E207" s="45">
        <f t="shared" si="37"/>
        <v>165.37600000000003</v>
      </c>
      <c r="F207" s="45">
        <f t="shared" si="33"/>
        <v>218.4286315789474</v>
      </c>
      <c r="G207" s="40">
        <f t="shared" si="40"/>
        <v>10.336253743143327</v>
      </c>
      <c r="H207" s="40">
        <f>G207*DADOS!F$5*DADOS!F$3*DADOS!C$4</f>
        <v>201.29854164771626</v>
      </c>
      <c r="I207" s="40">
        <f t="shared" si="34"/>
        <v>17.13008993123114</v>
      </c>
      <c r="J207" s="40">
        <f t="shared" si="35"/>
        <v>-83.389773694452032</v>
      </c>
      <c r="K207" s="40">
        <f t="shared" si="36"/>
        <v>165.27238627754522</v>
      </c>
      <c r="L207" s="39">
        <f t="shared" si="41"/>
        <v>40409.296842105272</v>
      </c>
    </row>
    <row r="208" spans="1:12">
      <c r="A208" s="44">
        <v>186</v>
      </c>
      <c r="B208" s="45">
        <f t="shared" si="38"/>
        <v>37.89473684210526</v>
      </c>
      <c r="C208" s="45">
        <f t="shared" si="39"/>
        <v>15.157894736842104</v>
      </c>
      <c r="D208" s="45">
        <v>0</v>
      </c>
      <c r="E208" s="45">
        <f t="shared" si="37"/>
        <v>165.37600000000003</v>
      </c>
      <c r="F208" s="45">
        <f t="shared" si="33"/>
        <v>218.4286315789474</v>
      </c>
      <c r="G208" s="40">
        <f t="shared" si="40"/>
        <v>10.343992407130052</v>
      </c>
      <c r="H208" s="40">
        <f>G208*DADOS!F$5*DADOS!F$3*DADOS!C$4</f>
        <v>201.44925212885775</v>
      </c>
      <c r="I208" s="40">
        <f t="shared" si="34"/>
        <v>16.979379450089652</v>
      </c>
      <c r="J208" s="40">
        <f t="shared" si="35"/>
        <v>-66.410394244362379</v>
      </c>
      <c r="K208" s="40">
        <f t="shared" si="36"/>
        <v>98.861992033182844</v>
      </c>
      <c r="L208" s="39">
        <f t="shared" si="41"/>
        <v>40627.725473684215</v>
      </c>
    </row>
    <row r="209" spans="1:12">
      <c r="A209" s="44">
        <v>187</v>
      </c>
      <c r="B209" s="45">
        <f t="shared" si="38"/>
        <v>37.89473684210526</v>
      </c>
      <c r="C209" s="45">
        <f t="shared" si="39"/>
        <v>15.157894736842104</v>
      </c>
      <c r="D209" s="45">
        <v>0</v>
      </c>
      <c r="E209" s="45">
        <f t="shared" si="37"/>
        <v>165.37600000000003</v>
      </c>
      <c r="F209" s="45">
        <f t="shared" si="33"/>
        <v>218.4286315789474</v>
      </c>
      <c r="G209" s="40">
        <f t="shared" si="40"/>
        <v>10.351731071116777</v>
      </c>
      <c r="H209" s="40">
        <f>G209*DADOS!F$5*DADOS!F$3*DADOS!C$4</f>
        <v>201.59996260999924</v>
      </c>
      <c r="I209" s="40">
        <f t="shared" si="34"/>
        <v>16.828668968948165</v>
      </c>
      <c r="J209" s="40">
        <f>J208+I209</f>
        <v>-49.581725275414215</v>
      </c>
      <c r="K209" s="40">
        <f t="shared" si="36"/>
        <v>49.280266757768629</v>
      </c>
      <c r="L209" s="39">
        <f t="shared" si="41"/>
        <v>40846.154105263166</v>
      </c>
    </row>
    <row r="210" spans="1:12">
      <c r="A210" s="44">
        <v>188</v>
      </c>
      <c r="B210" s="45">
        <f t="shared" si="38"/>
        <v>37.89473684210526</v>
      </c>
      <c r="C210" s="45">
        <f t="shared" si="39"/>
        <v>15.157894736842104</v>
      </c>
      <c r="D210" s="45">
        <v>0</v>
      </c>
      <c r="E210" s="45">
        <f t="shared" si="37"/>
        <v>165.37600000000003</v>
      </c>
      <c r="F210" s="45">
        <f t="shared" si="33"/>
        <v>218.4286315789474</v>
      </c>
      <c r="G210" s="40">
        <f t="shared" si="40"/>
        <v>10.359469735103502</v>
      </c>
      <c r="H210" s="40">
        <f>G210*DADOS!F$5*DADOS!F$3*DADOS!C$4</f>
        <v>201.7506730911407</v>
      </c>
      <c r="I210" s="40">
        <f t="shared" si="34"/>
        <v>16.677958487806706</v>
      </c>
      <c r="J210" s="40">
        <f t="shared" si="35"/>
        <v>-32.903766787607509</v>
      </c>
      <c r="K210" s="40">
        <f t="shared" si="36"/>
        <v>16.37649997016112</v>
      </c>
      <c r="L210" s="39">
        <f t="shared" si="41"/>
        <v>41064.582736842109</v>
      </c>
    </row>
    <row r="211" spans="1:12">
      <c r="A211" s="44">
        <v>189</v>
      </c>
      <c r="B211" s="45">
        <f t="shared" si="38"/>
        <v>37.89473684210526</v>
      </c>
      <c r="C211" s="45">
        <f t="shared" si="39"/>
        <v>15.157894736842104</v>
      </c>
      <c r="D211" s="45">
        <v>0</v>
      </c>
      <c r="E211" s="45">
        <f t="shared" si="37"/>
        <v>165.37600000000003</v>
      </c>
      <c r="F211" s="45">
        <f t="shared" si="33"/>
        <v>218.4286315789474</v>
      </c>
      <c r="G211" s="40">
        <f t="shared" si="40"/>
        <v>10.367208399090227</v>
      </c>
      <c r="H211" s="40">
        <f>G211*DADOS!F$5*DADOS!F$3*DADOS!C$4</f>
        <v>201.90138357228216</v>
      </c>
      <c r="I211" s="40">
        <f t="shared" si="34"/>
        <v>16.527248006665246</v>
      </c>
      <c r="J211" s="40">
        <f t="shared" si="35"/>
        <v>-16.376518780942263</v>
      </c>
      <c r="K211" s="40">
        <f t="shared" si="36"/>
        <v>-1.8810781142519772E-5</v>
      </c>
      <c r="L211" s="39">
        <f t="shared" si="41"/>
        <v>41283.011368421059</v>
      </c>
    </row>
    <row r="212" spans="1:12">
      <c r="A212" s="44">
        <v>190</v>
      </c>
      <c r="B212" s="45">
        <f t="shared" si="38"/>
        <v>37.89473684210526</v>
      </c>
      <c r="C212" s="45">
        <f t="shared" si="39"/>
        <v>15.157894736842104</v>
      </c>
      <c r="D212" s="45">
        <v>0</v>
      </c>
      <c r="E212" s="45">
        <f t="shared" si="37"/>
        <v>165.37600000000003</v>
      </c>
      <c r="F212" s="45">
        <f t="shared" si="33"/>
        <v>218.4286315789474</v>
      </c>
      <c r="G212" s="40">
        <f t="shared" si="40"/>
        <v>10.374947063076952</v>
      </c>
      <c r="H212" s="40">
        <f>G212*DADOS!F$5*DADOS!F$3*DADOS!C$4</f>
        <v>202.05209405342362</v>
      </c>
      <c r="I212" s="40">
        <f t="shared" si="34"/>
        <v>16.376537525523787</v>
      </c>
      <c r="J212" s="40">
        <f t="shared" si="35"/>
        <v>1.8744581524288151E-5</v>
      </c>
      <c r="K212" s="40">
        <f t="shared" si="36"/>
        <v>-6.6199618231621571E-8</v>
      </c>
      <c r="L212" s="39">
        <f t="shared" si="41"/>
        <v>41501.44000000001</v>
      </c>
    </row>
  </sheetData>
  <sheetProtection algorithmName="SHA-512" hashValue="hCcw9psuHAD+pXiSfdvN4be2DdCaM5mxQbO24u84GsaUUbP7LOBoB/pvq/u55FC8bRGprFofC+qfukCC5rP2pA==" saltValue="vnrVmekLxbVEq0EmsA6wrA==" spinCount="100000" sheet="1" objects="1" scenarios="1" selectLockedCells="1" selectUnlockedCells="1"/>
  <mergeCells count="4">
    <mergeCell ref="B17:C17"/>
    <mergeCell ref="B18:C18"/>
    <mergeCell ref="B20:C20"/>
    <mergeCell ref="B19:C19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Rafael Pieper</dc:creator>
  <cp:keywords/>
  <dc:description/>
  <cp:lastModifiedBy>Rafael Pieper</cp:lastModifiedBy>
  <cp:revision/>
  <dcterms:created xsi:type="dcterms:W3CDTF">2017-06-26T19:23:09Z</dcterms:created>
  <dcterms:modified xsi:type="dcterms:W3CDTF">2024-06-16T22:19:09Z</dcterms:modified>
  <cp:category/>
  <cp:contentStatus/>
</cp:coreProperties>
</file>